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APDS to Be Worked On\"/>
    </mc:Choice>
  </mc:AlternateContent>
  <bookViews>
    <workbookView xWindow="-120" yWindow="-120" windowWidth="29040" windowHeight="15840" tabRatio="847" activeTab="2"/>
  </bookViews>
  <sheets>
    <sheet name="Casing Review" sheetId="1" r:id="rId1"/>
    <sheet name="Formations" sheetId="2" r:id="rId2"/>
    <sheet name="DxSurvey" sheetId="3" r:id="rId3"/>
    <sheet name="Vertical WBD" sheetId="4" r:id="rId4"/>
    <sheet name="DataPrint" sheetId="5" r:id="rId5"/>
    <sheet name="BOPE" sheetId="6" r:id="rId6"/>
    <sheet name="Casing Strengths" sheetId="7" r:id="rId7"/>
    <sheet name="SHL Section" sheetId="8" r:id="rId8"/>
    <sheet name="BHL Section 1" sheetId="9" r:id="rId9"/>
    <sheet name="BHL Section 2" sheetId="10" r:id="rId10"/>
    <sheet name="BHL Section 3" sheetId="11" r:id="rId11"/>
    <sheet name="Rev Hist" sheetId="12" r:id="rId12"/>
    <sheet name="Grid Numbers" sheetId="13" r:id="rId13"/>
    <sheet name="DisplayPlat" sheetId="14" r:id="rId14"/>
    <sheet name="Sheet1" sheetId="15" r:id="rId15"/>
    <sheet name="Sheet3" sheetId="16" r:id="rId16"/>
  </sheets>
  <externalReferences>
    <externalReference r:id="rId17"/>
  </externalReferences>
  <definedNames>
    <definedName name="_xlnm._FilterDatabase" localSheetId="12" hidden="1">'Grid Numbers'!$A$2:$Q$2</definedName>
    <definedName name="Casing_Collar" localSheetId="13">'[1]Casing Review'!$AK$10:$AK$21</definedName>
    <definedName name="Casing_Collar">'Casing Review'!$AK$10:$AK$21</definedName>
    <definedName name="Casing_Grade" localSheetId="13">'[1]Casing Review'!$AL$10:$AL$38</definedName>
    <definedName name="Casing_Grade">'Casing Review'!$AL$10:$AL$38</definedName>
    <definedName name="Casing_Joint">'Casing Review'!$AK$10:$AK$21</definedName>
    <definedName name="_xlnm.Print_Area" localSheetId="8">'BHL Section 1'!$A$22:$M$40</definedName>
    <definedName name="_xlnm.Print_Area" localSheetId="9">'BHL Section 2'!$A$22:$M$40</definedName>
    <definedName name="_xlnm.Print_Area" localSheetId="10">'BHL Section 3'!$A$22:$M$40</definedName>
    <definedName name="_xlnm.Print_Area" localSheetId="0">'Casing Review'!$A$1:$R$69</definedName>
    <definedName name="_xlnm.Print_Area" localSheetId="4">DataPrint!$A$1:$BH$38</definedName>
    <definedName name="_xlnm.Print_Area" localSheetId="2">DxSurvey!$A$1:$W$104</definedName>
    <definedName name="_xlnm.Print_Area" localSheetId="7">'SHL Section'!$A$22:$M$40</definedName>
    <definedName name="_xlnm.Print_Area" localSheetId="3">'Vertical WBD'!$AC$87:$CQ$132</definedName>
  </definedNames>
  <calcPr calcId="152511"/>
</workbook>
</file>

<file path=xl/calcChain.xml><?xml version="1.0" encoding="utf-8"?>
<calcChain xmlns="http://schemas.openxmlformats.org/spreadsheetml/2006/main">
  <c r="P3890" i="13" l="1"/>
  <c r="P3889" i="13"/>
  <c r="P3888" i="13"/>
  <c r="P3887" i="13"/>
  <c r="H3887" i="13"/>
  <c r="P3886" i="13"/>
  <c r="P3885" i="13"/>
  <c r="P3884" i="13"/>
  <c r="P3883" i="13"/>
  <c r="P3882" i="13"/>
  <c r="P3881" i="13"/>
  <c r="P3880" i="13"/>
  <c r="P3879" i="13"/>
  <c r="P3878" i="13"/>
  <c r="P3877" i="13"/>
  <c r="H3877" i="13"/>
  <c r="P3876" i="13"/>
  <c r="P3875" i="13"/>
  <c r="P3874" i="13" l="1"/>
  <c r="P3873" i="13"/>
  <c r="P3872" i="13"/>
  <c r="P3871" i="13"/>
  <c r="P3870" i="13"/>
  <c r="P3869" i="13"/>
  <c r="P3868" i="13"/>
  <c r="P3867" i="13"/>
  <c r="P3866" i="13"/>
  <c r="P3865" i="13"/>
  <c r="P3864" i="13"/>
  <c r="P3863" i="13"/>
  <c r="P3862" i="13"/>
  <c r="P3861" i="13"/>
  <c r="P3860" i="13"/>
  <c r="P3859" i="13"/>
  <c r="P3858" i="13"/>
  <c r="P3857" i="13"/>
  <c r="P3856" i="13"/>
  <c r="P3855" i="13"/>
  <c r="P3854" i="13"/>
  <c r="P3853" i="13"/>
  <c r="P3852" i="13"/>
  <c r="P3851" i="13"/>
  <c r="P3850" i="13"/>
  <c r="P3849" i="13"/>
  <c r="P3848" i="13"/>
  <c r="P3847" i="13"/>
  <c r="P3846" i="13"/>
  <c r="P3845" i="13"/>
  <c r="P3844" i="13"/>
  <c r="P3843" i="13"/>
  <c r="P3842" i="13"/>
  <c r="P3841" i="13"/>
  <c r="P3840" i="13"/>
  <c r="P3839" i="13"/>
  <c r="P3838" i="13"/>
  <c r="P3837" i="13"/>
  <c r="P3836" i="13"/>
  <c r="P3835" i="13"/>
  <c r="P3834" i="13"/>
  <c r="P3833" i="13"/>
  <c r="P3832" i="13"/>
  <c r="P3831" i="13"/>
  <c r="P3830" i="13"/>
  <c r="P3829" i="13"/>
  <c r="P3828" i="13"/>
  <c r="P3827" i="13"/>
  <c r="P3826" i="13"/>
  <c r="P3825" i="13"/>
  <c r="P3824" i="13"/>
  <c r="P3823" i="13"/>
  <c r="P3822" i="13"/>
  <c r="P3821" i="13"/>
  <c r="P3820" i="13"/>
  <c r="P3819" i="13"/>
  <c r="P3818" i="13"/>
  <c r="P3817" i="13"/>
  <c r="P3816" i="13"/>
  <c r="P3815" i="13"/>
  <c r="P3814" i="13"/>
  <c r="P3813" i="13"/>
  <c r="P3812" i="13"/>
  <c r="P3811" i="13"/>
  <c r="P3810" i="13"/>
  <c r="P3809" i="13"/>
  <c r="P3808" i="13"/>
  <c r="P3807" i="13"/>
  <c r="P3806" i="13"/>
  <c r="P3805" i="13"/>
  <c r="P3804" i="13"/>
  <c r="P3803" i="13"/>
  <c r="P3802" i="13"/>
  <c r="P3801" i="13"/>
  <c r="P3800" i="13"/>
  <c r="P3799" i="13"/>
  <c r="P3798" i="13"/>
  <c r="P3797" i="13"/>
  <c r="P3796" i="13"/>
  <c r="P3795" i="13"/>
  <c r="P3746" i="13"/>
  <c r="P3745" i="13"/>
  <c r="P3744" i="13"/>
  <c r="P3743" i="13"/>
  <c r="P3742" i="13"/>
  <c r="P3741" i="13"/>
  <c r="P3740" i="13"/>
  <c r="P3739" i="13"/>
  <c r="P3738" i="13"/>
  <c r="P3737" i="13"/>
  <c r="P3736" i="13"/>
  <c r="P3735" i="13"/>
  <c r="P3734" i="13"/>
  <c r="P3733" i="13"/>
  <c r="P3732" i="13"/>
  <c r="P3731" i="13"/>
  <c r="P3730" i="13"/>
  <c r="P3729" i="13"/>
  <c r="P3728" i="13"/>
  <c r="P3727" i="13"/>
  <c r="P3726" i="13"/>
  <c r="P3725" i="13"/>
  <c r="P3724" i="13"/>
  <c r="P3723" i="13"/>
  <c r="P3722" i="13"/>
  <c r="P3721" i="13"/>
  <c r="P3720" i="13"/>
  <c r="P3719" i="13"/>
  <c r="P3718" i="13"/>
  <c r="P3717" i="13"/>
  <c r="P3716" i="13"/>
  <c r="P3715" i="13"/>
  <c r="P3714" i="13"/>
  <c r="P3713" i="13"/>
  <c r="P3712" i="13"/>
  <c r="P3711" i="13"/>
  <c r="P3710" i="13"/>
  <c r="P3709" i="13"/>
  <c r="P3708" i="13"/>
  <c r="P3707" i="13"/>
  <c r="P3706" i="13"/>
  <c r="P3705" i="13"/>
  <c r="P3704" i="13"/>
  <c r="P3703" i="13"/>
  <c r="P3702" i="13"/>
  <c r="P3701" i="13"/>
  <c r="P3700" i="13"/>
  <c r="P3699" i="13"/>
  <c r="P3698" i="13"/>
  <c r="P3697" i="13"/>
  <c r="P3696" i="13"/>
  <c r="P3695" i="13"/>
  <c r="P3694" i="13"/>
  <c r="P3693" i="13"/>
  <c r="P3692" i="13"/>
  <c r="P3691" i="13"/>
  <c r="P3690" i="13"/>
  <c r="P3689" i="13"/>
  <c r="P3688" i="13"/>
  <c r="P3687" i="13"/>
  <c r="P3686" i="13"/>
  <c r="P3685" i="13"/>
  <c r="P3684" i="13"/>
  <c r="P3683" i="13"/>
  <c r="P3650" i="13"/>
  <c r="P3649" i="13"/>
  <c r="P3648" i="13"/>
  <c r="P3647" i="13"/>
  <c r="P3646" i="13"/>
  <c r="P3645" i="13"/>
  <c r="P3644" i="13"/>
  <c r="P3643" i="13"/>
  <c r="P3642" i="13"/>
  <c r="P3641" i="13"/>
  <c r="P3640" i="13"/>
  <c r="P3639" i="13"/>
  <c r="P3638" i="13"/>
  <c r="P3637" i="13"/>
  <c r="P3636" i="13"/>
  <c r="P3635" i="13"/>
  <c r="C10" i="3" l="1"/>
  <c r="AE12" i="1" l="1"/>
  <c r="F33" i="14" l="1"/>
  <c r="E30" i="14"/>
  <c r="B30" i="14"/>
  <c r="D30" i="14" s="1"/>
  <c r="A30" i="14"/>
  <c r="C30" i="14" s="1"/>
  <c r="B29" i="14"/>
  <c r="D29" i="14" s="1"/>
  <c r="A29" i="14"/>
  <c r="C29" i="14" s="1"/>
  <c r="B28" i="14"/>
  <c r="D28" i="14" s="1"/>
  <c r="A28" i="14"/>
  <c r="C28" i="14" s="1"/>
  <c r="B27" i="14"/>
  <c r="D27" i="14" s="1"/>
  <c r="A27" i="14"/>
  <c r="C27" i="14" s="1"/>
  <c r="B26" i="14"/>
  <c r="D26" i="14" s="1"/>
  <c r="A26" i="14"/>
  <c r="C26" i="14" s="1"/>
  <c r="B25" i="14"/>
  <c r="D25" i="14" s="1"/>
  <c r="A25" i="14"/>
  <c r="C25" i="14" s="1"/>
  <c r="B24" i="14"/>
  <c r="D24" i="14" s="1"/>
  <c r="A24" i="14"/>
  <c r="C24" i="14" s="1"/>
  <c r="Q81" i="11"/>
  <c r="G81" i="11"/>
  <c r="Q79" i="11"/>
  <c r="G79" i="11"/>
  <c r="Q77" i="11"/>
  <c r="G77" i="11"/>
  <c r="Q75" i="11"/>
  <c r="G75" i="11"/>
  <c r="Q73" i="11"/>
  <c r="G73" i="11"/>
  <c r="Q71" i="11"/>
  <c r="G71" i="11"/>
  <c r="Q69" i="11"/>
  <c r="G69" i="11"/>
  <c r="Q67" i="11"/>
  <c r="G67" i="11"/>
  <c r="AW61" i="11"/>
  <c r="AL55" i="11"/>
  <c r="AK55" i="11"/>
  <c r="AJ55" i="11"/>
  <c r="AI55" i="11"/>
  <c r="AH55" i="11"/>
  <c r="AG55" i="11"/>
  <c r="AF55" i="11"/>
  <c r="AE55" i="11"/>
  <c r="AL54" i="11"/>
  <c r="AK54" i="11"/>
  <c r="AJ54" i="11"/>
  <c r="AI54" i="11"/>
  <c r="AH54" i="11"/>
  <c r="AG54" i="11"/>
  <c r="AF54" i="11"/>
  <c r="AE54" i="11"/>
  <c r="AL53" i="11"/>
  <c r="AK53" i="11"/>
  <c r="AJ53" i="11"/>
  <c r="AI53" i="11"/>
  <c r="AH53" i="11"/>
  <c r="AG53" i="11"/>
  <c r="AF53" i="11"/>
  <c r="AE53" i="11"/>
  <c r="AL52" i="11"/>
  <c r="AK52" i="11"/>
  <c r="AJ52" i="11"/>
  <c r="AI52" i="11"/>
  <c r="AH52" i="11"/>
  <c r="AG52" i="11"/>
  <c r="AF52" i="11"/>
  <c r="AE52" i="11"/>
  <c r="V9" i="11"/>
  <c r="V8" i="11"/>
  <c r="V7" i="11"/>
  <c r="V10" i="11" s="1"/>
  <c r="U7" i="11"/>
  <c r="T7" i="11"/>
  <c r="S7" i="11"/>
  <c r="R7" i="11"/>
  <c r="Q7" i="11"/>
  <c r="O81" i="11" s="1"/>
  <c r="P7" i="11"/>
  <c r="O7" i="11"/>
  <c r="C77" i="11" s="1"/>
  <c r="N7" i="11"/>
  <c r="Q81" i="10"/>
  <c r="G81" i="10"/>
  <c r="Q79" i="10"/>
  <c r="G79" i="10"/>
  <c r="Q77" i="10"/>
  <c r="G77" i="10"/>
  <c r="Q75" i="10"/>
  <c r="G75" i="10"/>
  <c r="Q73" i="10"/>
  <c r="G73" i="10"/>
  <c r="Q71" i="10"/>
  <c r="G71" i="10"/>
  <c r="Q69" i="10"/>
  <c r="G69" i="10"/>
  <c r="Q67" i="10"/>
  <c r="G67" i="10"/>
  <c r="AW61" i="10"/>
  <c r="AL55" i="10"/>
  <c r="AK55" i="10"/>
  <c r="AJ55" i="10"/>
  <c r="AI55" i="10"/>
  <c r="AH55" i="10"/>
  <c r="AG55" i="10"/>
  <c r="AF55" i="10"/>
  <c r="AE55" i="10"/>
  <c r="AL54" i="10"/>
  <c r="AK54" i="10"/>
  <c r="AJ54" i="10"/>
  <c r="AI54" i="10"/>
  <c r="AH54" i="10"/>
  <c r="AG54" i="10"/>
  <c r="AF54" i="10"/>
  <c r="AE54" i="10"/>
  <c r="AL53" i="10"/>
  <c r="AK53" i="10"/>
  <c r="AJ53" i="10"/>
  <c r="AI53" i="10"/>
  <c r="AH53" i="10"/>
  <c r="AG53" i="10"/>
  <c r="AF53" i="10"/>
  <c r="AE53" i="10"/>
  <c r="AL52" i="10"/>
  <c r="AK52" i="10"/>
  <c r="AJ52" i="10"/>
  <c r="AI52" i="10"/>
  <c r="AH52" i="10"/>
  <c r="AG52" i="10"/>
  <c r="AF52" i="10"/>
  <c r="AE52" i="10"/>
  <c r="V10" i="10"/>
  <c r="V9" i="10"/>
  <c r="V8" i="10"/>
  <c r="V7" i="10"/>
  <c r="U7" i="10"/>
  <c r="T7" i="10"/>
  <c r="S7" i="10"/>
  <c r="R7" i="10"/>
  <c r="P71" i="10" s="1"/>
  <c r="Q7" i="10"/>
  <c r="O79" i="10" s="1"/>
  <c r="P7" i="10"/>
  <c r="N73" i="10" s="1"/>
  <c r="O7" i="10"/>
  <c r="C75" i="10" s="1"/>
  <c r="N7" i="10"/>
  <c r="Q81" i="9"/>
  <c r="G81" i="9"/>
  <c r="Q79" i="9"/>
  <c r="G79" i="9"/>
  <c r="Q77" i="9"/>
  <c r="G77" i="9"/>
  <c r="Q75" i="9"/>
  <c r="G75" i="9"/>
  <c r="Q73" i="9"/>
  <c r="G73" i="9"/>
  <c r="Q71" i="9"/>
  <c r="G71" i="9"/>
  <c r="Q69" i="9"/>
  <c r="G69" i="9"/>
  <c r="Q67" i="9"/>
  <c r="G67" i="9"/>
  <c r="AW61" i="9"/>
  <c r="AL55" i="9"/>
  <c r="AK55" i="9"/>
  <c r="AJ55" i="9"/>
  <c r="AI55" i="9"/>
  <c r="AH55" i="9"/>
  <c r="AG55" i="9"/>
  <c r="AF55" i="9"/>
  <c r="AE55" i="9"/>
  <c r="AL54" i="9"/>
  <c r="AK54" i="9"/>
  <c r="AJ54" i="9"/>
  <c r="AI54" i="9"/>
  <c r="AH54" i="9"/>
  <c r="AG54" i="9"/>
  <c r="AF54" i="9"/>
  <c r="AE54" i="9"/>
  <c r="AL53" i="9"/>
  <c r="AK53" i="9"/>
  <c r="AJ53" i="9"/>
  <c r="AI53" i="9"/>
  <c r="AH53" i="9"/>
  <c r="AG53" i="9"/>
  <c r="AF53" i="9"/>
  <c r="AE53" i="9"/>
  <c r="AL52" i="9"/>
  <c r="AK52" i="9"/>
  <c r="AJ52" i="9"/>
  <c r="AI52" i="9"/>
  <c r="AH52" i="9"/>
  <c r="AG52" i="9"/>
  <c r="AF52" i="9"/>
  <c r="AE52" i="9"/>
  <c r="V8" i="9"/>
  <c r="V7" i="9"/>
  <c r="V10" i="9" s="1"/>
  <c r="U7" i="9"/>
  <c r="T7" i="9"/>
  <c r="S7" i="9"/>
  <c r="R7" i="9"/>
  <c r="Q7" i="9"/>
  <c r="P7" i="9"/>
  <c r="O7" i="9"/>
  <c r="M79" i="9" s="1"/>
  <c r="N7" i="9"/>
  <c r="T116" i="8"/>
  <c r="R116" i="8"/>
  <c r="P116" i="8"/>
  <c r="T115" i="8"/>
  <c r="R115" i="8"/>
  <c r="P115" i="8"/>
  <c r="T114" i="8"/>
  <c r="R114" i="8"/>
  <c r="P114" i="8"/>
  <c r="Q81" i="8"/>
  <c r="P81" i="8"/>
  <c r="O81" i="8"/>
  <c r="N81" i="8"/>
  <c r="M81" i="8"/>
  <c r="G81" i="8"/>
  <c r="F81" i="8"/>
  <c r="E81" i="8"/>
  <c r="D81" i="8"/>
  <c r="C81" i="8"/>
  <c r="Q79" i="8"/>
  <c r="P79" i="8"/>
  <c r="O79" i="8"/>
  <c r="N79" i="8"/>
  <c r="M79" i="8"/>
  <c r="G79" i="8"/>
  <c r="F79" i="8"/>
  <c r="E79" i="8"/>
  <c r="D79" i="8"/>
  <c r="C79" i="8"/>
  <c r="Q77" i="8"/>
  <c r="P77" i="8"/>
  <c r="O77" i="8"/>
  <c r="N77" i="8"/>
  <c r="M77" i="8"/>
  <c r="G77" i="8"/>
  <c r="F77" i="8"/>
  <c r="E77" i="8"/>
  <c r="D77" i="8"/>
  <c r="C77" i="8"/>
  <c r="Q75" i="8"/>
  <c r="P75" i="8"/>
  <c r="O75" i="8"/>
  <c r="N75" i="8"/>
  <c r="M75" i="8"/>
  <c r="G75" i="8"/>
  <c r="F75" i="8"/>
  <c r="E75" i="8"/>
  <c r="D75" i="8"/>
  <c r="C75" i="8"/>
  <c r="Q73" i="8"/>
  <c r="P73" i="8"/>
  <c r="O73" i="8"/>
  <c r="N73" i="8"/>
  <c r="M73" i="8"/>
  <c r="G73" i="8"/>
  <c r="F73" i="8"/>
  <c r="E73" i="8"/>
  <c r="D73" i="8"/>
  <c r="C73" i="8"/>
  <c r="Q71" i="8"/>
  <c r="P71" i="8"/>
  <c r="O71" i="8"/>
  <c r="N71" i="8"/>
  <c r="M71" i="8"/>
  <c r="G71" i="8"/>
  <c r="F71" i="8"/>
  <c r="E71" i="8"/>
  <c r="D71" i="8"/>
  <c r="C71" i="8"/>
  <c r="Q69" i="8"/>
  <c r="P69" i="8"/>
  <c r="O69" i="8"/>
  <c r="N69" i="8"/>
  <c r="M69" i="8"/>
  <c r="G69" i="8"/>
  <c r="F69" i="8"/>
  <c r="E69" i="8"/>
  <c r="D69" i="8"/>
  <c r="C69" i="8"/>
  <c r="Q67" i="8"/>
  <c r="P67" i="8"/>
  <c r="O67" i="8"/>
  <c r="N67" i="8"/>
  <c r="M67" i="8"/>
  <c r="G67" i="8"/>
  <c r="F67" i="8"/>
  <c r="E67" i="8"/>
  <c r="D67" i="8"/>
  <c r="C67" i="8"/>
  <c r="B64" i="8"/>
  <c r="L38" i="8"/>
  <c r="L79" i="8" s="1"/>
  <c r="AE16" i="8"/>
  <c r="AD16" i="8"/>
  <c r="AC16" i="8"/>
  <c r="V10" i="8"/>
  <c r="S10" i="8"/>
  <c r="S11" i="8" s="1"/>
  <c r="R10" i="8"/>
  <c r="R11" i="8" s="1"/>
  <c r="Q10" i="8"/>
  <c r="Q11" i="8" s="1"/>
  <c r="P10" i="8"/>
  <c r="P11" i="8" s="1"/>
  <c r="O10" i="8"/>
  <c r="AI132" i="4" s="1"/>
  <c r="AZ132" i="4" s="1"/>
  <c r="D10" i="8"/>
  <c r="V9" i="8"/>
  <c r="S9" i="8"/>
  <c r="R9" i="8"/>
  <c r="Q9" i="8"/>
  <c r="P9" i="8"/>
  <c r="O9" i="8"/>
  <c r="D9" i="8"/>
  <c r="V8" i="8"/>
  <c r="S8" i="8"/>
  <c r="R8" i="8"/>
  <c r="Q8" i="8"/>
  <c r="P8" i="8"/>
  <c r="O8" i="8"/>
  <c r="D8" i="8"/>
  <c r="AJ7" i="8"/>
  <c r="L7" i="8"/>
  <c r="K7" i="8"/>
  <c r="J7" i="8"/>
  <c r="I7" i="8"/>
  <c r="AR5" i="8"/>
  <c r="AS5" i="8" s="1"/>
  <c r="P14" i="8" s="1"/>
  <c r="AQ5" i="8"/>
  <c r="AP5" i="8"/>
  <c r="C3" i="8"/>
  <c r="C2" i="8"/>
  <c r="N1517" i="7"/>
  <c r="N1516" i="7"/>
  <c r="N1515" i="7"/>
  <c r="N1514" i="7"/>
  <c r="N1513" i="7"/>
  <c r="N1512" i="7"/>
  <c r="N1511" i="7"/>
  <c r="N1510" i="7"/>
  <c r="N1509" i="7"/>
  <c r="N1508" i="7"/>
  <c r="N1506" i="7"/>
  <c r="N1505" i="7"/>
  <c r="N1504" i="7"/>
  <c r="N1503" i="7"/>
  <c r="N1502" i="7"/>
  <c r="N1501" i="7"/>
  <c r="N1500" i="7"/>
  <c r="B43" i="6"/>
  <c r="B33" i="6"/>
  <c r="B23" i="6"/>
  <c r="J20" i="6"/>
  <c r="J19" i="6"/>
  <c r="M16" i="6"/>
  <c r="L16" i="6"/>
  <c r="K16" i="6"/>
  <c r="J16" i="6"/>
  <c r="M13" i="6"/>
  <c r="L13" i="6"/>
  <c r="K13" i="6"/>
  <c r="J13" i="6"/>
  <c r="B13" i="6"/>
  <c r="D8" i="6"/>
  <c r="C8" i="6"/>
  <c r="F5" i="6"/>
  <c r="C43" i="6" s="1"/>
  <c r="E5" i="6"/>
  <c r="C33" i="6" s="1"/>
  <c r="D5" i="6"/>
  <c r="C23" i="6" s="1"/>
  <c r="C5" i="6"/>
  <c r="C13" i="6" s="1"/>
  <c r="G3" i="6"/>
  <c r="E3" i="6"/>
  <c r="C3" i="6"/>
  <c r="AR37" i="5"/>
  <c r="AC29" i="5" s="1"/>
  <c r="AQ37" i="5"/>
  <c r="AP37" i="5"/>
  <c r="AA29" i="5" s="1"/>
  <c r="AO37" i="5"/>
  <c r="Z29" i="5" s="1"/>
  <c r="AN37" i="5"/>
  <c r="AM37" i="5"/>
  <c r="AL37" i="5"/>
  <c r="AR36" i="5"/>
  <c r="AQ36" i="5"/>
  <c r="AB28" i="5" s="1"/>
  <c r="AP36" i="5"/>
  <c r="AA28" i="5" s="1"/>
  <c r="AO36" i="5"/>
  <c r="Z28" i="5" s="1"/>
  <c r="AN36" i="5"/>
  <c r="Y28" i="5" s="1"/>
  <c r="AM36" i="5"/>
  <c r="X28" i="5" s="1"/>
  <c r="AL36" i="5"/>
  <c r="AR35" i="5"/>
  <c r="AC27" i="5" s="1"/>
  <c r="AQ35" i="5"/>
  <c r="AB27" i="5" s="1"/>
  <c r="AP35" i="5"/>
  <c r="AA27" i="5" s="1"/>
  <c r="AO35" i="5"/>
  <c r="Z27" i="5" s="1"/>
  <c r="AN35" i="5"/>
  <c r="Y27" i="5" s="1"/>
  <c r="AM35" i="5"/>
  <c r="X27" i="5" s="1"/>
  <c r="AL35" i="5"/>
  <c r="W27" i="5" s="1"/>
  <c r="AK35" i="5"/>
  <c r="V27" i="5" s="1"/>
  <c r="AJ35" i="5"/>
  <c r="AI35" i="5"/>
  <c r="AH35" i="5"/>
  <c r="AG35" i="5"/>
  <c r="AR33" i="5"/>
  <c r="AQ33" i="5"/>
  <c r="AP33" i="5"/>
  <c r="AO33" i="5"/>
  <c r="AN33" i="5"/>
  <c r="AM33" i="5"/>
  <c r="AL33" i="5"/>
  <c r="AK33" i="5"/>
  <c r="AJ33" i="5"/>
  <c r="AI33" i="5"/>
  <c r="AH33" i="5"/>
  <c r="AR32" i="5"/>
  <c r="AQ32" i="5"/>
  <c r="AP32" i="5"/>
  <c r="AO32" i="5"/>
  <c r="AN32" i="5"/>
  <c r="AM32" i="5"/>
  <c r="AL32" i="5"/>
  <c r="AK32" i="5"/>
  <c r="AJ32" i="5"/>
  <c r="AI32" i="5"/>
  <c r="AH32" i="5"/>
  <c r="AR29" i="5"/>
  <c r="N29" i="5" s="1"/>
  <c r="AQ29" i="5"/>
  <c r="M29" i="5" s="1"/>
  <c r="AP29" i="5"/>
  <c r="L29" i="5" s="1"/>
  <c r="AO29" i="5"/>
  <c r="AN29" i="5"/>
  <c r="J29" i="5" s="1"/>
  <c r="AM29" i="5"/>
  <c r="I29" i="5" s="1"/>
  <c r="AL29" i="5"/>
  <c r="H29" i="5" s="1"/>
  <c r="AB29" i="5"/>
  <c r="Y29" i="5"/>
  <c r="X29" i="5"/>
  <c r="W29" i="5"/>
  <c r="V29" i="5"/>
  <c r="U29" i="5"/>
  <c r="T29" i="5"/>
  <c r="S29" i="5"/>
  <c r="R29" i="5"/>
  <c r="K29" i="5"/>
  <c r="G29" i="5"/>
  <c r="F29" i="5"/>
  <c r="E29" i="5"/>
  <c r="D29" i="5"/>
  <c r="C29" i="5"/>
  <c r="AR28" i="5"/>
  <c r="AQ28" i="5"/>
  <c r="M28" i="5" s="1"/>
  <c r="AP28" i="5"/>
  <c r="L28" i="5" s="1"/>
  <c r="AO28" i="5"/>
  <c r="K28" i="5" s="1"/>
  <c r="AN28" i="5"/>
  <c r="AM28" i="5"/>
  <c r="I28" i="5" s="1"/>
  <c r="AL28" i="5"/>
  <c r="H28" i="5" s="1"/>
  <c r="AC28" i="5"/>
  <c r="W28" i="5"/>
  <c r="V28" i="5"/>
  <c r="U28" i="5"/>
  <c r="T28" i="5"/>
  <c r="S28" i="5"/>
  <c r="R28" i="5"/>
  <c r="N28" i="5"/>
  <c r="J28" i="5"/>
  <c r="G28" i="5"/>
  <c r="F28" i="5"/>
  <c r="E28" i="5"/>
  <c r="D28" i="5"/>
  <c r="C28" i="5"/>
  <c r="AR27" i="5"/>
  <c r="AQ27" i="5"/>
  <c r="M27" i="5" s="1"/>
  <c r="AP27" i="5"/>
  <c r="L27" i="5" s="1"/>
  <c r="AO27" i="5"/>
  <c r="K27" i="5" s="1"/>
  <c r="AN27" i="5"/>
  <c r="J27" i="5" s="1"/>
  <c r="AM27" i="5"/>
  <c r="AL27" i="5"/>
  <c r="AK27" i="5"/>
  <c r="G27" i="5" s="1"/>
  <c r="AJ27" i="5"/>
  <c r="F27" i="5" s="1"/>
  <c r="AI27" i="5"/>
  <c r="AH27" i="5"/>
  <c r="AG27" i="5"/>
  <c r="U27" i="5"/>
  <c r="T27" i="5"/>
  <c r="S27" i="5"/>
  <c r="R27" i="5"/>
  <c r="N27" i="5"/>
  <c r="I27" i="5"/>
  <c r="H27" i="5"/>
  <c r="E27" i="5"/>
  <c r="D27" i="5"/>
  <c r="C27" i="5"/>
  <c r="AR25" i="5"/>
  <c r="AQ25" i="5"/>
  <c r="AP25" i="5"/>
  <c r="AO25" i="5"/>
  <c r="AN25" i="5"/>
  <c r="AM25" i="5"/>
  <c r="AL25" i="5"/>
  <c r="AK25" i="5"/>
  <c r="AJ25" i="5"/>
  <c r="AI25" i="5"/>
  <c r="AH25" i="5"/>
  <c r="AC25" i="5"/>
  <c r="AB25" i="5"/>
  <c r="AA25" i="5"/>
  <c r="Z25" i="5"/>
  <c r="Y25" i="5"/>
  <c r="X25" i="5"/>
  <c r="W25" i="5"/>
  <c r="V25" i="5"/>
  <c r="U25" i="5"/>
  <c r="T25" i="5"/>
  <c r="S25" i="5"/>
  <c r="N25" i="5"/>
  <c r="M25" i="5"/>
  <c r="L25" i="5"/>
  <c r="K25" i="5"/>
  <c r="J25" i="5"/>
  <c r="I25" i="5"/>
  <c r="H25" i="5"/>
  <c r="G25" i="5"/>
  <c r="F25" i="5"/>
  <c r="E25" i="5"/>
  <c r="D25" i="5"/>
  <c r="AR24" i="5"/>
  <c r="AQ24" i="5"/>
  <c r="AP24" i="5"/>
  <c r="AO24" i="5"/>
  <c r="AN24" i="5"/>
  <c r="AM24" i="5"/>
  <c r="AL24" i="5"/>
  <c r="AK24" i="5"/>
  <c r="AJ24" i="5"/>
  <c r="AI24" i="5"/>
  <c r="AH24" i="5"/>
  <c r="AC24" i="5"/>
  <c r="AB24" i="5"/>
  <c r="AA24" i="5"/>
  <c r="Z24" i="5"/>
  <c r="Y24" i="5"/>
  <c r="X24" i="5"/>
  <c r="W24" i="5"/>
  <c r="V24" i="5"/>
  <c r="U24" i="5"/>
  <c r="T24" i="5"/>
  <c r="S24" i="5"/>
  <c r="N24" i="5"/>
  <c r="M24" i="5"/>
  <c r="L24" i="5"/>
  <c r="K24" i="5"/>
  <c r="J24" i="5"/>
  <c r="I24" i="5"/>
  <c r="H24" i="5"/>
  <c r="G24" i="5"/>
  <c r="F24" i="5"/>
  <c r="E24" i="5"/>
  <c r="D24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N23" i="5"/>
  <c r="M23" i="5"/>
  <c r="L23" i="5"/>
  <c r="K23" i="5"/>
  <c r="J23" i="5"/>
  <c r="I23" i="5"/>
  <c r="H23" i="5"/>
  <c r="G23" i="5"/>
  <c r="F23" i="5"/>
  <c r="E23" i="5"/>
  <c r="D23" i="5"/>
  <c r="C23" i="5"/>
  <c r="BG21" i="5"/>
  <c r="BF21" i="5"/>
  <c r="BE21" i="5"/>
  <c r="BD21" i="5"/>
  <c r="AZ21" i="5"/>
  <c r="AY21" i="5"/>
  <c r="AX21" i="5"/>
  <c r="AW21" i="5"/>
  <c r="AV21" i="5"/>
  <c r="AR21" i="5"/>
  <c r="AQ21" i="5"/>
  <c r="AB21" i="5" s="1"/>
  <c r="AP21" i="5"/>
  <c r="AO21" i="5"/>
  <c r="AN21" i="5"/>
  <c r="BC21" i="5" s="1"/>
  <c r="AM21" i="5"/>
  <c r="AL21" i="5"/>
  <c r="BA21" i="5" s="1"/>
  <c r="AC21" i="5"/>
  <c r="AA21" i="5"/>
  <c r="Z21" i="5"/>
  <c r="Y21" i="5"/>
  <c r="W21" i="5"/>
  <c r="V21" i="5"/>
  <c r="U21" i="5"/>
  <c r="T21" i="5"/>
  <c r="S21" i="5"/>
  <c r="R21" i="5"/>
  <c r="N21" i="5"/>
  <c r="M21" i="5"/>
  <c r="L21" i="5"/>
  <c r="K21" i="5"/>
  <c r="J21" i="5"/>
  <c r="H21" i="5"/>
  <c r="G21" i="5"/>
  <c r="F21" i="5"/>
  <c r="E21" i="5"/>
  <c r="D21" i="5"/>
  <c r="C21" i="5"/>
  <c r="BG20" i="5"/>
  <c r="BB20" i="5"/>
  <c r="BA20" i="5"/>
  <c r="AZ20" i="5"/>
  <c r="AY20" i="5"/>
  <c r="AX20" i="5"/>
  <c r="AW20" i="5"/>
  <c r="AV20" i="5"/>
  <c r="AR20" i="5"/>
  <c r="AC20" i="5" s="1"/>
  <c r="AQ20" i="5"/>
  <c r="BF20" i="5" s="1"/>
  <c r="AP20" i="5"/>
  <c r="AO20" i="5"/>
  <c r="AN20" i="5"/>
  <c r="AM20" i="5"/>
  <c r="AL20" i="5"/>
  <c r="W20" i="5" s="1"/>
  <c r="Y20" i="5"/>
  <c r="X20" i="5"/>
  <c r="V20" i="5"/>
  <c r="U20" i="5"/>
  <c r="T20" i="5"/>
  <c r="S20" i="5"/>
  <c r="R20" i="5"/>
  <c r="N20" i="5"/>
  <c r="M20" i="5"/>
  <c r="I20" i="5"/>
  <c r="H20" i="5"/>
  <c r="G20" i="5"/>
  <c r="F20" i="5"/>
  <c r="E20" i="5"/>
  <c r="D20" i="5"/>
  <c r="C20" i="5"/>
  <c r="AR19" i="5"/>
  <c r="AC19" i="5" s="1"/>
  <c r="AQ19" i="5"/>
  <c r="AB19" i="5" s="1"/>
  <c r="AP19" i="5"/>
  <c r="AA19" i="5" s="1"/>
  <c r="AO19" i="5"/>
  <c r="AN19" i="5"/>
  <c r="J19" i="5" s="1"/>
  <c r="AM19" i="5"/>
  <c r="I19" i="5" s="1"/>
  <c r="AL19" i="5"/>
  <c r="W19" i="5" s="1"/>
  <c r="AJ19" i="5"/>
  <c r="AY19" i="5" s="1"/>
  <c r="AI19" i="5"/>
  <c r="AX19" i="5" s="1"/>
  <c r="AH19" i="5"/>
  <c r="AW19" i="5" s="1"/>
  <c r="AG19" i="5"/>
  <c r="AV19" i="5" s="1"/>
  <c r="BG17" i="5"/>
  <c r="BF17" i="5"/>
  <c r="BE17" i="5"/>
  <c r="BD17" i="5"/>
  <c r="BC17" i="5"/>
  <c r="BB17" i="5"/>
  <c r="BA17" i="5"/>
  <c r="AZ17" i="5"/>
  <c r="AY17" i="5"/>
  <c r="AX17" i="5"/>
  <c r="AW17" i="5"/>
  <c r="AR17" i="5"/>
  <c r="AQ17" i="5"/>
  <c r="AP17" i="5"/>
  <c r="AO17" i="5"/>
  <c r="AN17" i="5"/>
  <c r="AM17" i="5"/>
  <c r="AL17" i="5"/>
  <c r="AK17" i="5"/>
  <c r="AJ17" i="5"/>
  <c r="AI17" i="5"/>
  <c r="AH17" i="5"/>
  <c r="AC17" i="5"/>
  <c r="AB17" i="5"/>
  <c r="AA17" i="5"/>
  <c r="Z17" i="5"/>
  <c r="Y17" i="5"/>
  <c r="X17" i="5"/>
  <c r="W17" i="5"/>
  <c r="V17" i="5"/>
  <c r="U17" i="5"/>
  <c r="T17" i="5"/>
  <c r="S17" i="5"/>
  <c r="N17" i="5"/>
  <c r="M17" i="5"/>
  <c r="L17" i="5"/>
  <c r="K17" i="5"/>
  <c r="J17" i="5"/>
  <c r="I17" i="5"/>
  <c r="H17" i="5"/>
  <c r="G17" i="5"/>
  <c r="F17" i="5"/>
  <c r="E17" i="5"/>
  <c r="D17" i="5"/>
  <c r="BG16" i="5"/>
  <c r="BF16" i="5"/>
  <c r="BE16" i="5"/>
  <c r="BD16" i="5"/>
  <c r="BC16" i="5"/>
  <c r="BB16" i="5"/>
  <c r="BA16" i="5"/>
  <c r="AZ16" i="5"/>
  <c r="AY16" i="5"/>
  <c r="AX16" i="5"/>
  <c r="AW16" i="5"/>
  <c r="AR16" i="5"/>
  <c r="AQ16" i="5"/>
  <c r="AP16" i="5"/>
  <c r="AO16" i="5"/>
  <c r="AN16" i="5"/>
  <c r="AM16" i="5"/>
  <c r="AL16" i="5"/>
  <c r="AK16" i="5"/>
  <c r="AJ16" i="5"/>
  <c r="AI16" i="5"/>
  <c r="AH16" i="5"/>
  <c r="AC16" i="5"/>
  <c r="AB16" i="5"/>
  <c r="AA16" i="5"/>
  <c r="Z16" i="5"/>
  <c r="Y16" i="5"/>
  <c r="X16" i="5"/>
  <c r="W16" i="5"/>
  <c r="V16" i="5"/>
  <c r="U16" i="5"/>
  <c r="T16" i="5"/>
  <c r="S16" i="5"/>
  <c r="N16" i="5"/>
  <c r="M16" i="5"/>
  <c r="L16" i="5"/>
  <c r="K16" i="5"/>
  <c r="J16" i="5"/>
  <c r="I16" i="5"/>
  <c r="H16" i="5"/>
  <c r="G16" i="5"/>
  <c r="F16" i="5"/>
  <c r="E16" i="5"/>
  <c r="D16" i="5"/>
  <c r="BG13" i="5"/>
  <c r="BF13" i="5"/>
  <c r="BD13" i="5"/>
  <c r="BC13" i="5"/>
  <c r="BB13" i="5"/>
  <c r="BA13" i="5"/>
  <c r="AZ13" i="5"/>
  <c r="AY13" i="5"/>
  <c r="AX13" i="5"/>
  <c r="AW13" i="5"/>
  <c r="AV13" i="5"/>
  <c r="AR13" i="5"/>
  <c r="AQ13" i="5"/>
  <c r="AP13" i="5"/>
  <c r="AO13" i="5"/>
  <c r="AN13" i="5"/>
  <c r="J13" i="5" s="1"/>
  <c r="AM13" i="5"/>
  <c r="AL13" i="5"/>
  <c r="AC13" i="5"/>
  <c r="AB13" i="5"/>
  <c r="Y13" i="5"/>
  <c r="X13" i="5"/>
  <c r="W13" i="5"/>
  <c r="V13" i="5"/>
  <c r="U13" i="5"/>
  <c r="T13" i="5"/>
  <c r="S13" i="5"/>
  <c r="R13" i="5"/>
  <c r="N13" i="5"/>
  <c r="M13" i="5"/>
  <c r="I13" i="5"/>
  <c r="H13" i="5"/>
  <c r="G13" i="5"/>
  <c r="F13" i="5"/>
  <c r="E13" i="5"/>
  <c r="D13" i="5"/>
  <c r="C13" i="5"/>
  <c r="BD12" i="5"/>
  <c r="BC12" i="5"/>
  <c r="BB12" i="5"/>
  <c r="BA12" i="5"/>
  <c r="AZ12" i="5"/>
  <c r="AY12" i="5"/>
  <c r="AX12" i="5"/>
  <c r="AW12" i="5"/>
  <c r="AV12" i="5"/>
  <c r="AR12" i="5"/>
  <c r="AC12" i="5" s="1"/>
  <c r="AQ12" i="5"/>
  <c r="AP12" i="5"/>
  <c r="AA12" i="5" s="1"/>
  <c r="AO12" i="5"/>
  <c r="AN12" i="5"/>
  <c r="Y12" i="5" s="1"/>
  <c r="AM12" i="5"/>
  <c r="AL12" i="5"/>
  <c r="AB12" i="5"/>
  <c r="Z12" i="5"/>
  <c r="X12" i="5"/>
  <c r="W12" i="5"/>
  <c r="V12" i="5"/>
  <c r="U12" i="5"/>
  <c r="T12" i="5"/>
  <c r="S12" i="5"/>
  <c r="R12" i="5"/>
  <c r="K12" i="5"/>
  <c r="J12" i="5"/>
  <c r="I12" i="5"/>
  <c r="H12" i="5"/>
  <c r="G12" i="5"/>
  <c r="F12" i="5"/>
  <c r="E12" i="5"/>
  <c r="D12" i="5"/>
  <c r="C12" i="5"/>
  <c r="AR11" i="5"/>
  <c r="BG11" i="5" s="1"/>
  <c r="AQ11" i="5"/>
  <c r="AP11" i="5"/>
  <c r="L11" i="5" s="1"/>
  <c r="AO11" i="5"/>
  <c r="K11" i="5" s="1"/>
  <c r="AN11" i="5"/>
  <c r="Y11" i="5" s="1"/>
  <c r="AM11" i="5"/>
  <c r="BB11" i="5" s="1"/>
  <c r="AL11" i="5"/>
  <c r="BA11" i="5" s="1"/>
  <c r="AJ11" i="5"/>
  <c r="AY11" i="5" s="1"/>
  <c r="AI11" i="5"/>
  <c r="AX11" i="5" s="1"/>
  <c r="AH11" i="5"/>
  <c r="AW11" i="5" s="1"/>
  <c r="AG11" i="5"/>
  <c r="AV11" i="5" s="1"/>
  <c r="BG9" i="5"/>
  <c r="BF9" i="5"/>
  <c r="BE9" i="5"/>
  <c r="BD9" i="5"/>
  <c r="BC9" i="5"/>
  <c r="BB9" i="5"/>
  <c r="BA9" i="5"/>
  <c r="AZ9" i="5"/>
  <c r="AY9" i="5"/>
  <c r="AX9" i="5"/>
  <c r="AW9" i="5"/>
  <c r="AR9" i="5"/>
  <c r="AQ9" i="5"/>
  <c r="AP9" i="5"/>
  <c r="AO9" i="5"/>
  <c r="AN9" i="5"/>
  <c r="AM9" i="5"/>
  <c r="AL9" i="5"/>
  <c r="AK9" i="5"/>
  <c r="AJ9" i="5"/>
  <c r="AI9" i="5"/>
  <c r="AH9" i="5"/>
  <c r="AC9" i="5"/>
  <c r="AB9" i="5"/>
  <c r="AA9" i="5"/>
  <c r="Z9" i="5"/>
  <c r="Y9" i="5"/>
  <c r="X9" i="5"/>
  <c r="W9" i="5"/>
  <c r="V9" i="5"/>
  <c r="U9" i="5"/>
  <c r="T9" i="5"/>
  <c r="S9" i="5"/>
  <c r="N9" i="5"/>
  <c r="M9" i="5"/>
  <c r="L9" i="5"/>
  <c r="K9" i="5"/>
  <c r="J9" i="5"/>
  <c r="I9" i="5"/>
  <c r="H9" i="5"/>
  <c r="G9" i="5"/>
  <c r="F9" i="5"/>
  <c r="E9" i="5"/>
  <c r="D9" i="5"/>
  <c r="BG8" i="5"/>
  <c r="BF8" i="5"/>
  <c r="BE8" i="5"/>
  <c r="BD8" i="5"/>
  <c r="BC8" i="5"/>
  <c r="BB8" i="5"/>
  <c r="BA8" i="5"/>
  <c r="AZ8" i="5"/>
  <c r="AY8" i="5"/>
  <c r="AX8" i="5"/>
  <c r="AW8" i="5"/>
  <c r="AR8" i="5"/>
  <c r="AQ8" i="5"/>
  <c r="AP8" i="5"/>
  <c r="AO8" i="5"/>
  <c r="AN8" i="5"/>
  <c r="AM8" i="5"/>
  <c r="AL8" i="5"/>
  <c r="AK8" i="5"/>
  <c r="AJ8" i="5"/>
  <c r="AI8" i="5"/>
  <c r="AH8" i="5"/>
  <c r="AC8" i="5"/>
  <c r="AB8" i="5"/>
  <c r="AA8" i="5"/>
  <c r="Z8" i="5"/>
  <c r="Y8" i="5"/>
  <c r="X8" i="5"/>
  <c r="W8" i="5"/>
  <c r="V8" i="5"/>
  <c r="U8" i="5"/>
  <c r="T8" i="5"/>
  <c r="S8" i="5"/>
  <c r="N8" i="5"/>
  <c r="M8" i="5"/>
  <c r="L8" i="5"/>
  <c r="K8" i="5"/>
  <c r="J8" i="5"/>
  <c r="I8" i="5"/>
  <c r="H8" i="5"/>
  <c r="G8" i="5"/>
  <c r="F8" i="5"/>
  <c r="E8" i="5"/>
  <c r="D8" i="5"/>
  <c r="BD5" i="5"/>
  <c r="BB5" i="5"/>
  <c r="AY5" i="5"/>
  <c r="AO5" i="5"/>
  <c r="AM5" i="5"/>
  <c r="AJ5" i="5"/>
  <c r="Z5" i="5"/>
  <c r="X5" i="5"/>
  <c r="U5" i="5"/>
  <c r="K5" i="5"/>
  <c r="I5" i="5"/>
  <c r="F5" i="5"/>
  <c r="AT4" i="5"/>
  <c r="AE4" i="5"/>
  <c r="P4" i="5"/>
  <c r="A4" i="5"/>
  <c r="AT3" i="5"/>
  <c r="AE3" i="5"/>
  <c r="P3" i="5"/>
  <c r="A3" i="5"/>
  <c r="AT2" i="5"/>
  <c r="AE2" i="5"/>
  <c r="P2" i="5"/>
  <c r="A2" i="5"/>
  <c r="BY184" i="4"/>
  <c r="BY183" i="4"/>
  <c r="BY182" i="4"/>
  <c r="BY181" i="4"/>
  <c r="BY180" i="4"/>
  <c r="BM180" i="4"/>
  <c r="BM179" i="4"/>
  <c r="BM178" i="4"/>
  <c r="BM177" i="4"/>
  <c r="AV158" i="4"/>
  <c r="AE158" i="4"/>
  <c r="AV157" i="4"/>
  <c r="AE157" i="4"/>
  <c r="AV156" i="4"/>
  <c r="AE156" i="4"/>
  <c r="AV155" i="4"/>
  <c r="AE155" i="4"/>
  <c r="AV154" i="4"/>
  <c r="AE154" i="4"/>
  <c r="CP138" i="4"/>
  <c r="CD138" i="4"/>
  <c r="BY138" i="4"/>
  <c r="BM138" i="4"/>
  <c r="BH138" i="4"/>
  <c r="AV138" i="4"/>
  <c r="AR138" i="4"/>
  <c r="AE138" i="4"/>
  <c r="CP137" i="4"/>
  <c r="CD137" i="4"/>
  <c r="BY137" i="4"/>
  <c r="BM137" i="4"/>
  <c r="BH137" i="4"/>
  <c r="AV137" i="4"/>
  <c r="AR137" i="4"/>
  <c r="AE137" i="4"/>
  <c r="CP136" i="4"/>
  <c r="CD136" i="4"/>
  <c r="BY136" i="4"/>
  <c r="BM136" i="4"/>
  <c r="BH136" i="4"/>
  <c r="AV136" i="4"/>
  <c r="AR136" i="4"/>
  <c r="AE136" i="4"/>
  <c r="CP135" i="4"/>
  <c r="CD135" i="4"/>
  <c r="BY135" i="4"/>
  <c r="BM135" i="4"/>
  <c r="BH135" i="4"/>
  <c r="AV135" i="4"/>
  <c r="AR135" i="4"/>
  <c r="AE135" i="4"/>
  <c r="CP134" i="4"/>
  <c r="CD134" i="4"/>
  <c r="BY134" i="4"/>
  <c r="BM134" i="4"/>
  <c r="BH134" i="4"/>
  <c r="AV134" i="4"/>
  <c r="AR134" i="4"/>
  <c r="AE134" i="4"/>
  <c r="CM132" i="4"/>
  <c r="CL132" i="4"/>
  <c r="CJ132" i="4"/>
  <c r="BV132" i="4"/>
  <c r="BU132" i="4"/>
  <c r="BS132" i="4"/>
  <c r="BH132" i="4"/>
  <c r="AN132" i="4"/>
  <c r="BE132" i="4" s="1"/>
  <c r="AM132" i="4"/>
  <c r="BD132" i="4" s="1"/>
  <c r="AK132" i="4"/>
  <c r="BA132" i="4" s="1"/>
  <c r="CO130" i="4"/>
  <c r="BX130" i="4"/>
  <c r="BG130" i="4"/>
  <c r="AQ130" i="4"/>
  <c r="CC129" i="4"/>
  <c r="BL129" i="4"/>
  <c r="AU129" i="4"/>
  <c r="AD129" i="4"/>
  <c r="CC128" i="4"/>
  <c r="BL128" i="4"/>
  <c r="AU128" i="4"/>
  <c r="AD128" i="4"/>
  <c r="CC124" i="4"/>
  <c r="CO135" i="4" s="1"/>
  <c r="BL124" i="4"/>
  <c r="BL177" i="4" s="1"/>
  <c r="BM183" i="4" s="1"/>
  <c r="AU124" i="4"/>
  <c r="AU155" i="4" s="1"/>
  <c r="AV181" i="4" s="1"/>
  <c r="AD124" i="4"/>
  <c r="AD155" i="4" s="1"/>
  <c r="AE181" i="4" s="1"/>
  <c r="CC123" i="4"/>
  <c r="AT15" i="5" s="1"/>
  <c r="BM123" i="4"/>
  <c r="AF31" i="5" s="1"/>
  <c r="BL123" i="4"/>
  <c r="AU123" i="4"/>
  <c r="P23" i="5" s="1"/>
  <c r="AD123" i="4"/>
  <c r="CE119" i="4"/>
  <c r="BN119" i="4"/>
  <c r="AW119" i="4"/>
  <c r="AF119" i="4"/>
  <c r="AE119" i="4"/>
  <c r="AV119" i="4" s="1"/>
  <c r="BM119" i="4" s="1"/>
  <c r="CD119" i="4" s="1"/>
  <c r="AD119" i="4"/>
  <c r="AU119" i="4" s="1"/>
  <c r="BL119" i="4" s="1"/>
  <c r="CC119" i="4" s="1"/>
  <c r="BL117" i="4"/>
  <c r="AU117" i="4"/>
  <c r="CA116" i="4"/>
  <c r="BL116" i="4"/>
  <c r="AU116" i="4"/>
  <c r="CA115" i="4"/>
  <c r="BZ115" i="4"/>
  <c r="BI115" i="4"/>
  <c r="BZ114" i="4"/>
  <c r="BL112" i="4"/>
  <c r="BX135" i="4" s="1"/>
  <c r="AU112" i="4"/>
  <c r="BG135" i="4" s="1"/>
  <c r="BL111" i="4"/>
  <c r="AU111" i="4"/>
  <c r="AD108" i="4"/>
  <c r="AD107" i="4"/>
  <c r="BL105" i="4"/>
  <c r="CC104" i="4"/>
  <c r="BL104" i="4"/>
  <c r="CC103" i="4"/>
  <c r="AD103" i="4"/>
  <c r="AQ135" i="4" s="1"/>
  <c r="AD102" i="4"/>
  <c r="BL100" i="4"/>
  <c r="BL135" i="4" s="1"/>
  <c r="CC99" i="4"/>
  <c r="CC135" i="4" s="1"/>
  <c r="BL99" i="4"/>
  <c r="AE15" i="5" s="1"/>
  <c r="CC98" i="4"/>
  <c r="AT7" i="5" s="1"/>
  <c r="BL97" i="4"/>
  <c r="AU97" i="4"/>
  <c r="AD97" i="4"/>
  <c r="BL96" i="4"/>
  <c r="AU96" i="4"/>
  <c r="AD96" i="4"/>
  <c r="BL92" i="4"/>
  <c r="BX181" i="4" s="1"/>
  <c r="AU92" i="4"/>
  <c r="AU135" i="4" s="1"/>
  <c r="AD92" i="4"/>
  <c r="AD135" i="4" s="1"/>
  <c r="BL91" i="4"/>
  <c r="AU91" i="4"/>
  <c r="P7" i="5" s="1"/>
  <c r="AD91" i="4"/>
  <c r="CC89" i="4"/>
  <c r="BL89" i="4"/>
  <c r="AU89" i="4"/>
  <c r="AD89" i="4"/>
  <c r="CC88" i="4"/>
  <c r="BL88" i="4"/>
  <c r="AU88" i="4"/>
  <c r="AD88" i="4"/>
  <c r="CC87" i="4"/>
  <c r="BL87" i="4"/>
  <c r="AU87" i="4"/>
  <c r="AD87" i="4"/>
  <c r="F73" i="3"/>
  <c r="F72" i="3"/>
  <c r="F71" i="3"/>
  <c r="F70" i="3"/>
  <c r="F69" i="3"/>
  <c r="C69" i="3"/>
  <c r="F68" i="3"/>
  <c r="D68" i="3"/>
  <c r="D69" i="3" s="1"/>
  <c r="F67" i="3"/>
  <c r="D67" i="3"/>
  <c r="C67" i="3"/>
  <c r="F66" i="3"/>
  <c r="B75" i="3" s="1"/>
  <c r="C75" i="3" s="1"/>
  <c r="F65" i="3"/>
  <c r="F64" i="3"/>
  <c r="F63" i="3"/>
  <c r="F62" i="3"/>
  <c r="F61" i="3"/>
  <c r="F60" i="3"/>
  <c r="B70" i="3" s="1"/>
  <c r="C70" i="3" s="1"/>
  <c r="F59" i="3"/>
  <c r="F58" i="3"/>
  <c r="F57" i="3"/>
  <c r="B44" i="3"/>
  <c r="N42" i="3"/>
  <c r="F42" i="3"/>
  <c r="G42" i="3" s="1"/>
  <c r="N41" i="3"/>
  <c r="F41" i="3"/>
  <c r="G41" i="3" s="1"/>
  <c r="N40" i="3"/>
  <c r="F40" i="3"/>
  <c r="G40" i="3" s="1"/>
  <c r="N39" i="3"/>
  <c r="F39" i="3"/>
  <c r="G39" i="3" s="1"/>
  <c r="A39" i="3"/>
  <c r="N38" i="3"/>
  <c r="F38" i="3"/>
  <c r="G38" i="3" s="1"/>
  <c r="A38" i="3"/>
  <c r="A37" i="3"/>
  <c r="N36" i="3"/>
  <c r="F36" i="3"/>
  <c r="G36" i="3" s="1"/>
  <c r="A36" i="3"/>
  <c r="F35" i="3"/>
  <c r="G35" i="3" s="1"/>
  <c r="A35" i="3"/>
  <c r="F34" i="3"/>
  <c r="G34" i="3" s="1"/>
  <c r="A34" i="3"/>
  <c r="F33" i="3"/>
  <c r="G33" i="3" s="1"/>
  <c r="A32" i="3"/>
  <c r="A31" i="3"/>
  <c r="A30" i="3"/>
  <c r="F27" i="3"/>
  <c r="G27" i="3" s="1"/>
  <c r="N26" i="3"/>
  <c r="F26" i="3"/>
  <c r="G26" i="3" s="1"/>
  <c r="F25" i="3"/>
  <c r="G25" i="3" s="1"/>
  <c r="F24" i="3"/>
  <c r="N24" i="3" s="1"/>
  <c r="A20" i="3"/>
  <c r="A19" i="3"/>
  <c r="A18" i="3"/>
  <c r="A17" i="3"/>
  <c r="N16" i="3"/>
  <c r="F16" i="3"/>
  <c r="G16" i="3" s="1"/>
  <c r="W15" i="3"/>
  <c r="V15" i="3"/>
  <c r="W13" i="3"/>
  <c r="V13" i="3"/>
  <c r="V7" i="3"/>
  <c r="U7" i="3"/>
  <c r="I5" i="3"/>
  <c r="F5" i="3"/>
  <c r="B5" i="3"/>
  <c r="A18" i="2"/>
  <c r="A17" i="2"/>
  <c r="A16" i="2"/>
  <c r="A15" i="2"/>
  <c r="A14" i="2"/>
  <c r="A13" i="2"/>
  <c r="A12" i="2"/>
  <c r="D64" i="1"/>
  <c r="F69" i="1" s="1"/>
  <c r="Q62" i="1"/>
  <c r="P62" i="1"/>
  <c r="AH61" i="1"/>
  <c r="AC61" i="1" s="1"/>
  <c r="AG61" i="1"/>
  <c r="AE61" i="1"/>
  <c r="AF61" i="1" s="1"/>
  <c r="AB61" i="1"/>
  <c r="Z61" i="1"/>
  <c r="X61" i="1"/>
  <c r="W61" i="1"/>
  <c r="T61" i="1"/>
  <c r="Q61" i="1"/>
  <c r="P61" i="1"/>
  <c r="Q60" i="1"/>
  <c r="P60" i="1"/>
  <c r="AH59" i="1"/>
  <c r="AF59" i="1"/>
  <c r="AE59" i="1"/>
  <c r="AB59" i="1"/>
  <c r="Z59" i="1"/>
  <c r="X59" i="1"/>
  <c r="W59" i="1"/>
  <c r="T59" i="1"/>
  <c r="Q59" i="1"/>
  <c r="P59" i="1"/>
  <c r="Q58" i="1"/>
  <c r="P58" i="1"/>
  <c r="AH57" i="1"/>
  <c r="AC57" i="1" s="1"/>
  <c r="AE57" i="1"/>
  <c r="AF57" i="1" s="1"/>
  <c r="Z57" i="1"/>
  <c r="Y23" i="5" s="1"/>
  <c r="W57" i="1"/>
  <c r="AK31" i="5" s="1"/>
  <c r="T57" i="1"/>
  <c r="AH31" i="5" s="1"/>
  <c r="P57" i="1"/>
  <c r="Q57" i="1" s="1"/>
  <c r="D54" i="1"/>
  <c r="AE49" i="1"/>
  <c r="D49" i="1"/>
  <c r="Q47" i="1"/>
  <c r="P47" i="1"/>
  <c r="AH46" i="1"/>
  <c r="AE46" i="1"/>
  <c r="AF46" i="1" s="1"/>
  <c r="Z46" i="1"/>
  <c r="X46" i="1"/>
  <c r="W46" i="1"/>
  <c r="T46" i="1"/>
  <c r="Q46" i="1"/>
  <c r="P46" i="1"/>
  <c r="Q45" i="1"/>
  <c r="P45" i="1"/>
  <c r="AH44" i="1"/>
  <c r="AF44" i="1"/>
  <c r="AE44" i="1"/>
  <c r="Z44" i="1"/>
  <c r="X44" i="1"/>
  <c r="W44" i="1"/>
  <c r="T44" i="1"/>
  <c r="Q44" i="1"/>
  <c r="P44" i="1"/>
  <c r="Q43" i="1"/>
  <c r="R43" i="1" s="1"/>
  <c r="P43" i="1"/>
  <c r="AH42" i="1"/>
  <c r="AE42" i="1"/>
  <c r="AF42" i="1" s="1"/>
  <c r="Z42" i="1"/>
  <c r="X42" i="1"/>
  <c r="W42" i="1"/>
  <c r="T42" i="1"/>
  <c r="Q42" i="1"/>
  <c r="P42" i="1"/>
  <c r="D39" i="1"/>
  <c r="D34" i="1"/>
  <c r="Q32" i="1"/>
  <c r="P32" i="1"/>
  <c r="AH31" i="1"/>
  <c r="AC31" i="1" s="1"/>
  <c r="AF31" i="1"/>
  <c r="AE31" i="1"/>
  <c r="Z31" i="1"/>
  <c r="X31" i="1"/>
  <c r="W31" i="1"/>
  <c r="T31" i="1"/>
  <c r="Q31" i="1"/>
  <c r="P31" i="1"/>
  <c r="Q30" i="1"/>
  <c r="P30" i="1"/>
  <c r="AF29" i="1"/>
  <c r="AE29" i="1"/>
  <c r="Z29" i="1"/>
  <c r="X29" i="1"/>
  <c r="W29" i="1"/>
  <c r="T29" i="1"/>
  <c r="Q29" i="1"/>
  <c r="P29" i="1"/>
  <c r="A29" i="1"/>
  <c r="P28" i="1"/>
  <c r="Q28" i="1" s="1"/>
  <c r="R28" i="1" s="1"/>
  <c r="AE27" i="1"/>
  <c r="AE34" i="1" s="1"/>
  <c r="Z27" i="1"/>
  <c r="W27" i="1"/>
  <c r="T27" i="1"/>
  <c r="P27" i="1"/>
  <c r="A27" i="1"/>
  <c r="D24" i="1"/>
  <c r="D19" i="1"/>
  <c r="Q17" i="1"/>
  <c r="P17" i="1"/>
  <c r="AH16" i="1"/>
  <c r="AC16" i="1" s="1"/>
  <c r="AF16" i="1"/>
  <c r="AE16" i="1"/>
  <c r="Z16" i="1"/>
  <c r="X16" i="1"/>
  <c r="W16" i="1"/>
  <c r="T16" i="1"/>
  <c r="Q16" i="1"/>
  <c r="P16" i="1"/>
  <c r="Q15" i="1"/>
  <c r="P15" i="1"/>
  <c r="AH14" i="1"/>
  <c r="AF14" i="1"/>
  <c r="AE14" i="1"/>
  <c r="Z14" i="1"/>
  <c r="X14" i="1"/>
  <c r="W14" i="1"/>
  <c r="T14" i="1"/>
  <c r="Q14" i="1"/>
  <c r="P14" i="1"/>
  <c r="A14" i="1"/>
  <c r="P13" i="1"/>
  <c r="Q13" i="1" s="1"/>
  <c r="R13" i="1" s="1"/>
  <c r="AH12" i="1"/>
  <c r="AF12" i="1"/>
  <c r="Z12" i="1"/>
  <c r="W12" i="1"/>
  <c r="T12" i="1"/>
  <c r="P12" i="1"/>
  <c r="Q12" i="1" s="1"/>
  <c r="A12" i="1"/>
  <c r="B1" i="1"/>
  <c r="Y44" i="1" l="1"/>
  <c r="AC14" i="1"/>
  <c r="AC44" i="1"/>
  <c r="Y16" i="1"/>
  <c r="Y46" i="1"/>
  <c r="R12" i="1"/>
  <c r="R42" i="1"/>
  <c r="N27" i="3"/>
  <c r="BX132" i="4"/>
  <c r="N35" i="3"/>
  <c r="CO132" i="4"/>
  <c r="AQ132" i="4"/>
  <c r="BG132" i="4" s="1"/>
  <c r="V23" i="8"/>
  <c r="N34" i="3"/>
  <c r="W39" i="8"/>
  <c r="D75" i="10"/>
  <c r="M71" i="11"/>
  <c r="C71" i="11"/>
  <c r="BQ132" i="4"/>
  <c r="C67" i="10"/>
  <c r="O77" i="10"/>
  <c r="M79" i="10"/>
  <c r="O69" i="10"/>
  <c r="CH132" i="4"/>
  <c r="O81" i="10"/>
  <c r="C69" i="11"/>
  <c r="B23" i="8"/>
  <c r="M71" i="10"/>
  <c r="B79" i="8"/>
  <c r="W43" i="8" s="1"/>
  <c r="L23" i="8"/>
  <c r="M69" i="11"/>
  <c r="N33" i="3"/>
  <c r="N25" i="3"/>
  <c r="BM176" i="4"/>
  <c r="AQ31" i="5"/>
  <c r="AB23" i="5"/>
  <c r="AN31" i="5"/>
  <c r="AV194" i="4"/>
  <c r="BM194" i="4"/>
  <c r="AV163" i="4"/>
  <c r="R58" i="1"/>
  <c r="BL127" i="4" s="1"/>
  <c r="BL180" i="4" s="1"/>
  <c r="S23" i="5"/>
  <c r="AU154" i="4"/>
  <c r="V23" i="5"/>
  <c r="H15" i="2"/>
  <c r="C11" i="5"/>
  <c r="E11" i="5"/>
  <c r="AC12" i="1"/>
  <c r="I11" i="5"/>
  <c r="R11" i="5"/>
  <c r="T11" i="5"/>
  <c r="D11" i="5"/>
  <c r="R57" i="1"/>
  <c r="AU126" i="4" s="1"/>
  <c r="AU157" i="4" s="1"/>
  <c r="H16" i="2"/>
  <c r="H17" i="2"/>
  <c r="C19" i="5"/>
  <c r="H18" i="2"/>
  <c r="AH27" i="1"/>
  <c r="D19" i="5"/>
  <c r="E19" i="5"/>
  <c r="H19" i="5"/>
  <c r="AH29" i="1"/>
  <c r="L19" i="5"/>
  <c r="CO134" i="4"/>
  <c r="R19" i="5"/>
  <c r="J9" i="2"/>
  <c r="S19" i="5"/>
  <c r="N19" i="5"/>
  <c r="T19" i="5"/>
  <c r="BC19" i="5"/>
  <c r="X19" i="5"/>
  <c r="BE19" i="5"/>
  <c r="BG19" i="5"/>
  <c r="AR161" i="4"/>
  <c r="F11" i="5"/>
  <c r="H11" i="5"/>
  <c r="N11" i="5"/>
  <c r="S11" i="5"/>
  <c r="U11" i="5"/>
  <c r="W11" i="5"/>
  <c r="Z11" i="5"/>
  <c r="AC11" i="5"/>
  <c r="BD11" i="5"/>
  <c r="BE11" i="5"/>
  <c r="J4" i="2"/>
  <c r="J11" i="5"/>
  <c r="G24" i="3"/>
  <c r="Y42" i="1"/>
  <c r="Y59" i="1"/>
  <c r="Y29" i="1"/>
  <c r="Y61" i="1"/>
  <c r="Y31" i="1"/>
  <c r="Y14" i="1"/>
  <c r="BL115" i="4"/>
  <c r="BX138" i="4" s="1"/>
  <c r="AD127" i="4"/>
  <c r="AD158" i="4" s="1"/>
  <c r="AU94" i="4"/>
  <c r="AU137" i="4" s="1"/>
  <c r="AD94" i="4"/>
  <c r="AD137" i="4" s="1"/>
  <c r="CC101" i="4"/>
  <c r="CC137" i="4" s="1"/>
  <c r="BL94" i="4"/>
  <c r="BX183" i="4" s="1"/>
  <c r="AD126" i="4"/>
  <c r="AD157" i="4" s="1"/>
  <c r="BL114" i="4"/>
  <c r="BX137" i="4" s="1"/>
  <c r="BL103" i="4"/>
  <c r="BL138" i="4" s="1"/>
  <c r="CC127" i="4"/>
  <c r="CO138" i="4" s="1"/>
  <c r="AU115" i="4"/>
  <c r="BG138" i="4" s="1"/>
  <c r="AD106" i="4"/>
  <c r="AQ138" i="4" s="1"/>
  <c r="C10" i="6"/>
  <c r="AK7" i="5"/>
  <c r="AZ7" i="5"/>
  <c r="G7" i="5"/>
  <c r="V7" i="5"/>
  <c r="AC46" i="1"/>
  <c r="J15" i="2"/>
  <c r="CP174" i="4"/>
  <c r="CP161" i="4"/>
  <c r="CD161" i="4" s="1"/>
  <c r="CP171" i="4"/>
  <c r="CP163" i="4"/>
  <c r="CD163" i="4" s="1"/>
  <c r="CP168" i="4"/>
  <c r="CP165" i="4"/>
  <c r="CD165" i="4" s="1"/>
  <c r="CP153" i="4"/>
  <c r="CD153" i="4" s="1"/>
  <c r="CP158" i="4"/>
  <c r="CD158" i="4" s="1"/>
  <c r="CP146" i="4"/>
  <c r="CD146" i="4" s="1"/>
  <c r="CP144" i="4"/>
  <c r="CD144" i="4" s="1"/>
  <c r="CP142" i="4"/>
  <c r="CD142" i="4" s="1"/>
  <c r="CP148" i="4"/>
  <c r="CD148" i="4" s="1"/>
  <c r="CP176" i="4"/>
  <c r="CP173" i="4"/>
  <c r="CP150" i="4"/>
  <c r="CD150" i="4" s="1"/>
  <c r="CP167" i="4"/>
  <c r="CP160" i="4"/>
  <c r="CD160" i="4" s="1"/>
  <c r="CP152" i="4"/>
  <c r="CD152" i="4" s="1"/>
  <c r="CP162" i="4"/>
  <c r="CD162" i="4" s="1"/>
  <c r="CP154" i="4"/>
  <c r="CD154" i="4" s="1"/>
  <c r="CP164" i="4"/>
  <c r="CD164" i="4" s="1"/>
  <c r="CP175" i="4"/>
  <c r="CP172" i="4"/>
  <c r="CP147" i="4"/>
  <c r="CD147" i="4" s="1"/>
  <c r="CP145" i="4"/>
  <c r="CD145" i="4" s="1"/>
  <c r="CP143" i="4"/>
  <c r="CD143" i="4" s="1"/>
  <c r="CP141" i="4"/>
  <c r="CD141" i="4" s="1"/>
  <c r="CP169" i="4"/>
  <c r="CP149" i="4"/>
  <c r="CD149" i="4" s="1"/>
  <c r="CP166" i="4"/>
  <c r="CP157" i="4"/>
  <c r="CD157" i="4" s="1"/>
  <c r="CP155" i="4"/>
  <c r="CD155" i="4" s="1"/>
  <c r="CP159" i="4"/>
  <c r="CD159" i="4" s="1"/>
  <c r="CP170" i="4"/>
  <c r="CP151" i="4"/>
  <c r="CD151" i="4" s="1"/>
  <c r="CP156" i="4"/>
  <c r="CD156" i="4" s="1"/>
  <c r="CP177" i="4"/>
  <c r="AI61" i="1"/>
  <c r="AD61" i="1" s="1"/>
  <c r="AA61" i="1" s="1"/>
  <c r="J10" i="2"/>
  <c r="AF27" i="1"/>
  <c r="J5" i="2"/>
  <c r="J16" i="2"/>
  <c r="CC102" i="4"/>
  <c r="CC138" i="4" s="1"/>
  <c r="AU95" i="4"/>
  <c r="AU138" i="4" s="1"/>
  <c r="AD95" i="4"/>
  <c r="AD138" i="4" s="1"/>
  <c r="J11" i="2"/>
  <c r="A11" i="2" s="1"/>
  <c r="BC7" i="5"/>
  <c r="J7" i="5"/>
  <c r="AN7" i="5"/>
  <c r="Y7" i="5"/>
  <c r="J6" i="2"/>
  <c r="AW15" i="5"/>
  <c r="D15" i="5"/>
  <c r="AH15" i="5"/>
  <c r="S15" i="5"/>
  <c r="H12" i="2"/>
  <c r="J17" i="2"/>
  <c r="AC42" i="1"/>
  <c r="AC59" i="1"/>
  <c r="J12" i="2"/>
  <c r="J7" i="2"/>
  <c r="H13" i="2"/>
  <c r="J18" i="2"/>
  <c r="AB7" i="5"/>
  <c r="AQ7" i="5"/>
  <c r="BF7" i="5"/>
  <c r="M7" i="5"/>
  <c r="J13" i="2"/>
  <c r="G15" i="5"/>
  <c r="V15" i="5"/>
  <c r="AZ15" i="5"/>
  <c r="AK15" i="5"/>
  <c r="AE19" i="1"/>
  <c r="Q27" i="1" s="1"/>
  <c r="R27" i="1" s="1"/>
  <c r="BL102" i="4" s="1"/>
  <c r="J8" i="2"/>
  <c r="BL95" i="4"/>
  <c r="BX184" i="4" s="1"/>
  <c r="AV143" i="4"/>
  <c r="BC94" i="4"/>
  <c r="BA94" i="4"/>
  <c r="BH143" i="4"/>
  <c r="Y15" i="5"/>
  <c r="AN15" i="5"/>
  <c r="BC15" i="5"/>
  <c r="J15" i="5"/>
  <c r="J3" i="2"/>
  <c r="A3" i="2" s="1"/>
  <c r="H14" i="2"/>
  <c r="H16" i="3"/>
  <c r="S7" i="5"/>
  <c r="AH7" i="5"/>
  <c r="D7" i="5"/>
  <c r="AW7" i="5"/>
  <c r="J14" i="2"/>
  <c r="BH161" i="4"/>
  <c r="BC112" i="4"/>
  <c r="BA112" i="4"/>
  <c r="H71" i="3"/>
  <c r="H70" i="3"/>
  <c r="H74" i="3"/>
  <c r="H73" i="3"/>
  <c r="H72" i="3"/>
  <c r="BY141" i="4"/>
  <c r="BY187" i="4"/>
  <c r="BT92" i="4"/>
  <c r="BR92" i="4"/>
  <c r="BM141" i="4"/>
  <c r="B68" i="3"/>
  <c r="C68" i="3" s="1"/>
  <c r="AV164" i="4"/>
  <c r="AE190" i="4"/>
  <c r="AV192" i="4"/>
  <c r="AD134" i="4"/>
  <c r="A7" i="5"/>
  <c r="BA125" i="4"/>
  <c r="BH174" i="4"/>
  <c r="K20" i="5"/>
  <c r="BD20" i="5"/>
  <c r="Z20" i="5"/>
  <c r="BM152" i="4"/>
  <c r="BY152" i="4"/>
  <c r="P15" i="5"/>
  <c r="BG134" i="4"/>
  <c r="AE168" i="4"/>
  <c r="BM201" i="4"/>
  <c r="K19" i="5"/>
  <c r="Z19" i="5"/>
  <c r="BM202" i="4"/>
  <c r="M11" i="5"/>
  <c r="AB11" i="5"/>
  <c r="A15" i="5"/>
  <c r="AQ134" i="4"/>
  <c r="AE174" i="4"/>
  <c r="AR154" i="4" s="1"/>
  <c r="AE166" i="4"/>
  <c r="AE164" i="4"/>
  <c r="AE162" i="4"/>
  <c r="AE194" i="4"/>
  <c r="AE172" i="4"/>
  <c r="AR152" i="4" s="1"/>
  <c r="AE189" i="4"/>
  <c r="AE169" i="4"/>
  <c r="AE193" i="4"/>
  <c r="AE184" i="4"/>
  <c r="AR164" i="4" s="1"/>
  <c r="AE177" i="4"/>
  <c r="AR157" i="4" s="1"/>
  <c r="AE197" i="4"/>
  <c r="AE188" i="4"/>
  <c r="AE180" i="4"/>
  <c r="AR160" i="4" s="1"/>
  <c r="AE171" i="4"/>
  <c r="AR151" i="4" s="1"/>
  <c r="AE192" i="4"/>
  <c r="AE183" i="4"/>
  <c r="AR163" i="4" s="1"/>
  <c r="AE161" i="4"/>
  <c r="AE187" i="4"/>
  <c r="AE163" i="4"/>
  <c r="AE196" i="4"/>
  <c r="AE179" i="4"/>
  <c r="AR159" i="4" s="1"/>
  <c r="AE165" i="4"/>
  <c r="AE191" i="4"/>
  <c r="AE176" i="4"/>
  <c r="AR156" i="4" s="1"/>
  <c r="AE173" i="4"/>
  <c r="AR153" i="4" s="1"/>
  <c r="AE186" i="4"/>
  <c r="AE182" i="4"/>
  <c r="AR162" i="4" s="1"/>
  <c r="AM112" i="4" s="1"/>
  <c r="AE170" i="4"/>
  <c r="AE195" i="4"/>
  <c r="AE167" i="4"/>
  <c r="AE178" i="4"/>
  <c r="AR158" i="4" s="1"/>
  <c r="AU134" i="4"/>
  <c r="BM212" i="4"/>
  <c r="A23" i="5"/>
  <c r="AD154" i="4"/>
  <c r="AV197" i="4"/>
  <c r="BH177" i="4" s="1"/>
  <c r="AV193" i="4"/>
  <c r="BA124" i="4" s="1"/>
  <c r="AV189" i="4"/>
  <c r="AV195" i="4"/>
  <c r="AV191" i="4"/>
  <c r="AV187" i="4"/>
  <c r="AV183" i="4"/>
  <c r="AV169" i="4"/>
  <c r="AV166" i="4"/>
  <c r="AV184" i="4"/>
  <c r="AV177" i="4"/>
  <c r="AV188" i="4"/>
  <c r="AV180" i="4"/>
  <c r="AV174" i="4"/>
  <c r="AV171" i="4"/>
  <c r="AV168" i="4"/>
  <c r="AV161" i="4"/>
  <c r="AV165" i="4"/>
  <c r="AV196" i="4"/>
  <c r="AV179" i="4"/>
  <c r="BC110" i="4" s="1"/>
  <c r="AV176" i="4"/>
  <c r="AV173" i="4"/>
  <c r="AV186" i="4"/>
  <c r="AV182" i="4"/>
  <c r="AV170" i="4"/>
  <c r="AV167" i="4"/>
  <c r="AV178" i="4"/>
  <c r="AV190" i="4"/>
  <c r="AV185" i="4"/>
  <c r="AV172" i="4"/>
  <c r="BE13" i="5"/>
  <c r="L13" i="5"/>
  <c r="AA13" i="5"/>
  <c r="AE23" i="5"/>
  <c r="BX134" i="4"/>
  <c r="BL134" i="4"/>
  <c r="BX180" i="4"/>
  <c r="AE7" i="5"/>
  <c r="BM211" i="4"/>
  <c r="BM219" i="4"/>
  <c r="BY177" i="4" s="1"/>
  <c r="BM203" i="4"/>
  <c r="BM218" i="4"/>
  <c r="BT127" i="4" s="1"/>
  <c r="BM200" i="4"/>
  <c r="BM189" i="4"/>
  <c r="BM217" i="4"/>
  <c r="BM199" i="4"/>
  <c r="BM184" i="4"/>
  <c r="BM216" i="4"/>
  <c r="BR125" i="4" s="1"/>
  <c r="BM198" i="4"/>
  <c r="BM193" i="4"/>
  <c r="BM215" i="4"/>
  <c r="BR124" i="4" s="1"/>
  <c r="BM188" i="4"/>
  <c r="BM214" i="4"/>
  <c r="BT123" i="4" s="1"/>
  <c r="BM197" i="4"/>
  <c r="BM213" i="4"/>
  <c r="BT122" i="4" s="1"/>
  <c r="BM192" i="4"/>
  <c r="BM210" i="4"/>
  <c r="BR119" i="4" s="1"/>
  <c r="BM196" i="4"/>
  <c r="BM187" i="4"/>
  <c r="BM209" i="4"/>
  <c r="BM208" i="4"/>
  <c r="BM191" i="4"/>
  <c r="BM186" i="4"/>
  <c r="BM207" i="4"/>
  <c r="BM206" i="4"/>
  <c r="BR115" i="4" s="1"/>
  <c r="BM195" i="4"/>
  <c r="BM205" i="4"/>
  <c r="BM190" i="4"/>
  <c r="BM185" i="4"/>
  <c r="BM204" i="4"/>
  <c r="AE175" i="4"/>
  <c r="AR155" i="4" s="1"/>
  <c r="BD19" i="5"/>
  <c r="CC134" i="4"/>
  <c r="AV175" i="4"/>
  <c r="AE185" i="4"/>
  <c r="AR165" i="4" s="1"/>
  <c r="AE31" i="5"/>
  <c r="BL176" i="4"/>
  <c r="AV162" i="4"/>
  <c r="BF11" i="5"/>
  <c r="L20" i="5"/>
  <c r="BE20" i="5"/>
  <c r="AA20" i="5"/>
  <c r="O59" i="8"/>
  <c r="O61" i="8"/>
  <c r="O58" i="8"/>
  <c r="O60" i="8"/>
  <c r="O57" i="8"/>
  <c r="U19" i="5"/>
  <c r="I21" i="5"/>
  <c r="X21" i="5"/>
  <c r="Y19" i="5"/>
  <c r="BB19" i="5"/>
  <c r="X11" i="5"/>
  <c r="F19" i="5"/>
  <c r="L12" i="5"/>
  <c r="BE12" i="5"/>
  <c r="BF19" i="5"/>
  <c r="AA11" i="5"/>
  <c r="M12" i="5"/>
  <c r="BF12" i="5"/>
  <c r="N12" i="5"/>
  <c r="BG12" i="5"/>
  <c r="BR109" i="4"/>
  <c r="BA116" i="4"/>
  <c r="BT117" i="4"/>
  <c r="BC125" i="4"/>
  <c r="M19" i="5"/>
  <c r="BB21" i="5"/>
  <c r="D9" i="11"/>
  <c r="D9" i="10"/>
  <c r="D9" i="9"/>
  <c r="W44" i="8"/>
  <c r="W42" i="8"/>
  <c r="W45" i="8"/>
  <c r="W41" i="8"/>
  <c r="K13" i="5"/>
  <c r="Z13" i="5"/>
  <c r="J20" i="5"/>
  <c r="BC20" i="5"/>
  <c r="D77" i="9"/>
  <c r="N81" i="9"/>
  <c r="D69" i="9"/>
  <c r="D67" i="9"/>
  <c r="N79" i="9"/>
  <c r="D81" i="9"/>
  <c r="N75" i="9"/>
  <c r="N73" i="9"/>
  <c r="N71" i="9"/>
  <c r="D79" i="9"/>
  <c r="N77" i="9"/>
  <c r="N67" i="9"/>
  <c r="D73" i="9"/>
  <c r="D71" i="9"/>
  <c r="O10" i="10"/>
  <c r="O11" i="10" s="1"/>
  <c r="O10" i="11"/>
  <c r="O11" i="11" s="1"/>
  <c r="O10" i="9"/>
  <c r="O11" i="9" s="1"/>
  <c r="L81" i="8"/>
  <c r="E77" i="9"/>
  <c r="O81" i="9"/>
  <c r="E69" i="9"/>
  <c r="E67" i="9"/>
  <c r="O79" i="9"/>
  <c r="E81" i="9"/>
  <c r="O75" i="9"/>
  <c r="O73" i="9"/>
  <c r="O71" i="9"/>
  <c r="E79" i="9"/>
  <c r="O77" i="9"/>
  <c r="O69" i="9"/>
  <c r="O67" i="9"/>
  <c r="E73" i="9"/>
  <c r="E71" i="9"/>
  <c r="E75" i="9"/>
  <c r="AB20" i="5"/>
  <c r="I7" i="11"/>
  <c r="I7" i="10"/>
  <c r="I7" i="9"/>
  <c r="P10" i="11"/>
  <c r="P11" i="11" s="1"/>
  <c r="P10" i="10"/>
  <c r="P11" i="10" s="1"/>
  <c r="P10" i="9"/>
  <c r="P11" i="9" s="1"/>
  <c r="J7" i="11"/>
  <c r="J7" i="10"/>
  <c r="J7" i="9"/>
  <c r="O8" i="11"/>
  <c r="O8" i="10"/>
  <c r="Q10" i="11"/>
  <c r="Q11" i="11" s="1"/>
  <c r="Q10" i="10"/>
  <c r="Q11" i="10" s="1"/>
  <c r="Q10" i="9"/>
  <c r="Q11" i="9" s="1"/>
  <c r="B75" i="8"/>
  <c r="K7" i="10"/>
  <c r="K7" i="11"/>
  <c r="P8" i="11"/>
  <c r="P8" i="10"/>
  <c r="P8" i="9"/>
  <c r="R10" i="11"/>
  <c r="R11" i="11" s="1"/>
  <c r="R10" i="10"/>
  <c r="R11" i="10" s="1"/>
  <c r="R10" i="9"/>
  <c r="R11" i="9" s="1"/>
  <c r="N69" i="9"/>
  <c r="BC11" i="5"/>
  <c r="BA19" i="5"/>
  <c r="L7" i="11"/>
  <c r="L7" i="10"/>
  <c r="L7" i="9"/>
  <c r="Q8" i="10"/>
  <c r="Q8" i="11"/>
  <c r="Q8" i="9"/>
  <c r="S10" i="10"/>
  <c r="S11" i="10" s="1"/>
  <c r="S10" i="11"/>
  <c r="S11" i="11" s="1"/>
  <c r="S10" i="9"/>
  <c r="S11" i="9" s="1"/>
  <c r="R8" i="10"/>
  <c r="R8" i="11"/>
  <c r="R8" i="9"/>
  <c r="D10" i="11"/>
  <c r="D10" i="10"/>
  <c r="B73" i="8"/>
  <c r="L77" i="8"/>
  <c r="L67" i="8"/>
  <c r="B56" i="8"/>
  <c r="L71" i="8"/>
  <c r="L69" i="8"/>
  <c r="B77" i="8"/>
  <c r="B67" i="8"/>
  <c r="L73" i="8"/>
  <c r="B71" i="8"/>
  <c r="B69" i="8"/>
  <c r="L56" i="8"/>
  <c r="S8" i="11"/>
  <c r="S8" i="10"/>
  <c r="S8" i="9"/>
  <c r="V56" i="8"/>
  <c r="D8" i="11"/>
  <c r="D8" i="10"/>
  <c r="D8" i="9"/>
  <c r="A39" i="8"/>
  <c r="L75" i="8"/>
  <c r="O8" i="9"/>
  <c r="O9" i="10"/>
  <c r="O9" i="11"/>
  <c r="O9" i="9"/>
  <c r="C2" i="11"/>
  <c r="C2" i="10"/>
  <c r="C2" i="9"/>
  <c r="P9" i="11"/>
  <c r="P9" i="10"/>
  <c r="P9" i="9"/>
  <c r="B81" i="8"/>
  <c r="D75" i="9"/>
  <c r="C3" i="10"/>
  <c r="C3" i="11"/>
  <c r="C3" i="9"/>
  <c r="Q9" i="11"/>
  <c r="Q9" i="10"/>
  <c r="Q9" i="9"/>
  <c r="R9" i="10"/>
  <c r="R9" i="11"/>
  <c r="R9" i="9"/>
  <c r="N11" i="8"/>
  <c r="K7" i="9"/>
  <c r="S9" i="11"/>
  <c r="S9" i="10"/>
  <c r="S9" i="9"/>
  <c r="O11" i="8"/>
  <c r="D10" i="9"/>
  <c r="F81" i="9"/>
  <c r="P81" i="9"/>
  <c r="F69" i="9"/>
  <c r="F67" i="9"/>
  <c r="P79" i="9"/>
  <c r="P75" i="9"/>
  <c r="P73" i="9"/>
  <c r="P71" i="9"/>
  <c r="F79" i="9"/>
  <c r="P77" i="9"/>
  <c r="P69" i="9"/>
  <c r="P67" i="9"/>
  <c r="F75" i="9"/>
  <c r="F73" i="9"/>
  <c r="F71" i="9"/>
  <c r="V9" i="9"/>
  <c r="F77" i="9"/>
  <c r="M67" i="9"/>
  <c r="M69" i="9"/>
  <c r="M77" i="9"/>
  <c r="C79" i="9"/>
  <c r="M71" i="9"/>
  <c r="M73" i="9"/>
  <c r="M75" i="9"/>
  <c r="F71" i="10"/>
  <c r="F69" i="10"/>
  <c r="P73" i="10"/>
  <c r="F79" i="10"/>
  <c r="F81" i="10"/>
  <c r="F77" i="10"/>
  <c r="F73" i="10"/>
  <c r="P67" i="10"/>
  <c r="P75" i="10"/>
  <c r="P69" i="10"/>
  <c r="F75" i="10"/>
  <c r="P81" i="10"/>
  <c r="P77" i="10"/>
  <c r="C81" i="9"/>
  <c r="P79" i="10"/>
  <c r="F67" i="10"/>
  <c r="C67" i="9"/>
  <c r="C69" i="9"/>
  <c r="M81" i="9"/>
  <c r="C77" i="9"/>
  <c r="C71" i="9"/>
  <c r="C73" i="9"/>
  <c r="C75" i="9"/>
  <c r="D67" i="10"/>
  <c r="M69" i="10"/>
  <c r="N71" i="10"/>
  <c r="E75" i="10"/>
  <c r="N79" i="10"/>
  <c r="O75" i="11"/>
  <c r="E67" i="10"/>
  <c r="N69" i="10"/>
  <c r="O71" i="10"/>
  <c r="M75" i="10"/>
  <c r="N71" i="11"/>
  <c r="N69" i="11"/>
  <c r="D77" i="11"/>
  <c r="D67" i="11"/>
  <c r="N73" i="11"/>
  <c r="D71" i="11"/>
  <c r="D69" i="11"/>
  <c r="N81" i="11"/>
  <c r="N79" i="11"/>
  <c r="N75" i="11"/>
  <c r="D73" i="11"/>
  <c r="N77" i="11"/>
  <c r="N67" i="11"/>
  <c r="D81" i="11"/>
  <c r="D79" i="11"/>
  <c r="D75" i="11"/>
  <c r="M67" i="10"/>
  <c r="C73" i="10"/>
  <c r="N75" i="10"/>
  <c r="O73" i="11"/>
  <c r="E71" i="11"/>
  <c r="E69" i="11"/>
  <c r="E73" i="11"/>
  <c r="O77" i="11"/>
  <c r="O67" i="11"/>
  <c r="E81" i="11"/>
  <c r="E79" i="11"/>
  <c r="E75" i="11"/>
  <c r="O71" i="11"/>
  <c r="O69" i="11"/>
  <c r="E81" i="10"/>
  <c r="E79" i="10"/>
  <c r="N67" i="10"/>
  <c r="D73" i="10"/>
  <c r="O75" i="10"/>
  <c r="F77" i="11"/>
  <c r="F67" i="11"/>
  <c r="P73" i="11"/>
  <c r="F71" i="11"/>
  <c r="F69" i="11"/>
  <c r="P81" i="11"/>
  <c r="P79" i="11"/>
  <c r="P75" i="11"/>
  <c r="F73" i="11"/>
  <c r="P77" i="11"/>
  <c r="P67" i="11"/>
  <c r="F81" i="11"/>
  <c r="F79" i="11"/>
  <c r="F75" i="11"/>
  <c r="P71" i="11"/>
  <c r="P69" i="11"/>
  <c r="E77" i="11"/>
  <c r="O67" i="10"/>
  <c r="E73" i="10"/>
  <c r="C77" i="10"/>
  <c r="D77" i="10"/>
  <c r="C81" i="10"/>
  <c r="E77" i="10"/>
  <c r="D81" i="10"/>
  <c r="C71" i="10"/>
  <c r="C79" i="10"/>
  <c r="C69" i="10"/>
  <c r="D71" i="10"/>
  <c r="M73" i="10"/>
  <c r="D79" i="10"/>
  <c r="D69" i="10"/>
  <c r="E71" i="10"/>
  <c r="O73" i="10"/>
  <c r="O79" i="11"/>
  <c r="E69" i="10"/>
  <c r="M77" i="10"/>
  <c r="M81" i="10"/>
  <c r="N77" i="10"/>
  <c r="N81" i="10"/>
  <c r="E67" i="11"/>
  <c r="C75" i="11"/>
  <c r="C79" i="11"/>
  <c r="C81" i="11"/>
  <c r="M67" i="11"/>
  <c r="M77" i="11"/>
  <c r="C73" i="11"/>
  <c r="M75" i="11"/>
  <c r="M79" i="11"/>
  <c r="M81" i="11"/>
  <c r="M73" i="11"/>
  <c r="C67" i="11"/>
  <c r="W46" i="8" l="1"/>
  <c r="A10" i="2"/>
  <c r="A9" i="2"/>
  <c r="AU127" i="4"/>
  <c r="AU158" i="4" s="1"/>
  <c r="BT103" i="4"/>
  <c r="BR103" i="4"/>
  <c r="AC27" i="1"/>
  <c r="AQ15" i="5" s="1"/>
  <c r="A4" i="2"/>
  <c r="AC29" i="1"/>
  <c r="BL126" i="4"/>
  <c r="BL179" i="4" s="1"/>
  <c r="M15" i="5"/>
  <c r="AB15" i="5"/>
  <c r="A8" i="2"/>
  <c r="BG125" i="4" s="1"/>
  <c r="BF15" i="5"/>
  <c r="A6" i="2"/>
  <c r="BH151" i="4"/>
  <c r="AV151" i="4"/>
  <c r="BC102" i="4"/>
  <c r="BA102" i="4"/>
  <c r="AR144" i="4"/>
  <c r="AE144" i="4"/>
  <c r="BH154" i="4"/>
  <c r="BC105" i="4"/>
  <c r="BA105" i="4"/>
  <c r="AR146" i="4"/>
  <c r="AE146" i="4"/>
  <c r="CG108" i="4"/>
  <c r="CM108" i="4"/>
  <c r="CM101" i="4"/>
  <c r="CG101" i="4"/>
  <c r="BY157" i="4"/>
  <c r="BT108" i="4"/>
  <c r="BM157" i="4"/>
  <c r="BR108" i="4"/>
  <c r="CM106" i="4"/>
  <c r="CG106" i="4"/>
  <c r="AM116" i="4"/>
  <c r="AI116" i="4"/>
  <c r="BY175" i="4"/>
  <c r="BT126" i="4"/>
  <c r="BR126" i="4"/>
  <c r="BH152" i="4"/>
  <c r="AV152" i="4"/>
  <c r="BC103" i="4"/>
  <c r="BA103" i="4"/>
  <c r="BY170" i="4"/>
  <c r="BM170" i="4"/>
  <c r="BT121" i="4"/>
  <c r="BR121" i="4"/>
  <c r="AR141" i="4"/>
  <c r="AE141" i="4"/>
  <c r="B34" i="8"/>
  <c r="B37" i="8"/>
  <c r="B33" i="8"/>
  <c r="B36" i="8"/>
  <c r="B35" i="8"/>
  <c r="BH155" i="4"/>
  <c r="BC106" i="4"/>
  <c r="BA106" i="4"/>
  <c r="BR118" i="4"/>
  <c r="BY167" i="4"/>
  <c r="BM167" i="4"/>
  <c r="BT118" i="4"/>
  <c r="BY193" i="4"/>
  <c r="BR98" i="4"/>
  <c r="BY147" i="4"/>
  <c r="BM147" i="4"/>
  <c r="BT98" i="4"/>
  <c r="BC116" i="4"/>
  <c r="BH165" i="4"/>
  <c r="BA111" i="4"/>
  <c r="BH160" i="4"/>
  <c r="BC111" i="4"/>
  <c r="AM114" i="4"/>
  <c r="AI114" i="4"/>
  <c r="AM105" i="4"/>
  <c r="AI105" i="4"/>
  <c r="BY195" i="4"/>
  <c r="BT100" i="4"/>
  <c r="BR100" i="4"/>
  <c r="BY149" i="4"/>
  <c r="BM149" i="4"/>
  <c r="BY191" i="4"/>
  <c r="BY145" i="4"/>
  <c r="BM145" i="4"/>
  <c r="BT96" i="4"/>
  <c r="BR96" i="4"/>
  <c r="BY158" i="4"/>
  <c r="BM158" i="4"/>
  <c r="BT109" i="4"/>
  <c r="BH170" i="4"/>
  <c r="BC121" i="4"/>
  <c r="BH168" i="4"/>
  <c r="BC119" i="4"/>
  <c r="BA119" i="4"/>
  <c r="AM109" i="4"/>
  <c r="AI109" i="4"/>
  <c r="CM100" i="4"/>
  <c r="CG100" i="4"/>
  <c r="B50" i="8"/>
  <c r="B53" i="8"/>
  <c r="B49" i="8"/>
  <c r="B52" i="8"/>
  <c r="B51" i="8"/>
  <c r="BU92" i="4"/>
  <c r="BQ92" i="4"/>
  <c r="BR117" i="4"/>
  <c r="BY166" i="4"/>
  <c r="BM166" i="4"/>
  <c r="B43" i="8"/>
  <c r="B42" i="8"/>
  <c r="B41" i="8"/>
  <c r="B45" i="8"/>
  <c r="B44" i="8"/>
  <c r="U19" i="8"/>
  <c r="U22" i="8"/>
  <c r="U18" i="8"/>
  <c r="U21" i="8"/>
  <c r="U20" i="8"/>
  <c r="BM154" i="4"/>
  <c r="BY154" i="4"/>
  <c r="BT105" i="4"/>
  <c r="BR105" i="4"/>
  <c r="BY176" i="4"/>
  <c r="BR127" i="4"/>
  <c r="BH158" i="4"/>
  <c r="BC109" i="4"/>
  <c r="BA109" i="4"/>
  <c r="BH157" i="4"/>
  <c r="BC108" i="4"/>
  <c r="BA108" i="4"/>
  <c r="AR147" i="4"/>
  <c r="AE147" i="4"/>
  <c r="AM102" i="4"/>
  <c r="AI102" i="4"/>
  <c r="E3" i="14"/>
  <c r="U16" i="3"/>
  <c r="CM99" i="4"/>
  <c r="CG99" i="4"/>
  <c r="BY168" i="4"/>
  <c r="BM168" i="4"/>
  <c r="BT119" i="4"/>
  <c r="BY161" i="4"/>
  <c r="BM161" i="4"/>
  <c r="BR112" i="4"/>
  <c r="BT112" i="4"/>
  <c r="AV147" i="4"/>
  <c r="BH147" i="4"/>
  <c r="BC98" i="4"/>
  <c r="BA98" i="4"/>
  <c r="BC115" i="4"/>
  <c r="BA115" i="4"/>
  <c r="BH164" i="4"/>
  <c r="AI111" i="4"/>
  <c r="AM111" i="4"/>
  <c r="CM91" i="4"/>
  <c r="CM92" i="4"/>
  <c r="CG91" i="4"/>
  <c r="CG92" i="4"/>
  <c r="CM93" i="4"/>
  <c r="CG93" i="4"/>
  <c r="BM150" i="4"/>
  <c r="BT101" i="4"/>
  <c r="BR101" i="4"/>
  <c r="BY196" i="4"/>
  <c r="BY150" i="4"/>
  <c r="AV150" i="4"/>
  <c r="BH150" i="4"/>
  <c r="BC101" i="4"/>
  <c r="AV146" i="4"/>
  <c r="BH146" i="4"/>
  <c r="BC97" i="4"/>
  <c r="BA97" i="4"/>
  <c r="AR150" i="4"/>
  <c r="AE150" i="4"/>
  <c r="CM94" i="4"/>
  <c r="CG94" i="4"/>
  <c r="CM95" i="4"/>
  <c r="CG95" i="4"/>
  <c r="O62" i="8"/>
  <c r="AI106" i="4"/>
  <c r="AM106" i="4"/>
  <c r="BY171" i="4"/>
  <c r="BM171" i="4"/>
  <c r="BR122" i="4"/>
  <c r="BY169" i="4"/>
  <c r="BM169" i="4"/>
  <c r="BT120" i="4"/>
  <c r="BR120" i="4"/>
  <c r="BA113" i="4"/>
  <c r="BH162" i="4"/>
  <c r="BC113" i="4"/>
  <c r="BH149" i="4"/>
  <c r="AV149" i="4"/>
  <c r="BC100" i="4"/>
  <c r="BA100" i="4"/>
  <c r="AI113" i="4"/>
  <c r="AM113" i="4"/>
  <c r="BY160" i="4"/>
  <c r="BM160" i="4"/>
  <c r="BT111" i="4"/>
  <c r="BR111" i="4"/>
  <c r="A7" i="2"/>
  <c r="CM96" i="4"/>
  <c r="CG96" i="4"/>
  <c r="CM97" i="4"/>
  <c r="CG97" i="4"/>
  <c r="BY162" i="4"/>
  <c r="BM162" i="4"/>
  <c r="BT113" i="4"/>
  <c r="BR113" i="4"/>
  <c r="BY155" i="4"/>
  <c r="BM155" i="4"/>
  <c r="BR106" i="4"/>
  <c r="BT106" i="4"/>
  <c r="BH166" i="4"/>
  <c r="BC117" i="4"/>
  <c r="BA117" i="4"/>
  <c r="BH163" i="4"/>
  <c r="BC114" i="4"/>
  <c r="BA114" i="4"/>
  <c r="AM108" i="4"/>
  <c r="AI108" i="4"/>
  <c r="BC123" i="4"/>
  <c r="BA123" i="4"/>
  <c r="BH172" i="4"/>
  <c r="CM98" i="4"/>
  <c r="CG98" i="4"/>
  <c r="CG109" i="4"/>
  <c r="CM109" i="4"/>
  <c r="BY143" i="4"/>
  <c r="BT94" i="4"/>
  <c r="BR94" i="4"/>
  <c r="BM143" i="4"/>
  <c r="BY189" i="4"/>
  <c r="BY172" i="4"/>
  <c r="BM172" i="4"/>
  <c r="BR123" i="4"/>
  <c r="BC104" i="4"/>
  <c r="BA104" i="4"/>
  <c r="BH153" i="4"/>
  <c r="BH167" i="4"/>
  <c r="BC118" i="4"/>
  <c r="BA118" i="4"/>
  <c r="AM104" i="4"/>
  <c r="AI104" i="4"/>
  <c r="AI115" i="4"/>
  <c r="AM115" i="4"/>
  <c r="CM104" i="4"/>
  <c r="CG104" i="4"/>
  <c r="J15" i="6"/>
  <c r="K20" i="6"/>
  <c r="K19" i="8"/>
  <c r="K22" i="8"/>
  <c r="K18" i="8"/>
  <c r="K21" i="8"/>
  <c r="K20" i="8"/>
  <c r="O19" i="8"/>
  <c r="O22" i="8"/>
  <c r="O18" i="8"/>
  <c r="O21" i="8"/>
  <c r="O20" i="8"/>
  <c r="W52" i="8"/>
  <c r="W53" i="8"/>
  <c r="W49" i="8"/>
  <c r="W51" i="8"/>
  <c r="W50" i="8"/>
  <c r="E19" i="8"/>
  <c r="E22" i="8"/>
  <c r="E18" i="8"/>
  <c r="E21" i="8"/>
  <c r="E20" i="8"/>
  <c r="BA121" i="4"/>
  <c r="BY194" i="4"/>
  <c r="BY148" i="4"/>
  <c r="BM148" i="4"/>
  <c r="BT99" i="4"/>
  <c r="BR99" i="4"/>
  <c r="BY192" i="4"/>
  <c r="BY146" i="4"/>
  <c r="BM146" i="4"/>
  <c r="BT97" i="4"/>
  <c r="BR97" i="4"/>
  <c r="BA107" i="4"/>
  <c r="BH156" i="4"/>
  <c r="BC107" i="4"/>
  <c r="BH171" i="4"/>
  <c r="BC122" i="4"/>
  <c r="BA122" i="4"/>
  <c r="AM107" i="4"/>
  <c r="AI107" i="4"/>
  <c r="BM159" i="4"/>
  <c r="BR110" i="4"/>
  <c r="BY159" i="4"/>
  <c r="BT110" i="4"/>
  <c r="AV144" i="4"/>
  <c r="AY94" i="4" s="1"/>
  <c r="BC95" i="4"/>
  <c r="BA95" i="4"/>
  <c r="BH144" i="4"/>
  <c r="BD94" i="4" s="1"/>
  <c r="J65" i="8"/>
  <c r="A45" i="3" s="1"/>
  <c r="B29" i="8"/>
  <c r="B26" i="8"/>
  <c r="B28" i="8"/>
  <c r="B25" i="8"/>
  <c r="B27" i="8"/>
  <c r="W33" i="8"/>
  <c r="W36" i="8"/>
  <c r="W35" i="8"/>
  <c r="W34" i="8"/>
  <c r="W37" i="8"/>
  <c r="W28" i="8"/>
  <c r="W26" i="8"/>
  <c r="W27" i="8"/>
  <c r="W25" i="8"/>
  <c r="W29" i="8"/>
  <c r="U59" i="8"/>
  <c r="U61" i="8"/>
  <c r="U58" i="8"/>
  <c r="U60" i="8"/>
  <c r="U57" i="8"/>
  <c r="E57" i="8"/>
  <c r="E59" i="8"/>
  <c r="E61" i="8"/>
  <c r="E58" i="8"/>
  <c r="E60" i="8"/>
  <c r="K61" i="8"/>
  <c r="K59" i="8"/>
  <c r="K58" i="8"/>
  <c r="K57" i="8"/>
  <c r="K60" i="8"/>
  <c r="BY163" i="4"/>
  <c r="BM163" i="4"/>
  <c r="BR114" i="4"/>
  <c r="BT114" i="4"/>
  <c r="BM173" i="4"/>
  <c r="BT124" i="4"/>
  <c r="BY173" i="4"/>
  <c r="BH159" i="4"/>
  <c r="BA110" i="4"/>
  <c r="BH175" i="4"/>
  <c r="BD125" i="4" s="1"/>
  <c r="BA126" i="4"/>
  <c r="BC126" i="4"/>
  <c r="AR149" i="4"/>
  <c r="AE149" i="4"/>
  <c r="AR148" i="4"/>
  <c r="AE148" i="4"/>
  <c r="AZ94" i="4"/>
  <c r="BA101" i="4"/>
  <c r="BY153" i="4"/>
  <c r="BM153" i="4"/>
  <c r="BP103" i="4" s="1"/>
  <c r="BR104" i="4"/>
  <c r="BT104" i="4"/>
  <c r="BY151" i="4"/>
  <c r="BM151" i="4"/>
  <c r="BY197" i="4"/>
  <c r="BT102" i="4"/>
  <c r="BR102" i="4"/>
  <c r="BH176" i="4"/>
  <c r="BA127" i="4"/>
  <c r="BC120" i="4"/>
  <c r="BA120" i="4"/>
  <c r="BH169" i="4"/>
  <c r="AR145" i="4"/>
  <c r="AE145" i="4"/>
  <c r="AI112" i="4"/>
  <c r="CM107" i="4"/>
  <c r="CG107" i="4"/>
  <c r="CM105" i="4"/>
  <c r="CG105" i="4"/>
  <c r="CG114" i="4"/>
  <c r="CM114" i="4"/>
  <c r="BT115" i="4"/>
  <c r="BY164" i="4"/>
  <c r="BM164" i="4"/>
  <c r="BY156" i="4"/>
  <c r="BM156" i="4"/>
  <c r="BT107" i="4"/>
  <c r="BR107" i="4"/>
  <c r="AV145" i="4"/>
  <c r="BC96" i="4"/>
  <c r="BH145" i="4"/>
  <c r="BA96" i="4"/>
  <c r="BH173" i="4"/>
  <c r="BC124" i="4"/>
  <c r="AM110" i="4"/>
  <c r="AI110" i="4"/>
  <c r="AM103" i="4"/>
  <c r="AI103" i="4"/>
  <c r="BD112" i="4"/>
  <c r="AZ112" i="4"/>
  <c r="CC126" i="4"/>
  <c r="CO137" i="4" s="1"/>
  <c r="AU114" i="4"/>
  <c r="BG137" i="4" s="1"/>
  <c r="AD105" i="4"/>
  <c r="AQ137" i="4" s="1"/>
  <c r="BL137" i="4"/>
  <c r="CM102" i="4"/>
  <c r="CG102" i="4"/>
  <c r="CM113" i="4"/>
  <c r="CG113" i="4"/>
  <c r="AV142" i="4"/>
  <c r="BA93" i="4"/>
  <c r="BH142" i="4"/>
  <c r="BC93" i="4"/>
  <c r="BY165" i="4"/>
  <c r="BM165" i="4"/>
  <c r="BT116" i="4"/>
  <c r="BR116" i="4"/>
  <c r="BY174" i="4"/>
  <c r="BM174" i="4"/>
  <c r="BT125" i="4"/>
  <c r="AV141" i="4"/>
  <c r="BC92" i="4"/>
  <c r="BH141" i="4"/>
  <c r="BA92" i="4"/>
  <c r="BQ103" i="4"/>
  <c r="BU103" i="4"/>
  <c r="BE94" i="4"/>
  <c r="A5" i="2"/>
  <c r="CM103" i="4"/>
  <c r="CG103" i="4"/>
  <c r="CG112" i="4"/>
  <c r="CM112" i="4"/>
  <c r="BC127" i="4"/>
  <c r="BY144" i="4"/>
  <c r="BY190" i="4"/>
  <c r="BM144" i="4"/>
  <c r="BT95" i="4"/>
  <c r="BR95" i="4"/>
  <c r="BY188" i="4"/>
  <c r="BO92" i="4" s="1"/>
  <c r="BY142" i="4"/>
  <c r="BT93" i="4"/>
  <c r="BR93" i="4"/>
  <c r="BM142" i="4"/>
  <c r="BV92" i="4" s="1"/>
  <c r="AV148" i="4"/>
  <c r="BH148" i="4"/>
  <c r="BC99" i="4"/>
  <c r="BA99" i="4"/>
  <c r="AR143" i="4"/>
  <c r="AE143" i="4"/>
  <c r="AR142" i="4"/>
  <c r="AE142" i="4"/>
  <c r="BW91" i="4"/>
  <c r="BO91" i="4"/>
  <c r="AR124" i="4"/>
  <c r="CG110" i="4"/>
  <c r="CM110" i="4"/>
  <c r="CM111" i="4"/>
  <c r="CG111" i="4"/>
  <c r="BG122" i="4" l="1"/>
  <c r="BX106" i="4"/>
  <c r="BY124" i="4"/>
  <c r="AR123" i="4"/>
  <c r="CO127" i="4"/>
  <c r="BY126" i="4"/>
  <c r="W54" i="8"/>
  <c r="U62" i="8"/>
  <c r="B30" i="8"/>
  <c r="E62" i="8"/>
  <c r="CP126" i="4"/>
  <c r="AR122" i="4"/>
  <c r="BY129" i="4"/>
  <c r="CP128" i="4"/>
  <c r="BH124" i="4"/>
  <c r="BG124" i="4"/>
  <c r="BH128" i="4"/>
  <c r="AR126" i="4"/>
  <c r="H9" i="2"/>
  <c r="BG126" i="4"/>
  <c r="H10" i="2"/>
  <c r="BY122" i="4"/>
  <c r="H11" i="2"/>
  <c r="BZ116" i="4"/>
  <c r="AQ122" i="4"/>
  <c r="CP124" i="4"/>
  <c r="BX123" i="4"/>
  <c r="BX124" i="4"/>
  <c r="BX128" i="4"/>
  <c r="CO123" i="4"/>
  <c r="CO129" i="4"/>
  <c r="AQ124" i="4"/>
  <c r="AQ127" i="4"/>
  <c r="CP125" i="4"/>
  <c r="CO125" i="4"/>
  <c r="BG123" i="4"/>
  <c r="CO119" i="4"/>
  <c r="BH121" i="4"/>
  <c r="AQ101" i="4"/>
  <c r="H8" i="2"/>
  <c r="BH129" i="4"/>
  <c r="CP129" i="4"/>
  <c r="BY127" i="4"/>
  <c r="AQ128" i="4"/>
  <c r="AQ129" i="4"/>
  <c r="BH126" i="4"/>
  <c r="AR128" i="4"/>
  <c r="BX127" i="4"/>
  <c r="BH127" i="4"/>
  <c r="CP123" i="4"/>
  <c r="CO128" i="4"/>
  <c r="BG127" i="4"/>
  <c r="CO126" i="4"/>
  <c r="BY125" i="4"/>
  <c r="BY123" i="4"/>
  <c r="AQ123" i="4"/>
  <c r="AQ126" i="4"/>
  <c r="BY128" i="4"/>
  <c r="BH125" i="4"/>
  <c r="AR125" i="4"/>
  <c r="AR127" i="4"/>
  <c r="BX122" i="4"/>
  <c r="CP122" i="4"/>
  <c r="CO122" i="4"/>
  <c r="BG129" i="4"/>
  <c r="BX126" i="4"/>
  <c r="BH123" i="4"/>
  <c r="AQ125" i="4"/>
  <c r="CO124" i="4"/>
  <c r="CP127" i="4"/>
  <c r="BH122" i="4"/>
  <c r="BG128" i="4"/>
  <c r="BX129" i="4"/>
  <c r="AR129" i="4"/>
  <c r="BP92" i="4"/>
  <c r="BX125" i="4"/>
  <c r="H6" i="2"/>
  <c r="BX104" i="4"/>
  <c r="BQ106" i="4"/>
  <c r="BU106" i="4"/>
  <c r="BU111" i="4"/>
  <c r="BQ111" i="4"/>
  <c r="BU122" i="4"/>
  <c r="BQ122" i="4"/>
  <c r="AZ108" i="4"/>
  <c r="BD108" i="4"/>
  <c r="BP96" i="4"/>
  <c r="BV96" i="4"/>
  <c r="BD116" i="4"/>
  <c r="AZ116" i="4"/>
  <c r="BE19" i="8"/>
  <c r="BD19" i="8"/>
  <c r="AH97" i="4"/>
  <c r="AN97" i="4"/>
  <c r="AY99" i="4"/>
  <c r="BE99" i="4"/>
  <c r="BU116" i="4"/>
  <c r="BQ116" i="4"/>
  <c r="BD101" i="4"/>
  <c r="AZ101" i="4"/>
  <c r="BU96" i="4"/>
  <c r="BQ96" i="4"/>
  <c r="AM97" i="4"/>
  <c r="AI97" i="4"/>
  <c r="BD122" i="4"/>
  <c r="AZ122" i="4"/>
  <c r="K23" i="8"/>
  <c r="BA19" i="8" s="1"/>
  <c r="AZ123" i="4"/>
  <c r="BD123" i="4"/>
  <c r="BE101" i="4"/>
  <c r="AY101" i="4"/>
  <c r="AZ115" i="4"/>
  <c r="BD115" i="4"/>
  <c r="B46" i="8"/>
  <c r="BI19" i="8" s="1"/>
  <c r="AZ125" i="4"/>
  <c r="BO96" i="4"/>
  <c r="BW96" i="4"/>
  <c r="B38" i="8"/>
  <c r="BG19" i="8" s="1"/>
  <c r="BU126" i="4"/>
  <c r="BQ126" i="4"/>
  <c r="H5" i="2"/>
  <c r="CP108" i="4"/>
  <c r="AR107" i="4"/>
  <c r="BX109" i="4"/>
  <c r="BH115" i="4"/>
  <c r="BG111" i="4"/>
  <c r="BG101" i="4"/>
  <c r="CP101" i="4"/>
  <c r="AQ106" i="4"/>
  <c r="BX97" i="4"/>
  <c r="CO91" i="4"/>
  <c r="BY105" i="4"/>
  <c r="BG121" i="4"/>
  <c r="BG119" i="4"/>
  <c r="BH118" i="4"/>
  <c r="BH106" i="4"/>
  <c r="BG106" i="4"/>
  <c r="AQ107" i="4"/>
  <c r="BH111" i="4"/>
  <c r="BX108" i="4"/>
  <c r="BY100" i="4"/>
  <c r="BX100" i="4"/>
  <c r="CO101" i="4"/>
  <c r="BH92" i="4"/>
  <c r="BG117" i="4"/>
  <c r="CO99" i="4"/>
  <c r="AR114" i="4"/>
  <c r="CP114" i="4"/>
  <c r="BH120" i="4"/>
  <c r="BX118" i="4"/>
  <c r="BH116" i="4"/>
  <c r="CO104" i="4"/>
  <c r="AR104" i="4"/>
  <c r="AQ104" i="4"/>
  <c r="BY108" i="4"/>
  <c r="BY104" i="4"/>
  <c r="AR100" i="4"/>
  <c r="AQ100" i="4"/>
  <c r="CP91" i="4"/>
  <c r="BH117" i="4"/>
  <c r="BX115" i="4"/>
  <c r="AQ108" i="4"/>
  <c r="CP119" i="4"/>
  <c r="CO117" i="4"/>
  <c r="BH112" i="4"/>
  <c r="CP100" i="4"/>
  <c r="BH103" i="4"/>
  <c r="BG103" i="4"/>
  <c r="CO107" i="4"/>
  <c r="BH101" i="4"/>
  <c r="BH98" i="4"/>
  <c r="BG98" i="4"/>
  <c r="BY120" i="4"/>
  <c r="BY115" i="4"/>
  <c r="CO114" i="4"/>
  <c r="BH107" i="4"/>
  <c r="BH119" i="4"/>
  <c r="CP121" i="4"/>
  <c r="BY110" i="4"/>
  <c r="BG100" i="4"/>
  <c r="BY102" i="4"/>
  <c r="AQ102" i="4"/>
  <c r="AR99" i="4"/>
  <c r="CO97" i="4"/>
  <c r="BY96" i="4"/>
  <c r="BY97" i="4"/>
  <c r="CO118" i="4"/>
  <c r="BH113" i="4"/>
  <c r="BG113" i="4"/>
  <c r="AQ114" i="4"/>
  <c r="CO109" i="4"/>
  <c r="CO95" i="4"/>
  <c r="AR102" i="4"/>
  <c r="BX99" i="4"/>
  <c r="CP97" i="4"/>
  <c r="BX95" i="4"/>
  <c r="AR95" i="4"/>
  <c r="BX96" i="4"/>
  <c r="AR115" i="4"/>
  <c r="AQ115" i="4"/>
  <c r="AR110" i="4"/>
  <c r="BY111" i="4"/>
  <c r="BG105" i="4"/>
  <c r="AQ121" i="4"/>
  <c r="CP117" i="4"/>
  <c r="CP109" i="4"/>
  <c r="AR108" i="4"/>
  <c r="BY94" i="4"/>
  <c r="CO100" i="4"/>
  <c r="BH97" i="4"/>
  <c r="BG97" i="4"/>
  <c r="AQ94" i="4"/>
  <c r="AR91" i="4"/>
  <c r="AQ95" i="4"/>
  <c r="BG114" i="4"/>
  <c r="AQ111" i="4"/>
  <c r="CO105" i="4"/>
  <c r="CP110" i="4"/>
  <c r="CO113" i="4"/>
  <c r="BX105" i="4"/>
  <c r="CP104" i="4"/>
  <c r="BY99" i="4"/>
  <c r="CP96" i="4"/>
  <c r="CO96" i="4"/>
  <c r="AR121" i="4"/>
  <c r="AQ91" i="4"/>
  <c r="CP111" i="4"/>
  <c r="BH108" i="4"/>
  <c r="AQ105" i="4"/>
  <c r="BG104" i="4"/>
  <c r="BY101" i="4"/>
  <c r="AR120" i="4"/>
  <c r="CO111" i="4"/>
  <c r="CO102" i="4"/>
  <c r="BH100" i="4"/>
  <c r="BG96" i="4"/>
  <c r="AR93" i="4"/>
  <c r="BY95" i="4"/>
  <c r="AR119" i="4"/>
  <c r="AR111" i="4"/>
  <c r="BY106" i="4"/>
  <c r="BH104" i="4"/>
  <c r="BG102" i="4"/>
  <c r="AQ99" i="4"/>
  <c r="AQ119" i="4"/>
  <c r="BY121" i="4"/>
  <c r="AQ109" i="4"/>
  <c r="BX98" i="4"/>
  <c r="AQ98" i="4"/>
  <c r="BX94" i="4"/>
  <c r="AQ92" i="4"/>
  <c r="AR94" i="4"/>
  <c r="BY116" i="4"/>
  <c r="CO120" i="4"/>
  <c r="BY103" i="4"/>
  <c r="CP105" i="4"/>
  <c r="BH102" i="4"/>
  <c r="CP99" i="4"/>
  <c r="BY119" i="4"/>
  <c r="BH96" i="4"/>
  <c r="AQ116" i="4"/>
  <c r="CP120" i="4"/>
  <c r="BG108" i="4"/>
  <c r="AR98" i="4"/>
  <c r="BX93" i="4"/>
  <c r="AR117" i="4"/>
  <c r="AR92" i="4"/>
  <c r="BG91" i="4"/>
  <c r="AQ93" i="4"/>
  <c r="AQ120" i="4"/>
  <c r="AQ112" i="4"/>
  <c r="BX116" i="4"/>
  <c r="CO115" i="4"/>
  <c r="AQ103" i="4"/>
  <c r="AR105" i="4"/>
  <c r="BX101" i="4"/>
  <c r="BG99" i="4"/>
  <c r="CO116" i="4"/>
  <c r="CP95" i="4"/>
  <c r="AQ110" i="4"/>
  <c r="CP118" i="4"/>
  <c r="BH95" i="4"/>
  <c r="BG118" i="4"/>
  <c r="BX114" i="4"/>
  <c r="BH91" i="4"/>
  <c r="BY117" i="4"/>
  <c r="BX117" i="4"/>
  <c r="BH110" i="4"/>
  <c r="CP115" i="4"/>
  <c r="BH114" i="4"/>
  <c r="CO98" i="4"/>
  <c r="BX103" i="4"/>
  <c r="AR101" i="4"/>
  <c r="AQ97" i="4"/>
  <c r="BX110" i="4"/>
  <c r="CP112" i="4"/>
  <c r="CO106" i="4"/>
  <c r="CO93" i="4"/>
  <c r="BG95" i="4"/>
  <c r="BG109" i="4"/>
  <c r="AR118" i="4"/>
  <c r="BY93" i="4"/>
  <c r="BG116" i="4"/>
  <c r="CP113" i="4"/>
  <c r="AR116" i="4"/>
  <c r="BX113" i="4"/>
  <c r="BY107" i="4"/>
  <c r="BY112" i="4"/>
  <c r="BX112" i="4"/>
  <c r="AR96" i="4"/>
  <c r="AQ96" i="4"/>
  <c r="BH99" i="4"/>
  <c r="BG94" i="4"/>
  <c r="BG120" i="4"/>
  <c r="CO108" i="4"/>
  <c r="CP116" i="4"/>
  <c r="CP103" i="4"/>
  <c r="BG92" i="4"/>
  <c r="BY92" i="4"/>
  <c r="BX111" i="4"/>
  <c r="CP94" i="4"/>
  <c r="CO94" i="4"/>
  <c r="CP107" i="4"/>
  <c r="BX92" i="4"/>
  <c r="BY114" i="4"/>
  <c r="AR113" i="4"/>
  <c r="BG115" i="4"/>
  <c r="CO112" i="4"/>
  <c r="CP106" i="4"/>
  <c r="BG110" i="4"/>
  <c r="BH109" i="4"/>
  <c r="BH93" i="4"/>
  <c r="CP93" i="4"/>
  <c r="AR97" i="4"/>
  <c r="BY91" i="4"/>
  <c r="CP98" i="4"/>
  <c r="CO103" i="4"/>
  <c r="BG112" i="4"/>
  <c r="BY109" i="4"/>
  <c r="AQ117" i="4"/>
  <c r="AQ118" i="4"/>
  <c r="BY113" i="4"/>
  <c r="AR112" i="4"/>
  <c r="AR106" i="4"/>
  <c r="BX107" i="4"/>
  <c r="AR103" i="4"/>
  <c r="CP92" i="4"/>
  <c r="BG93" i="4"/>
  <c r="BH94" i="4"/>
  <c r="BG107" i="4"/>
  <c r="BX102" i="4"/>
  <c r="AQ113" i="4"/>
  <c r="BH105" i="4"/>
  <c r="CO92" i="4"/>
  <c r="AN99" i="4"/>
  <c r="AH99" i="4"/>
  <c r="BY118" i="4"/>
  <c r="E23" i="8"/>
  <c r="BC19" i="8" s="1"/>
  <c r="BP123" i="4"/>
  <c r="BV123" i="4"/>
  <c r="BP113" i="4"/>
  <c r="BV113" i="4"/>
  <c r="BU101" i="4"/>
  <c r="BQ101" i="4"/>
  <c r="BD109" i="4"/>
  <c r="AZ109" i="4"/>
  <c r="BV100" i="4"/>
  <c r="BP100" i="4"/>
  <c r="BV98" i="4"/>
  <c r="BP98" i="4"/>
  <c r="AN92" i="4"/>
  <c r="AH92" i="4"/>
  <c r="AN91" i="4"/>
  <c r="AH91" i="4"/>
  <c r="BU107" i="4"/>
  <c r="BQ107" i="4"/>
  <c r="AM96" i="4"/>
  <c r="AI96" i="4"/>
  <c r="BP115" i="4"/>
  <c r="BV115" i="4"/>
  <c r="AZ120" i="4"/>
  <c r="BD120" i="4"/>
  <c r="BV114" i="4"/>
  <c r="BP114" i="4"/>
  <c r="BU115" i="4"/>
  <c r="BQ115" i="4"/>
  <c r="BU114" i="4"/>
  <c r="BQ114" i="4"/>
  <c r="BV122" i="4"/>
  <c r="BP122" i="4"/>
  <c r="K62" i="8"/>
  <c r="BO19" i="8" s="1"/>
  <c r="BD95" i="4"/>
  <c r="AZ95" i="4"/>
  <c r="BU123" i="4"/>
  <c r="BQ123" i="4"/>
  <c r="BU113" i="4"/>
  <c r="BQ113" i="4"/>
  <c r="BO101" i="4"/>
  <c r="BW101" i="4"/>
  <c r="BV117" i="4"/>
  <c r="BP117" i="4"/>
  <c r="BU100" i="4"/>
  <c r="BQ100" i="4"/>
  <c r="BU98" i="4"/>
  <c r="BQ98" i="4"/>
  <c r="AM92" i="4"/>
  <c r="AI92" i="4"/>
  <c r="AZ105" i="4"/>
  <c r="BD105" i="4"/>
  <c r="BM19" i="8"/>
  <c r="BL19" i="8"/>
  <c r="BD127" i="4"/>
  <c r="AZ127" i="4"/>
  <c r="AN100" i="4"/>
  <c r="AH100" i="4"/>
  <c r="CO121" i="4"/>
  <c r="BW102" i="4"/>
  <c r="BO102" i="4"/>
  <c r="W38" i="8"/>
  <c r="BY19" i="8" s="1"/>
  <c r="BW94" i="4"/>
  <c r="BO94" i="4"/>
  <c r="AY100" i="4"/>
  <c r="BE100" i="4"/>
  <c r="BU127" i="4"/>
  <c r="BQ127" i="4"/>
  <c r="BU117" i="4"/>
  <c r="BQ117" i="4"/>
  <c r="AN95" i="4"/>
  <c r="AH95" i="4"/>
  <c r="BX121" i="4"/>
  <c r="BV93" i="4"/>
  <c r="BP93" i="4"/>
  <c r="BX119" i="4"/>
  <c r="AM99" i="4"/>
  <c r="AI99" i="4"/>
  <c r="BP97" i="4"/>
  <c r="BV97" i="4"/>
  <c r="BW19" i="8"/>
  <c r="BV19" i="8"/>
  <c r="BU19" i="8"/>
  <c r="BT19" i="8"/>
  <c r="BV94" i="4"/>
  <c r="BP94" i="4"/>
  <c r="BD100" i="4"/>
  <c r="AZ100" i="4"/>
  <c r="BW98" i="4"/>
  <c r="BO98" i="4"/>
  <c r="AM95" i="4"/>
  <c r="AI95" i="4"/>
  <c r="BD99" i="4"/>
  <c r="AZ99" i="4"/>
  <c r="BV116" i="4"/>
  <c r="BP116" i="4"/>
  <c r="AZ93" i="4"/>
  <c r="BD93" i="4"/>
  <c r="AM100" i="4"/>
  <c r="AI100" i="4"/>
  <c r="BU93" i="4"/>
  <c r="BQ93" i="4"/>
  <c r="AY93" i="4"/>
  <c r="BE93" i="4"/>
  <c r="BW93" i="4"/>
  <c r="BO93" i="4"/>
  <c r="BE95" i="4"/>
  <c r="AY95" i="4"/>
  <c r="BQ97" i="4"/>
  <c r="BU97" i="4"/>
  <c r="BY98" i="4"/>
  <c r="BP101" i="4"/>
  <c r="BV101" i="4"/>
  <c r="BD98" i="4"/>
  <c r="AZ98" i="4"/>
  <c r="BW100" i="4"/>
  <c r="BO100" i="4"/>
  <c r="BP121" i="4"/>
  <c r="BV121" i="4"/>
  <c r="AZ104" i="4"/>
  <c r="BD104" i="4"/>
  <c r="W30" i="8"/>
  <c r="CA19" i="8" s="1"/>
  <c r="BD107" i="4"/>
  <c r="AZ107" i="4"/>
  <c r="BW92" i="4"/>
  <c r="AZ124" i="4"/>
  <c r="BD124" i="4"/>
  <c r="BV102" i="4"/>
  <c r="BP102" i="4"/>
  <c r="BD126" i="4"/>
  <c r="AZ126" i="4"/>
  <c r="BV103" i="4"/>
  <c r="AZ92" i="4"/>
  <c r="BD92" i="4"/>
  <c r="BD96" i="4"/>
  <c r="AZ96" i="4"/>
  <c r="BU102" i="4"/>
  <c r="BQ102" i="4"/>
  <c r="BV95" i="4"/>
  <c r="BP95" i="4"/>
  <c r="BD110" i="4"/>
  <c r="AZ110" i="4"/>
  <c r="BO97" i="4"/>
  <c r="BW97" i="4"/>
  <c r="AZ113" i="4"/>
  <c r="BD113" i="4"/>
  <c r="BX120" i="4"/>
  <c r="BE98" i="4"/>
  <c r="AY98" i="4"/>
  <c r="BU105" i="4"/>
  <c r="BQ105" i="4"/>
  <c r="AZ119" i="4"/>
  <c r="BD119" i="4"/>
  <c r="BX91" i="4"/>
  <c r="BP118" i="4"/>
  <c r="BV118" i="4"/>
  <c r="BU121" i="4"/>
  <c r="BQ121" i="4"/>
  <c r="BV108" i="4"/>
  <c r="BP108" i="4"/>
  <c r="BP106" i="4"/>
  <c r="BV106" i="4"/>
  <c r="BP111" i="4"/>
  <c r="BV111" i="4"/>
  <c r="BE97" i="4"/>
  <c r="AY97" i="4"/>
  <c r="BU119" i="4"/>
  <c r="BQ119" i="4"/>
  <c r="AN93" i="4"/>
  <c r="AH93" i="4"/>
  <c r="BW95" i="4"/>
  <c r="BO95" i="4"/>
  <c r="AY92" i="4"/>
  <c r="BE91" i="4"/>
  <c r="AY91" i="4"/>
  <c r="BE92" i="4"/>
  <c r="BE96" i="4"/>
  <c r="AY96" i="4"/>
  <c r="BQ124" i="4"/>
  <c r="BU124" i="4"/>
  <c r="BU110" i="4"/>
  <c r="BQ110" i="4"/>
  <c r="BU94" i="4"/>
  <c r="BQ94" i="4"/>
  <c r="BD114" i="4"/>
  <c r="AZ114" i="4"/>
  <c r="AR109" i="4"/>
  <c r="H3" i="2"/>
  <c r="BV105" i="4"/>
  <c r="BP105" i="4"/>
  <c r="BQ118" i="4"/>
  <c r="BU118" i="4"/>
  <c r="BE102" i="4"/>
  <c r="AY102" i="4"/>
  <c r="BS19" i="8"/>
  <c r="BR19" i="8"/>
  <c r="BQ19" i="8"/>
  <c r="BP19" i="8"/>
  <c r="CO110" i="4"/>
  <c r="AH101" i="4"/>
  <c r="AN101" i="4"/>
  <c r="BD121" i="4"/>
  <c r="AZ121" i="4"/>
  <c r="BU108" i="4"/>
  <c r="BQ108" i="4"/>
  <c r="AZ102" i="4"/>
  <c r="BD102" i="4"/>
  <c r="BV110" i="4"/>
  <c r="BP110" i="4"/>
  <c r="BV99" i="4"/>
  <c r="BP99" i="4"/>
  <c r="H7" i="2"/>
  <c r="AI101" i="4"/>
  <c r="AM101" i="4"/>
  <c r="BV112" i="4"/>
  <c r="BP112" i="4"/>
  <c r="BE103" i="4"/>
  <c r="AY103" i="4"/>
  <c r="H4" i="2"/>
  <c r="AM93" i="4"/>
  <c r="AI93" i="4"/>
  <c r="BU95" i="4"/>
  <c r="BQ95" i="4"/>
  <c r="AN94" i="4"/>
  <c r="AH94" i="4"/>
  <c r="BU104" i="4"/>
  <c r="BQ104" i="4"/>
  <c r="BP124" i="4"/>
  <c r="BV124" i="4"/>
  <c r="AM94" i="4"/>
  <c r="AI94" i="4"/>
  <c r="BU125" i="4"/>
  <c r="BQ125" i="4"/>
  <c r="BV107" i="4"/>
  <c r="BP107" i="4"/>
  <c r="AH96" i="4"/>
  <c r="AN96" i="4"/>
  <c r="BU99" i="4"/>
  <c r="BQ99" i="4"/>
  <c r="AZ117" i="4"/>
  <c r="BD117" i="4"/>
  <c r="BV120" i="4"/>
  <c r="BP120" i="4"/>
  <c r="BU112" i="4"/>
  <c r="BQ112" i="4"/>
  <c r="AN98" i="4"/>
  <c r="AH98" i="4"/>
  <c r="BV109" i="4"/>
  <c r="BP109" i="4"/>
  <c r="BD103" i="4"/>
  <c r="AZ103" i="4"/>
  <c r="BW99" i="4"/>
  <c r="BO99" i="4"/>
  <c r="O23" i="8"/>
  <c r="AY19" i="8" s="1"/>
  <c r="BU120" i="4"/>
  <c r="BQ120" i="4"/>
  <c r="AI98" i="4"/>
  <c r="AM98" i="4"/>
  <c r="B54" i="8"/>
  <c r="BK19" i="8" s="1"/>
  <c r="BU109" i="4"/>
  <c r="BQ109" i="4"/>
  <c r="BD106" i="4"/>
  <c r="AZ106" i="4"/>
  <c r="BV104" i="4"/>
  <c r="BP104" i="4"/>
  <c r="E40" i="3"/>
  <c r="E30" i="3"/>
  <c r="E36" i="3"/>
  <c r="E39" i="3"/>
  <c r="E32" i="3"/>
  <c r="E42" i="3"/>
  <c r="O42" i="3" s="1"/>
  <c r="E35" i="3"/>
  <c r="E31" i="3"/>
  <c r="E34" i="3"/>
  <c r="E27" i="3"/>
  <c r="E37" i="3"/>
  <c r="E21" i="3"/>
  <c r="E17" i="3"/>
  <c r="E20" i="3"/>
  <c r="E38" i="3"/>
  <c r="E16" i="3"/>
  <c r="E41" i="3"/>
  <c r="E19" i="3"/>
  <c r="O19" i="3" s="1"/>
  <c r="E22" i="3"/>
  <c r="E25" i="3"/>
  <c r="E18" i="3"/>
  <c r="E29" i="3"/>
  <c r="E28" i="3"/>
  <c r="E26" i="3"/>
  <c r="E24" i="3"/>
  <c r="E33" i="3"/>
  <c r="E23" i="3"/>
  <c r="F23" i="3" s="1"/>
  <c r="BD118" i="4"/>
  <c r="AZ118" i="4"/>
  <c r="CP102" i="4"/>
  <c r="BD97" i="4"/>
  <c r="AZ97" i="4"/>
  <c r="BV119" i="4"/>
  <c r="BP119" i="4"/>
  <c r="U23" i="8"/>
  <c r="AV19" i="8" s="1"/>
  <c r="BD111" i="4"/>
  <c r="AZ111" i="4"/>
  <c r="F19" i="3" l="1"/>
  <c r="G19" i="3" s="1"/>
  <c r="Q19" i="3" s="1"/>
  <c r="BR28" i="8"/>
  <c r="F37" i="3"/>
  <c r="G37" i="3" s="1"/>
  <c r="BV22" i="8"/>
  <c r="AW19" i="8"/>
  <c r="AX19" i="8"/>
  <c r="AX28" i="8" s="1"/>
  <c r="BH19" i="8"/>
  <c r="BH28" i="8" s="1"/>
  <c r="BX19" i="8"/>
  <c r="BX28" i="8" s="1"/>
  <c r="BQ22" i="8"/>
  <c r="F28" i="3"/>
  <c r="N28" i="3" s="1"/>
  <c r="F30" i="3"/>
  <c r="G30" i="3" s="1"/>
  <c r="Q30" i="3" s="1"/>
  <c r="F29" i="3"/>
  <c r="G29" i="3" s="1"/>
  <c r="Q29" i="3" s="1"/>
  <c r="F31" i="3"/>
  <c r="G31" i="3" s="1"/>
  <c r="N29" i="3"/>
  <c r="F32" i="3"/>
  <c r="G23" i="3"/>
  <c r="Q23" i="3" s="1"/>
  <c r="N23" i="3"/>
  <c r="N19" i="3"/>
  <c r="F22" i="3"/>
  <c r="BB22" i="8"/>
  <c r="O34" i="3"/>
  <c r="P35" i="3"/>
  <c r="Q35" i="3"/>
  <c r="O26" i="3"/>
  <c r="Q27" i="3"/>
  <c r="P27" i="3"/>
  <c r="O31" i="3"/>
  <c r="BU22" i="8"/>
  <c r="BT28" i="8"/>
  <c r="BN22" i="8"/>
  <c r="BL28" i="8"/>
  <c r="P25" i="3"/>
  <c r="O24" i="3"/>
  <c r="Q25" i="3"/>
  <c r="BJ22" i="8"/>
  <c r="BJ19" i="8"/>
  <c r="BJ28" i="8" s="1"/>
  <c r="BV28" i="8"/>
  <c r="BN19" i="8"/>
  <c r="BN28" i="8" s="1"/>
  <c r="O18" i="3"/>
  <c r="F18" i="3"/>
  <c r="O32" i="3"/>
  <c r="Q33" i="3"/>
  <c r="P33" i="3"/>
  <c r="O39" i="3"/>
  <c r="Q40" i="3"/>
  <c r="P40" i="3"/>
  <c r="AX22" i="8"/>
  <c r="AV28" i="8"/>
  <c r="O29" i="3"/>
  <c r="O25" i="3"/>
  <c r="Q26" i="3"/>
  <c r="P26" i="3"/>
  <c r="O22" i="3"/>
  <c r="O36" i="3"/>
  <c r="BZ22" i="8"/>
  <c r="BX26" i="8" s="1"/>
  <c r="O35" i="3"/>
  <c r="Q36" i="3"/>
  <c r="P36" i="3"/>
  <c r="O40" i="3"/>
  <c r="Q41" i="3"/>
  <c r="P41" i="3"/>
  <c r="BR22" i="8"/>
  <c r="BP28" i="8"/>
  <c r="BZ19" i="8"/>
  <c r="BZ28" i="8" s="1"/>
  <c r="O28" i="3"/>
  <c r="O41" i="3"/>
  <c r="Q42" i="3"/>
  <c r="P42" i="3"/>
  <c r="O16" i="3"/>
  <c r="P16" i="3"/>
  <c r="Q16" i="3"/>
  <c r="I16" i="3"/>
  <c r="J16" i="3"/>
  <c r="BD28" i="8"/>
  <c r="O27" i="3"/>
  <c r="O38" i="3"/>
  <c r="P39" i="3"/>
  <c r="Q39" i="3"/>
  <c r="F20" i="3"/>
  <c r="O20" i="3"/>
  <c r="BF22" i="8"/>
  <c r="AZ19" i="8"/>
  <c r="O17" i="3"/>
  <c r="F17" i="3"/>
  <c r="BF19" i="8"/>
  <c r="BF28" i="8" s="1"/>
  <c r="O21" i="3"/>
  <c r="F21" i="3"/>
  <c r="BB19" i="8"/>
  <c r="BB28" i="8" s="1"/>
  <c r="O33" i="3"/>
  <c r="P34" i="3"/>
  <c r="Q34" i="3"/>
  <c r="O30" i="3"/>
  <c r="O23" i="3"/>
  <c r="P24" i="3"/>
  <c r="Q24" i="3"/>
  <c r="O37" i="3"/>
  <c r="Q38" i="3"/>
  <c r="P38" i="3"/>
  <c r="N37" i="3" l="1"/>
  <c r="P37" i="3"/>
  <c r="Q37" i="3"/>
  <c r="N31" i="3"/>
  <c r="Q31" i="3"/>
  <c r="P31" i="3"/>
  <c r="AZ26" i="8"/>
  <c r="G28" i="3"/>
  <c r="P29" i="3"/>
  <c r="R29" i="3" s="1"/>
  <c r="N30" i="3"/>
  <c r="AW22" i="8"/>
  <c r="AK48" i="8"/>
  <c r="AL52" i="8" s="1"/>
  <c r="P23" i="3"/>
  <c r="R23" i="3" s="1"/>
  <c r="P30" i="3"/>
  <c r="S30" i="3" s="1"/>
  <c r="P19" i="3"/>
  <c r="S19" i="3" s="1"/>
  <c r="N32" i="3"/>
  <c r="G32" i="3"/>
  <c r="N22" i="3"/>
  <c r="G22" i="3"/>
  <c r="S39" i="3"/>
  <c r="R39" i="3"/>
  <c r="BY22" i="8"/>
  <c r="BW26" i="8" s="1"/>
  <c r="S37" i="3"/>
  <c r="R37" i="3"/>
  <c r="R27" i="3"/>
  <c r="S27" i="3"/>
  <c r="R33" i="3"/>
  <c r="S33" i="3"/>
  <c r="S41" i="3"/>
  <c r="R41" i="3"/>
  <c r="R25" i="3"/>
  <c r="S25" i="3"/>
  <c r="R35" i="3"/>
  <c r="S35" i="3"/>
  <c r="A3" i="14"/>
  <c r="C3" i="14" s="1"/>
  <c r="W16" i="3"/>
  <c r="S26" i="3"/>
  <c r="R26" i="3"/>
  <c r="S38" i="3"/>
  <c r="R38" i="3"/>
  <c r="BP26" i="8"/>
  <c r="N17" i="3"/>
  <c r="G17" i="3"/>
  <c r="J17" i="3" s="1"/>
  <c r="S36" i="3"/>
  <c r="R36" i="3"/>
  <c r="R40" i="3"/>
  <c r="S40" i="3"/>
  <c r="BM22" i="8"/>
  <c r="BO26" i="8" s="1"/>
  <c r="G21" i="3"/>
  <c r="N21" i="3"/>
  <c r="BA22" i="8"/>
  <c r="B3" i="14"/>
  <c r="D3" i="14" s="1"/>
  <c r="K16" i="3"/>
  <c r="M16" i="3"/>
  <c r="T16" i="3" s="1"/>
  <c r="L16" i="3"/>
  <c r="V16" i="3"/>
  <c r="S42" i="3"/>
  <c r="R42" i="3"/>
  <c r="N18" i="3"/>
  <c r="G18" i="3"/>
  <c r="S24" i="3"/>
  <c r="R24" i="3"/>
  <c r="S16" i="3"/>
  <c r="R16" i="3"/>
  <c r="BH26" i="8"/>
  <c r="R34" i="3"/>
  <c r="S34" i="3"/>
  <c r="BE22" i="8"/>
  <c r="G20" i="3"/>
  <c r="N20" i="3"/>
  <c r="BI22" i="8"/>
  <c r="AZ28" i="8"/>
  <c r="S31" i="3" l="1"/>
  <c r="R31" i="3"/>
  <c r="R30" i="3"/>
  <c r="R44" i="8"/>
  <c r="R45" i="8"/>
  <c r="AY26" i="8"/>
  <c r="CD22" i="8"/>
  <c r="AK53" i="8"/>
  <c r="AL23" i="8"/>
  <c r="AH23" i="8" s="1"/>
  <c r="AI48" i="8"/>
  <c r="H44" i="8" s="1"/>
  <c r="AK23" i="8"/>
  <c r="AI23" i="8" s="1"/>
  <c r="Q43" i="8"/>
  <c r="AL53" i="8"/>
  <c r="I17" i="3"/>
  <c r="B4" i="14" s="1"/>
  <c r="D4" i="14" s="1"/>
  <c r="S29" i="3"/>
  <c r="Q45" i="8"/>
  <c r="S23" i="3"/>
  <c r="AL55" i="8"/>
  <c r="AK55" i="8"/>
  <c r="R19" i="3"/>
  <c r="AK54" i="8"/>
  <c r="AL54" i="8"/>
  <c r="Q28" i="3"/>
  <c r="P28" i="3"/>
  <c r="AK52" i="8"/>
  <c r="BG26" i="8"/>
  <c r="CC22" i="8" s="1"/>
  <c r="CD20" i="8" s="1"/>
  <c r="Q44" i="8"/>
  <c r="R43" i="8" s="1"/>
  <c r="AE48" i="8"/>
  <c r="AF52" i="8" s="1"/>
  <c r="X16" i="3"/>
  <c r="P32" i="3"/>
  <c r="Q32" i="3"/>
  <c r="P22" i="3"/>
  <c r="Q22" i="3"/>
  <c r="A4" i="14"/>
  <c r="C4" i="14" s="1"/>
  <c r="J18" i="3"/>
  <c r="W17" i="3"/>
  <c r="Q17" i="3"/>
  <c r="P17" i="3"/>
  <c r="H17" i="3"/>
  <c r="P18" i="3"/>
  <c r="Q18" i="3"/>
  <c r="AG48" i="8"/>
  <c r="Q20" i="3"/>
  <c r="P20" i="3"/>
  <c r="Q21" i="3"/>
  <c r="P21" i="3"/>
  <c r="G43" i="8" l="1"/>
  <c r="AJ23" i="8"/>
  <c r="AM23" i="8"/>
  <c r="AN23" i="8"/>
  <c r="I18" i="3"/>
  <c r="I19" i="3" s="1"/>
  <c r="K17" i="3"/>
  <c r="V17" i="3"/>
  <c r="X17" i="3" s="1"/>
  <c r="AI52" i="8"/>
  <c r="L17" i="3"/>
  <c r="H45" i="8"/>
  <c r="AE54" i="8"/>
  <c r="AO23" i="8"/>
  <c r="AP23" i="8"/>
  <c r="AI53" i="8"/>
  <c r="AJ53" i="8"/>
  <c r="AR23" i="8"/>
  <c r="AE23" i="8"/>
  <c r="AF23" i="8"/>
  <c r="AG23" i="8"/>
  <c r="AI55" i="8"/>
  <c r="M17" i="3"/>
  <c r="T17" i="3" s="1"/>
  <c r="G44" i="8"/>
  <c r="H43" i="8" s="1"/>
  <c r="AJ52" i="8"/>
  <c r="G45" i="8"/>
  <c r="AQ23" i="8"/>
  <c r="AS23" i="8"/>
  <c r="AT23" i="8"/>
  <c r="AJ55" i="8"/>
  <c r="AE53" i="8"/>
  <c r="S28" i="3"/>
  <c r="R28" i="3"/>
  <c r="AE52" i="8"/>
  <c r="AJ54" i="8"/>
  <c r="AJ22" i="8" s="1"/>
  <c r="AF22" i="8" s="1"/>
  <c r="Q28" i="8"/>
  <c r="R27" i="8" s="1"/>
  <c r="N113" i="8"/>
  <c r="Q27" i="8"/>
  <c r="R29" i="8"/>
  <c r="AF54" i="8"/>
  <c r="AF53" i="8"/>
  <c r="R28" i="8"/>
  <c r="Q29" i="8"/>
  <c r="AF55" i="8" s="1"/>
  <c r="AF20" i="8" s="1"/>
  <c r="AL20" i="8" s="1"/>
  <c r="AI54" i="8"/>
  <c r="AI22" i="8" s="1"/>
  <c r="AM22" i="8" s="1"/>
  <c r="I3" i="8"/>
  <c r="S32" i="3"/>
  <c r="R32" i="3"/>
  <c r="S22" i="3"/>
  <c r="R22" i="3"/>
  <c r="B5" i="14"/>
  <c r="D5" i="14" s="1"/>
  <c r="AW61" i="8"/>
  <c r="E4" i="14"/>
  <c r="U17" i="3"/>
  <c r="H18" i="3"/>
  <c r="S20" i="3"/>
  <c r="R20" i="3"/>
  <c r="S17" i="3"/>
  <c r="R17" i="3"/>
  <c r="S18" i="3"/>
  <c r="R18" i="3"/>
  <c r="AE55" i="8"/>
  <c r="AE20" i="8" s="1"/>
  <c r="R21" i="3"/>
  <c r="S21" i="3"/>
  <c r="AG54" i="8"/>
  <c r="AG55" i="8"/>
  <c r="AH54" i="8"/>
  <c r="H29" i="8"/>
  <c r="G29" i="8"/>
  <c r="AH21" i="8"/>
  <c r="AG21" i="8"/>
  <c r="H28" i="8"/>
  <c r="AH53" i="8"/>
  <c r="G28" i="8"/>
  <c r="H27" i="8" s="1"/>
  <c r="AG53" i="8"/>
  <c r="AH55" i="8"/>
  <c r="G27" i="8"/>
  <c r="AH52" i="8"/>
  <c r="AG52" i="8"/>
  <c r="M7" i="8"/>
  <c r="A5" i="14"/>
  <c r="C5" i="14" s="1"/>
  <c r="J19" i="3"/>
  <c r="W18" i="3"/>
  <c r="V18" i="3" l="1"/>
  <c r="K18" i="3"/>
  <c r="L18" i="3"/>
  <c r="M18" i="3"/>
  <c r="T18" i="3" s="1"/>
  <c r="AP22" i="8"/>
  <c r="AH22" i="8"/>
  <c r="AL22" i="8"/>
  <c r="AN22" i="8"/>
  <c r="AR22" i="8"/>
  <c r="AS22" i="8"/>
  <c r="AG22" i="8"/>
  <c r="AT20" i="8"/>
  <c r="AH20" i="8"/>
  <c r="AH24" i="8" s="1"/>
  <c r="AE22" i="8"/>
  <c r="AE24" i="8" s="1"/>
  <c r="AN20" i="8"/>
  <c r="AP24" i="8"/>
  <c r="AT22" i="8"/>
  <c r="AP20" i="8"/>
  <c r="AQ22" i="8"/>
  <c r="AF24" i="8"/>
  <c r="AO22" i="8"/>
  <c r="AR20" i="8"/>
  <c r="AJ20" i="8"/>
  <c r="AJ24" i="8" s="1"/>
  <c r="AK22" i="8"/>
  <c r="AL24" i="8"/>
  <c r="AN24" i="8"/>
  <c r="X18" i="3"/>
  <c r="A6" i="14"/>
  <c r="C6" i="14" s="1"/>
  <c r="J20" i="3"/>
  <c r="W19" i="3"/>
  <c r="AO20" i="8"/>
  <c r="AO24" i="8" s="1"/>
  <c r="AM20" i="8"/>
  <c r="AM24" i="8" s="1"/>
  <c r="AI24" i="8"/>
  <c r="AK20" i="8"/>
  <c r="AK24" i="8" s="1"/>
  <c r="AI20" i="8"/>
  <c r="AG20" i="8"/>
  <c r="AG24" i="8" s="1"/>
  <c r="AS20" i="8"/>
  <c r="AS24" i="8" s="1"/>
  <c r="AQ20" i="8"/>
  <c r="B6" i="14"/>
  <c r="D6" i="14" s="1"/>
  <c r="L19" i="3"/>
  <c r="K19" i="3"/>
  <c r="I20" i="3"/>
  <c r="M19" i="3"/>
  <c r="T19" i="3" s="1"/>
  <c r="V19" i="3"/>
  <c r="M7" i="11"/>
  <c r="M7" i="9"/>
  <c r="M7" i="10"/>
  <c r="E5" i="14"/>
  <c r="U18" i="3"/>
  <c r="H19" i="3"/>
  <c r="AK21" i="8"/>
  <c r="AI21" i="8"/>
  <c r="AE21" i="8"/>
  <c r="AS21" i="8"/>
  <c r="AQ21" i="8"/>
  <c r="AO21" i="8"/>
  <c r="AM21" i="8"/>
  <c r="AJ21" i="8"/>
  <c r="AF21" i="8"/>
  <c r="AT21" i="8"/>
  <c r="AR21" i="8"/>
  <c r="AP21" i="8"/>
  <c r="AN21" i="8"/>
  <c r="AL21" i="8"/>
  <c r="AR24" i="8" l="1"/>
  <c r="AQ24" i="8"/>
  <c r="AT24" i="8"/>
  <c r="X19" i="3"/>
  <c r="AA7" i="5"/>
  <c r="AP7" i="5"/>
  <c r="BE7" i="5"/>
  <c r="L7" i="5"/>
  <c r="A7" i="14"/>
  <c r="C7" i="14" s="1"/>
  <c r="J21" i="3"/>
  <c r="W20" i="3"/>
  <c r="AC7" i="5"/>
  <c r="AR7" i="5"/>
  <c r="BG7" i="5"/>
  <c r="N7" i="5"/>
  <c r="AG7" i="5"/>
  <c r="AV7" i="5"/>
  <c r="R7" i="5"/>
  <c r="C7" i="5"/>
  <c r="E6" i="14"/>
  <c r="H20" i="3"/>
  <c r="U19" i="3"/>
  <c r="AI7" i="5"/>
  <c r="E7" i="5"/>
  <c r="AX7" i="5"/>
  <c r="T7" i="5"/>
  <c r="B7" i="14"/>
  <c r="D7" i="14" s="1"/>
  <c r="K20" i="3"/>
  <c r="M20" i="3"/>
  <c r="T20" i="3" s="1"/>
  <c r="I21" i="3"/>
  <c r="L20" i="3"/>
  <c r="V20" i="3"/>
  <c r="X20" i="3" l="1"/>
  <c r="F7" i="5"/>
  <c r="AY7" i="5"/>
  <c r="U7" i="5"/>
  <c r="AJ7" i="5"/>
  <c r="BD7" i="5"/>
  <c r="K7" i="5"/>
  <c r="Z7" i="5"/>
  <c r="AO7" i="5"/>
  <c r="A8" i="14"/>
  <c r="C8" i="14" s="1"/>
  <c r="J22" i="3"/>
  <c r="A9" i="14" s="1"/>
  <c r="C9" i="14" s="1"/>
  <c r="W21" i="3"/>
  <c r="B8" i="14"/>
  <c r="D8" i="14" s="1"/>
  <c r="M21" i="3"/>
  <c r="T21" i="3" s="1"/>
  <c r="L21" i="3"/>
  <c r="I22" i="3"/>
  <c r="B9" i="14" s="1"/>
  <c r="D9" i="14" s="1"/>
  <c r="K21" i="3"/>
  <c r="V21" i="3"/>
  <c r="E7" i="14"/>
  <c r="U20" i="3"/>
  <c r="H21" i="3"/>
  <c r="X21" i="3" l="1"/>
  <c r="J23" i="3"/>
  <c r="A10" i="14" s="1"/>
  <c r="C10" i="14" s="1"/>
  <c r="W22" i="3"/>
  <c r="M22" i="3"/>
  <c r="T22" i="3" s="1"/>
  <c r="L22" i="3"/>
  <c r="K22" i="3"/>
  <c r="I23" i="3"/>
  <c r="V22" i="3"/>
  <c r="E8" i="14"/>
  <c r="U21" i="3"/>
  <c r="H22" i="3"/>
  <c r="B10" i="14" l="1"/>
  <c r="D10" i="14" s="1"/>
  <c r="X22" i="3"/>
  <c r="W23" i="3"/>
  <c r="J24" i="3"/>
  <c r="A11" i="14" s="1"/>
  <c r="C11" i="14" s="1"/>
  <c r="M23" i="3"/>
  <c r="T23" i="3" s="1"/>
  <c r="L23" i="3"/>
  <c r="I24" i="3"/>
  <c r="B11" i="14" s="1"/>
  <c r="D11" i="14" s="1"/>
  <c r="K23" i="3"/>
  <c r="V23" i="3"/>
  <c r="E9" i="14"/>
  <c r="U22" i="3"/>
  <c r="H23" i="3"/>
  <c r="X23" i="3" l="1"/>
  <c r="E10" i="14"/>
  <c r="U23" i="3"/>
  <c r="H24" i="3"/>
  <c r="K24" i="3"/>
  <c r="M24" i="3"/>
  <c r="T24" i="3" s="1"/>
  <c r="L24" i="3"/>
  <c r="I25" i="3"/>
  <c r="V24" i="3"/>
  <c r="J25" i="3"/>
  <c r="W24" i="3"/>
  <c r="B12" i="14" l="1"/>
  <c r="D12" i="14" s="1"/>
  <c r="A12" i="14"/>
  <c r="C12" i="14" s="1"/>
  <c r="X24" i="3"/>
  <c r="I26" i="3"/>
  <c r="B13" i="14" s="1"/>
  <c r="D13" i="14" s="1"/>
  <c r="M25" i="3"/>
  <c r="T25" i="3" s="1"/>
  <c r="L25" i="3"/>
  <c r="K25" i="3"/>
  <c r="V25" i="3"/>
  <c r="J26" i="3"/>
  <c r="A13" i="14" s="1"/>
  <c r="C13" i="14" s="1"/>
  <c r="W25" i="3"/>
  <c r="E11" i="14"/>
  <c r="H25" i="3"/>
  <c r="U24" i="3"/>
  <c r="X25" i="3" l="1"/>
  <c r="J27" i="3"/>
  <c r="W26" i="3"/>
  <c r="E12" i="14"/>
  <c r="U25" i="3"/>
  <c r="H26" i="3"/>
  <c r="M26" i="3"/>
  <c r="T26" i="3" s="1"/>
  <c r="L26" i="3"/>
  <c r="K26" i="3"/>
  <c r="I27" i="3"/>
  <c r="V26" i="3"/>
  <c r="A14" i="14" l="1"/>
  <c r="C14" i="14" s="1"/>
  <c r="E8" i="3"/>
  <c r="B14" i="14"/>
  <c r="D14" i="14" s="1"/>
  <c r="D8" i="3"/>
  <c r="E13" i="14"/>
  <c r="H27" i="3"/>
  <c r="U26" i="3"/>
  <c r="X26" i="3"/>
  <c r="J28" i="3"/>
  <c r="A15" i="14" s="1"/>
  <c r="C15" i="14" s="1"/>
  <c r="W27" i="3"/>
  <c r="M27" i="3"/>
  <c r="T27" i="3" s="1"/>
  <c r="L27" i="3"/>
  <c r="K27" i="3"/>
  <c r="I28" i="3"/>
  <c r="B15" i="14" s="1"/>
  <c r="D15" i="14" s="1"/>
  <c r="V27" i="3"/>
  <c r="G8" i="8" l="1"/>
  <c r="H8" i="8"/>
  <c r="AL8" i="8" s="1"/>
  <c r="E8" i="8"/>
  <c r="F8" i="8"/>
  <c r="AJ8" i="8" s="1"/>
  <c r="J29" i="3"/>
  <c r="A16" i="14" s="1"/>
  <c r="C16" i="14" s="1"/>
  <c r="W28" i="3"/>
  <c r="E14" i="14"/>
  <c r="U27" i="3"/>
  <c r="H28" i="3"/>
  <c r="K28" i="3"/>
  <c r="M28" i="3"/>
  <c r="T28" i="3" s="1"/>
  <c r="L28" i="3"/>
  <c r="I29" i="3"/>
  <c r="B16" i="14" s="1"/>
  <c r="D16" i="14" s="1"/>
  <c r="V28" i="3"/>
  <c r="X27" i="3"/>
  <c r="F8" i="11" l="1"/>
  <c r="U8" i="8"/>
  <c r="F8" i="10"/>
  <c r="F8" i="9"/>
  <c r="AI8" i="8"/>
  <c r="H8" i="10"/>
  <c r="H8" i="9"/>
  <c r="H8" i="11"/>
  <c r="AK8" i="8"/>
  <c r="T8" i="8"/>
  <c r="X28" i="3"/>
  <c r="J30" i="3"/>
  <c r="A17" i="14" s="1"/>
  <c r="C17" i="14" s="1"/>
  <c r="W29" i="3"/>
  <c r="E15" i="14"/>
  <c r="H29" i="3"/>
  <c r="U28" i="3"/>
  <c r="M29" i="3"/>
  <c r="T29" i="3" s="1"/>
  <c r="L29" i="3"/>
  <c r="K29" i="3"/>
  <c r="I30" i="3"/>
  <c r="B17" i="14" s="1"/>
  <c r="D17" i="14" s="1"/>
  <c r="V29" i="3"/>
  <c r="G8" i="10" l="1"/>
  <c r="G8" i="9"/>
  <c r="T8" i="9" s="1"/>
  <c r="G8" i="11"/>
  <c r="T8" i="11" s="1"/>
  <c r="T8" i="10"/>
  <c r="E8" i="10"/>
  <c r="U8" i="10" s="1"/>
  <c r="E8" i="11"/>
  <c r="U8" i="11" s="1"/>
  <c r="E8" i="9"/>
  <c r="U8" i="9" s="1"/>
  <c r="AH27" i="8"/>
  <c r="AG27" i="8"/>
  <c r="AE26" i="8"/>
  <c r="AJ28" i="8"/>
  <c r="AL29" i="8"/>
  <c r="AI28" i="8"/>
  <c r="AK29" i="8"/>
  <c r="AF26" i="8"/>
  <c r="E16" i="14"/>
  <c r="H30" i="3"/>
  <c r="U29" i="3"/>
  <c r="M30" i="3"/>
  <c r="T30" i="3" s="1"/>
  <c r="I31" i="3"/>
  <c r="B18" i="14" s="1"/>
  <c r="D18" i="14" s="1"/>
  <c r="L30" i="3"/>
  <c r="K30" i="3"/>
  <c r="V30" i="3"/>
  <c r="X29" i="3"/>
  <c r="J31" i="3"/>
  <c r="A18" i="14" s="1"/>
  <c r="C18" i="14" s="1"/>
  <c r="W30" i="3"/>
  <c r="X30" i="3" s="1"/>
  <c r="AK58" i="8" l="1"/>
  <c r="AS29" i="8"/>
  <c r="AM29" i="8"/>
  <c r="AE29" i="8"/>
  <c r="AQ29" i="8"/>
  <c r="AI29" i="8"/>
  <c r="AG29" i="8"/>
  <c r="AO29" i="8"/>
  <c r="AR29" i="8"/>
  <c r="AJ29" i="8"/>
  <c r="AN29" i="8"/>
  <c r="AF29" i="8"/>
  <c r="AH29" i="8"/>
  <c r="AP29" i="8"/>
  <c r="AT29" i="8"/>
  <c r="AH28" i="8"/>
  <c r="AH30" i="8" s="1"/>
  <c r="AN28" i="8"/>
  <c r="AR28" i="8"/>
  <c r="AF28" i="8"/>
  <c r="AT28" i="8"/>
  <c r="AL28" i="8"/>
  <c r="AP28" i="8"/>
  <c r="AQ26" i="8"/>
  <c r="AK26" i="8"/>
  <c r="AO26" i="8"/>
  <c r="AM26" i="8"/>
  <c r="AM30" i="8" s="1"/>
  <c r="AO30" i="8"/>
  <c r="AI26" i="8"/>
  <c r="AI30" i="8" s="1"/>
  <c r="AG26" i="8"/>
  <c r="AS26" i="8"/>
  <c r="AS30" i="8" s="1"/>
  <c r="AE58" i="8"/>
  <c r="AO27" i="8"/>
  <c r="AM27" i="8"/>
  <c r="AI27" i="8"/>
  <c r="AE27" i="8"/>
  <c r="AK27" i="8"/>
  <c r="AQ27" i="8"/>
  <c r="AG58" i="8"/>
  <c r="AS27" i="8"/>
  <c r="AN27" i="8"/>
  <c r="AT27" i="8"/>
  <c r="AP27" i="8"/>
  <c r="AL27" i="8"/>
  <c r="AJ27" i="8"/>
  <c r="AF27" i="8"/>
  <c r="AR27" i="8"/>
  <c r="AJ26" i="8"/>
  <c r="AJ30" i="8" s="1"/>
  <c r="AH26" i="8"/>
  <c r="AF30" i="8"/>
  <c r="AT26" i="8"/>
  <c r="AT30" i="8" s="1"/>
  <c r="AR26" i="8"/>
  <c r="AR30" i="8" s="1"/>
  <c r="AP26" i="8"/>
  <c r="AN26" i="8"/>
  <c r="AN30" i="8" s="1"/>
  <c r="AL26" i="8"/>
  <c r="AL30" i="8" s="1"/>
  <c r="AO28" i="8"/>
  <c r="AM28" i="8"/>
  <c r="AI58" i="8"/>
  <c r="AK28" i="8"/>
  <c r="AQ28" i="8"/>
  <c r="AQ30" i="8" s="1"/>
  <c r="AS28" i="8"/>
  <c r="AE28" i="8"/>
  <c r="AE30" i="8" s="1"/>
  <c r="AG28" i="8"/>
  <c r="J32" i="3"/>
  <c r="W31" i="3"/>
  <c r="M31" i="3"/>
  <c r="T31" i="3" s="1"/>
  <c r="K31" i="3"/>
  <c r="L31" i="3"/>
  <c r="I32" i="3"/>
  <c r="V31" i="3"/>
  <c r="E17" i="14"/>
  <c r="U30" i="3"/>
  <c r="H31" i="3"/>
  <c r="AG30" i="8" l="1"/>
  <c r="AP30" i="8"/>
  <c r="AK30" i="8"/>
  <c r="AP65" i="8"/>
  <c r="AP64" i="8"/>
  <c r="AP63" i="8"/>
  <c r="AP62" i="8"/>
  <c r="AR64" i="8"/>
  <c r="AR63" i="8"/>
  <c r="AR62" i="8"/>
  <c r="AR65" i="8"/>
  <c r="AT65" i="8"/>
  <c r="AT63" i="8"/>
  <c r="AT62" i="8"/>
  <c r="AT64" i="8"/>
  <c r="AJ63" i="8"/>
  <c r="AJ62" i="8"/>
  <c r="AI62" i="8"/>
  <c r="H47" i="8"/>
  <c r="G46" i="8"/>
  <c r="AI64" i="8"/>
  <c r="AI63" i="8"/>
  <c r="H48" i="8"/>
  <c r="AI65" i="8"/>
  <c r="AJ65" i="8"/>
  <c r="AJ64" i="8"/>
  <c r="AQ65" i="8"/>
  <c r="AQ64" i="8"/>
  <c r="AQ63" i="8"/>
  <c r="AQ62" i="8"/>
  <c r="AN63" i="8"/>
  <c r="AN62" i="8"/>
  <c r="AN64" i="8"/>
  <c r="AN65" i="8"/>
  <c r="B19" i="14"/>
  <c r="D19" i="14" s="1"/>
  <c r="D9" i="3"/>
  <c r="A19" i="14"/>
  <c r="C19" i="14" s="1"/>
  <c r="E9" i="3"/>
  <c r="AO64" i="8"/>
  <c r="AO65" i="8"/>
  <c r="AO63" i="8"/>
  <c r="AO62" i="8"/>
  <c r="AU65" i="8"/>
  <c r="AU64" i="8"/>
  <c r="AU63" i="8"/>
  <c r="AU62" i="8"/>
  <c r="AH65" i="8"/>
  <c r="AG63" i="8"/>
  <c r="AH64" i="8"/>
  <c r="G31" i="8"/>
  <c r="AG64" i="8"/>
  <c r="G32" i="8"/>
  <c r="H31" i="8"/>
  <c r="AG65" i="8"/>
  <c r="H32" i="8"/>
  <c r="AH62" i="8"/>
  <c r="AH63" i="8"/>
  <c r="G30" i="8"/>
  <c r="AG62" i="8"/>
  <c r="AS65" i="8"/>
  <c r="AS62" i="8"/>
  <c r="AS64" i="8"/>
  <c r="AS63" i="8"/>
  <c r="BF39" i="8"/>
  <c r="AF62" i="8"/>
  <c r="Q30" i="8"/>
  <c r="AF63" i="8"/>
  <c r="AF65" i="8"/>
  <c r="AE62" i="8"/>
  <c r="AF64" i="8"/>
  <c r="R32" i="8"/>
  <c r="BF40" i="8"/>
  <c r="AE63" i="8"/>
  <c r="N8" i="8"/>
  <c r="AE65" i="8"/>
  <c r="AE64" i="8"/>
  <c r="R31" i="8"/>
  <c r="BE50" i="8"/>
  <c r="L38" i="9" s="1"/>
  <c r="BF38" i="8"/>
  <c r="BF37" i="8"/>
  <c r="AL64" i="8"/>
  <c r="AK64" i="8"/>
  <c r="Q46" i="8"/>
  <c r="AL63" i="8"/>
  <c r="AK63" i="8"/>
  <c r="R47" i="8"/>
  <c r="AL62" i="8"/>
  <c r="Q48" i="8"/>
  <c r="AK62" i="8"/>
  <c r="Q47" i="8"/>
  <c r="R46" i="8" s="1"/>
  <c r="R48" i="8"/>
  <c r="AK65" i="8"/>
  <c r="AL65" i="8"/>
  <c r="K32" i="3"/>
  <c r="I33" i="3"/>
  <c r="B20" i="14" s="1"/>
  <c r="D20" i="14" s="1"/>
  <c r="M32" i="3"/>
  <c r="T32" i="3" s="1"/>
  <c r="L32" i="3"/>
  <c r="V32" i="3"/>
  <c r="J33" i="3"/>
  <c r="A20" i="14" s="1"/>
  <c r="C20" i="14" s="1"/>
  <c r="W32" i="3"/>
  <c r="X32" i="3" s="1"/>
  <c r="E18" i="14"/>
  <c r="H32" i="3"/>
  <c r="U31" i="3"/>
  <c r="X31" i="3"/>
  <c r="AI66" i="8" l="1"/>
  <c r="AF66" i="8"/>
  <c r="AJ66" i="8"/>
  <c r="AG66" i="8"/>
  <c r="AK66" i="8"/>
  <c r="AL66" i="8"/>
  <c r="AH66" i="8"/>
  <c r="AE66" i="8"/>
  <c r="H9" i="8"/>
  <c r="AL9" i="8" s="1"/>
  <c r="G9" i="8"/>
  <c r="N8" i="11"/>
  <c r="N8" i="9"/>
  <c r="N8" i="10"/>
  <c r="F9" i="8"/>
  <c r="AJ9" i="8" s="1"/>
  <c r="E9" i="8"/>
  <c r="H30" i="8"/>
  <c r="E19" i="14"/>
  <c r="U32" i="3"/>
  <c r="H33" i="3"/>
  <c r="J34" i="3"/>
  <c r="A21" i="14" s="1"/>
  <c r="C21" i="14" s="1"/>
  <c r="W33" i="3"/>
  <c r="L33" i="3"/>
  <c r="I34" i="3"/>
  <c r="B21" i="14" s="1"/>
  <c r="D21" i="14" s="1"/>
  <c r="M33" i="3"/>
  <c r="T33" i="3" s="1"/>
  <c r="K33" i="3"/>
  <c r="V33" i="3"/>
  <c r="Q32" i="8" l="1"/>
  <c r="F9" i="10"/>
  <c r="F9" i="9"/>
  <c r="AI9" i="8"/>
  <c r="U9" i="8"/>
  <c r="F9" i="11"/>
  <c r="H9" i="10"/>
  <c r="T9" i="8"/>
  <c r="H9" i="9"/>
  <c r="AK9" i="8"/>
  <c r="H9" i="11"/>
  <c r="X33" i="3"/>
  <c r="J35" i="3"/>
  <c r="A22" i="14" s="1"/>
  <c r="C22" i="14" s="1"/>
  <c r="W34" i="3"/>
  <c r="E20" i="14"/>
  <c r="H34" i="3"/>
  <c r="U33" i="3"/>
  <c r="I35" i="3"/>
  <c r="B22" i="14" s="1"/>
  <c r="D22" i="14" s="1"/>
  <c r="M34" i="3"/>
  <c r="T34" i="3" s="1"/>
  <c r="L34" i="3"/>
  <c r="K34" i="3"/>
  <c r="V34" i="3"/>
  <c r="Q31" i="8" l="1"/>
  <c r="R30" i="8" s="1"/>
  <c r="G9" i="9"/>
  <c r="T9" i="9" s="1"/>
  <c r="G9" i="10"/>
  <c r="T9" i="10" s="1"/>
  <c r="G9" i="11"/>
  <c r="T9" i="11" s="1"/>
  <c r="AF32" i="8"/>
  <c r="AL35" i="8"/>
  <c r="AJ34" i="8"/>
  <c r="AG33" i="8"/>
  <c r="AK35" i="8"/>
  <c r="E9" i="11"/>
  <c r="U9" i="11" s="1"/>
  <c r="E9" i="9"/>
  <c r="U9" i="9" s="1"/>
  <c r="AE32" i="8"/>
  <c r="AI34" i="8"/>
  <c r="AH33" i="8"/>
  <c r="E9" i="10"/>
  <c r="U9" i="10" s="1"/>
  <c r="X34" i="3"/>
  <c r="M35" i="3"/>
  <c r="T35" i="3" s="1"/>
  <c r="L35" i="3"/>
  <c r="I36" i="3"/>
  <c r="D10" i="3" s="1"/>
  <c r="K35" i="3"/>
  <c r="V35" i="3"/>
  <c r="J36" i="3"/>
  <c r="E10" i="3" s="1"/>
  <c r="W35" i="3"/>
  <c r="E21" i="14"/>
  <c r="H35" i="3"/>
  <c r="U34" i="3"/>
  <c r="AE35" i="8" l="1"/>
  <c r="AK69" i="8"/>
  <c r="AM35" i="8"/>
  <c r="AS35" i="8"/>
  <c r="AI35" i="8"/>
  <c r="AQ35" i="8"/>
  <c r="AG35" i="8"/>
  <c r="AO35" i="8"/>
  <c r="AQ32" i="8"/>
  <c r="AO32" i="8"/>
  <c r="AI32" i="8"/>
  <c r="AI36" i="8" s="1"/>
  <c r="AM32" i="8"/>
  <c r="AE69" i="8"/>
  <c r="AS32" i="8"/>
  <c r="AK32" i="8"/>
  <c r="AK36" i="8" s="1"/>
  <c r="AG32" i="8"/>
  <c r="AM33" i="8"/>
  <c r="AS33" i="8"/>
  <c r="AO33" i="8"/>
  <c r="AK33" i="8"/>
  <c r="AG69" i="8"/>
  <c r="AI33" i="8"/>
  <c r="AE33" i="8"/>
  <c r="AQ33" i="8"/>
  <c r="AI69" i="8"/>
  <c r="AK34" i="8"/>
  <c r="AO34" i="8"/>
  <c r="AQ34" i="8"/>
  <c r="AE34" i="8"/>
  <c r="AE36" i="8" s="1"/>
  <c r="AG34" i="8"/>
  <c r="AS34" i="8"/>
  <c r="AM34" i="8"/>
  <c r="AN34" i="8"/>
  <c r="AF34" i="8"/>
  <c r="AT34" i="8"/>
  <c r="AP34" i="8"/>
  <c r="AH34" i="8"/>
  <c r="AL34" i="8"/>
  <c r="AR34" i="8"/>
  <c r="F10" i="8"/>
  <c r="AJ10" i="8" s="1"/>
  <c r="E10" i="8"/>
  <c r="AF35" i="8"/>
  <c r="AJ35" i="8"/>
  <c r="AN35" i="8"/>
  <c r="AH35" i="8"/>
  <c r="AR35" i="8"/>
  <c r="AP35" i="8"/>
  <c r="AT35" i="8"/>
  <c r="AJ32" i="8"/>
  <c r="AJ36" i="8" s="1"/>
  <c r="AR32" i="8"/>
  <c r="AF36" i="8"/>
  <c r="AN32" i="8"/>
  <c r="AN36" i="8" s="1"/>
  <c r="AP32" i="8"/>
  <c r="AP36" i="8" s="1"/>
  <c r="AT32" i="8"/>
  <c r="AT36" i="8" s="1"/>
  <c r="AH32" i="8"/>
  <c r="AH36" i="8" s="1"/>
  <c r="AL32" i="8"/>
  <c r="AL36" i="8" s="1"/>
  <c r="AR33" i="8"/>
  <c r="AJ33" i="8"/>
  <c r="AP33" i="8"/>
  <c r="AL33" i="8"/>
  <c r="AN33" i="8"/>
  <c r="AF33" i="8"/>
  <c r="AT33" i="8"/>
  <c r="G10" i="8"/>
  <c r="H10" i="8"/>
  <c r="AL10" i="8" s="1"/>
  <c r="AI15" i="5"/>
  <c r="AX15" i="5"/>
  <c r="E15" i="5"/>
  <c r="T15" i="5"/>
  <c r="L15" i="5"/>
  <c r="AP15" i="5"/>
  <c r="BE15" i="5"/>
  <c r="AA15" i="5"/>
  <c r="AR15" i="5"/>
  <c r="N15" i="5"/>
  <c r="BG15" i="5"/>
  <c r="AC15" i="5"/>
  <c r="C15" i="5"/>
  <c r="R15" i="5"/>
  <c r="AG15" i="5"/>
  <c r="AV15" i="5"/>
  <c r="A23" i="14"/>
  <c r="C23" i="14" s="1"/>
  <c r="J44" i="3"/>
  <c r="AK11" i="5"/>
  <c r="X12" i="1"/>
  <c r="B23" i="14"/>
  <c r="D23" i="14" s="1"/>
  <c r="I44" i="3"/>
  <c r="X35" i="3"/>
  <c r="E22" i="14"/>
  <c r="H36" i="3"/>
  <c r="H44" i="3" s="1"/>
  <c r="B64" i="1" s="1"/>
  <c r="U35" i="3"/>
  <c r="M36" i="3"/>
  <c r="T36" i="3" s="1"/>
  <c r="K36" i="3"/>
  <c r="K44" i="3" s="1"/>
  <c r="I37" i="3"/>
  <c r="L36" i="3"/>
  <c r="V36" i="3"/>
  <c r="J37" i="3"/>
  <c r="W36" i="3"/>
  <c r="H66" i="3" l="1"/>
  <c r="H65" i="3"/>
  <c r="H62" i="3"/>
  <c r="H64" i="3"/>
  <c r="H63" i="3"/>
  <c r="H61" i="3"/>
  <c r="H67" i="3"/>
  <c r="H58" i="3"/>
  <c r="H59" i="3"/>
  <c r="H69" i="3"/>
  <c r="D69" i="1" s="1"/>
  <c r="BI116" i="4" s="1"/>
  <c r="H68" i="3"/>
  <c r="U61" i="1" s="1"/>
  <c r="V61" i="1" s="1"/>
  <c r="B49" i="1"/>
  <c r="E6" i="6" s="1"/>
  <c r="H57" i="3"/>
  <c r="B19" i="1"/>
  <c r="H60" i="3"/>
  <c r="B34" i="1"/>
  <c r="AM36" i="8"/>
  <c r="AO36" i="8"/>
  <c r="AQ36" i="8"/>
  <c r="AS36" i="8"/>
  <c r="AR36" i="8"/>
  <c r="AG36" i="8"/>
  <c r="AN74" i="8"/>
  <c r="AN75" i="8"/>
  <c r="AN76" i="8"/>
  <c r="AN73" i="8"/>
  <c r="AR75" i="8"/>
  <c r="AR73" i="8"/>
  <c r="AR74" i="8"/>
  <c r="AR76" i="8"/>
  <c r="H51" i="8"/>
  <c r="AI76" i="8"/>
  <c r="AI75" i="8"/>
  <c r="AI74" i="8"/>
  <c r="AI73" i="8"/>
  <c r="G50" i="8"/>
  <c r="AJ74" i="8"/>
  <c r="H50" i="8"/>
  <c r="G51" i="8"/>
  <c r="AJ76" i="8"/>
  <c r="G49" i="8"/>
  <c r="AJ73" i="8"/>
  <c r="AJ75" i="8"/>
  <c r="AI10" i="8"/>
  <c r="F10" i="9"/>
  <c r="U10" i="8"/>
  <c r="F10" i="10"/>
  <c r="F10" i="11"/>
  <c r="AT76" i="8"/>
  <c r="AT73" i="8"/>
  <c r="AT75" i="8"/>
  <c r="AT74" i="8"/>
  <c r="AU73" i="8"/>
  <c r="AU74" i="8"/>
  <c r="AU75" i="8"/>
  <c r="AU76" i="8"/>
  <c r="AQ74" i="8"/>
  <c r="AQ73" i="8"/>
  <c r="AQ76" i="8"/>
  <c r="AQ75" i="8"/>
  <c r="AH76" i="8"/>
  <c r="AG76" i="8"/>
  <c r="AH75" i="8"/>
  <c r="AG73" i="8"/>
  <c r="H35" i="8"/>
  <c r="AG75" i="8"/>
  <c r="G34" i="8"/>
  <c r="AH74" i="8"/>
  <c r="AH73" i="8"/>
  <c r="AG74" i="8"/>
  <c r="H34" i="8"/>
  <c r="G33" i="8"/>
  <c r="G35" i="8"/>
  <c r="BF44" i="8"/>
  <c r="R34" i="8"/>
  <c r="AE73" i="8"/>
  <c r="Q33" i="8"/>
  <c r="BF43" i="8"/>
  <c r="BE53" i="8" s="1"/>
  <c r="AF73" i="8"/>
  <c r="AF77" i="8" s="1"/>
  <c r="R35" i="8"/>
  <c r="BF41" i="8"/>
  <c r="BF42" i="8"/>
  <c r="AE75" i="8"/>
  <c r="AE76" i="8"/>
  <c r="AF76" i="8"/>
  <c r="AE74" i="8"/>
  <c r="AF75" i="8"/>
  <c r="AF74" i="8"/>
  <c r="AO73" i="8"/>
  <c r="AO76" i="8"/>
  <c r="AO75" i="8"/>
  <c r="AO74" i="8"/>
  <c r="T10" i="8"/>
  <c r="H10" i="11"/>
  <c r="H10" i="9"/>
  <c r="H10" i="10"/>
  <c r="AK10" i="8"/>
  <c r="AS75" i="8"/>
  <c r="AS76" i="8"/>
  <c r="AS73" i="8"/>
  <c r="AS74" i="8"/>
  <c r="R51" i="8"/>
  <c r="R50" i="8"/>
  <c r="AL74" i="8"/>
  <c r="AL73" i="8"/>
  <c r="Q51" i="8"/>
  <c r="Q49" i="8"/>
  <c r="AK76" i="8"/>
  <c r="AK73" i="8"/>
  <c r="AK77" i="8" s="1"/>
  <c r="AL75" i="8"/>
  <c r="Q50" i="8"/>
  <c r="AL76" i="8"/>
  <c r="AK74" i="8"/>
  <c r="AK75" i="8"/>
  <c r="AP73" i="8"/>
  <c r="AP74" i="8"/>
  <c r="AP76" i="8"/>
  <c r="AP75" i="8"/>
  <c r="BA7" i="5"/>
  <c r="AL7" i="5"/>
  <c r="Y12" i="1"/>
  <c r="H7" i="5"/>
  <c r="W7" i="5"/>
  <c r="V11" i="5"/>
  <c r="G11" i="5"/>
  <c r="AZ11" i="5"/>
  <c r="K15" i="5"/>
  <c r="Z15" i="5"/>
  <c r="AO15" i="5"/>
  <c r="BD15" i="5"/>
  <c r="U57" i="1"/>
  <c r="BL125" i="4"/>
  <c r="BL178" i="4" s="1"/>
  <c r="AU125" i="4"/>
  <c r="AU156" i="4" s="1"/>
  <c r="L69" i="1"/>
  <c r="I69" i="1"/>
  <c r="S57" i="1"/>
  <c r="F54" i="1"/>
  <c r="L54" i="1" s="1"/>
  <c r="B54" i="1"/>
  <c r="AY15" i="5"/>
  <c r="AJ15" i="5"/>
  <c r="U15" i="5"/>
  <c r="F15" i="5"/>
  <c r="X36" i="3"/>
  <c r="E23" i="14"/>
  <c r="U36" i="3"/>
  <c r="H37" i="3"/>
  <c r="I38" i="3"/>
  <c r="M37" i="3"/>
  <c r="T37" i="3" s="1"/>
  <c r="K37" i="3"/>
  <c r="L37" i="3"/>
  <c r="V37" i="3"/>
  <c r="J38" i="3"/>
  <c r="W37" i="3"/>
  <c r="AB57" i="1" l="1"/>
  <c r="AG57" i="1"/>
  <c r="B24" i="1"/>
  <c r="F24" i="1"/>
  <c r="AU113" i="4"/>
  <c r="BG136" i="4" s="1"/>
  <c r="L24" i="1"/>
  <c r="I39" i="1"/>
  <c r="AD104" i="4"/>
  <c r="AQ136" i="4" s="1"/>
  <c r="S27" i="1"/>
  <c r="BL101" i="4"/>
  <c r="BL136" i="4" s="1"/>
  <c r="D6" i="6"/>
  <c r="D10" i="6"/>
  <c r="CC125" i="4"/>
  <c r="CO136" i="4" s="1"/>
  <c r="AB27" i="1"/>
  <c r="U27" i="1"/>
  <c r="V27" i="1" s="1"/>
  <c r="AG27" i="1"/>
  <c r="AB12" i="1"/>
  <c r="AG12" i="1"/>
  <c r="U12" i="1"/>
  <c r="V12" i="1" s="1"/>
  <c r="U16" i="1"/>
  <c r="V16" i="1" s="1"/>
  <c r="AG16" i="1"/>
  <c r="AB16" i="1"/>
  <c r="F6" i="6"/>
  <c r="F10" i="6"/>
  <c r="M15" i="6" s="1"/>
  <c r="E10" i="6"/>
  <c r="BL113" i="4"/>
  <c r="BX136" i="4" s="1"/>
  <c r="AD125" i="4"/>
  <c r="AD156" i="4" s="1"/>
  <c r="S42" i="1"/>
  <c r="I54" i="1"/>
  <c r="F8" i="6"/>
  <c r="E8" i="6"/>
  <c r="C34" i="6" s="1"/>
  <c r="AB14" i="1"/>
  <c r="U14" i="1"/>
  <c r="V14" i="1" s="1"/>
  <c r="AG14" i="1"/>
  <c r="AG59" i="1"/>
  <c r="AI59" i="1" s="1"/>
  <c r="AD59" i="1" s="1"/>
  <c r="AA59" i="1" s="1"/>
  <c r="U59" i="1"/>
  <c r="V59" i="1" s="1"/>
  <c r="S12" i="1"/>
  <c r="AU93" i="4"/>
  <c r="AU136" i="4" s="1"/>
  <c r="I24" i="1"/>
  <c r="BL93" i="4"/>
  <c r="BX182" i="4" s="1"/>
  <c r="C6" i="6"/>
  <c r="CC100" i="4"/>
  <c r="CC136" i="4" s="1"/>
  <c r="AD93" i="4"/>
  <c r="AD136" i="4" s="1"/>
  <c r="AI57" i="1"/>
  <c r="AD57" i="1" s="1"/>
  <c r="AA57" i="1" s="1"/>
  <c r="U29" i="1"/>
  <c r="V29" i="1" s="1"/>
  <c r="AG29" i="1"/>
  <c r="AB29" i="1"/>
  <c r="AG42" i="1"/>
  <c r="AJ47" i="1"/>
  <c r="U42" i="1"/>
  <c r="V42" i="1" s="1"/>
  <c r="AB42" i="1"/>
  <c r="B39" i="1"/>
  <c r="AJ48" i="1"/>
  <c r="AB44" i="1"/>
  <c r="U44" i="1"/>
  <c r="V44" i="1" s="1"/>
  <c r="AG44" i="1"/>
  <c r="F39" i="1"/>
  <c r="AG31" i="1"/>
  <c r="AB31" i="1"/>
  <c r="U31" i="1"/>
  <c r="V31" i="1" s="1"/>
  <c r="L39" i="1"/>
  <c r="U46" i="1"/>
  <c r="V46" i="1" s="1"/>
  <c r="AG46" i="1"/>
  <c r="AB46" i="1"/>
  <c r="AH77" i="8"/>
  <c r="H49" i="8"/>
  <c r="R49" i="8"/>
  <c r="H33" i="8"/>
  <c r="AI77" i="8"/>
  <c r="AG77" i="8"/>
  <c r="AL77" i="8"/>
  <c r="U10" i="9"/>
  <c r="AE77" i="8"/>
  <c r="AF38" i="8"/>
  <c r="AE38" i="8"/>
  <c r="AI40" i="8"/>
  <c r="AG39" i="8"/>
  <c r="AL41" i="8"/>
  <c r="E10" i="10"/>
  <c r="U10" i="10" s="1"/>
  <c r="E10" i="11"/>
  <c r="U10" i="11" s="1"/>
  <c r="AK41" i="8"/>
  <c r="AJ40" i="8"/>
  <c r="AH39" i="8"/>
  <c r="E10" i="9"/>
  <c r="AJ77" i="8"/>
  <c r="G10" i="11"/>
  <c r="T10" i="11" s="1"/>
  <c r="G10" i="10"/>
  <c r="T10" i="10" s="1"/>
  <c r="G10" i="9"/>
  <c r="T10" i="9" s="1"/>
  <c r="I7" i="5"/>
  <c r="X7" i="5"/>
  <c r="BB7" i="5"/>
  <c r="AM7" i="5"/>
  <c r="AK19" i="5"/>
  <c r="X27" i="1"/>
  <c r="R23" i="5"/>
  <c r="AG31" i="5"/>
  <c r="X57" i="1"/>
  <c r="F7" i="6"/>
  <c r="L14" i="6"/>
  <c r="C40" i="6" s="1"/>
  <c r="F11" i="6"/>
  <c r="AP31" i="5"/>
  <c r="AA23" i="5"/>
  <c r="AR31" i="5"/>
  <c r="AC23" i="5"/>
  <c r="V57" i="1"/>
  <c r="AI31" i="5"/>
  <c r="T23" i="5"/>
  <c r="X37" i="3"/>
  <c r="E24" i="14"/>
  <c r="H38" i="3"/>
  <c r="U37" i="3"/>
  <c r="J39" i="3"/>
  <c r="W38" i="3"/>
  <c r="I39" i="3"/>
  <c r="M38" i="3"/>
  <c r="T38" i="3" s="1"/>
  <c r="K38" i="3"/>
  <c r="L38" i="3"/>
  <c r="V38" i="3"/>
  <c r="AI12" i="1" l="1"/>
  <c r="AD12" i="1" s="1"/>
  <c r="AA12" i="1" s="1"/>
  <c r="AI27" i="1"/>
  <c r="AD27" i="1" s="1"/>
  <c r="AA27" i="1" s="1"/>
  <c r="AI46" i="1"/>
  <c r="AD46" i="1" s="1"/>
  <c r="AA46" i="1" s="1"/>
  <c r="AI42" i="1"/>
  <c r="L20" i="6"/>
  <c r="K15" i="6"/>
  <c r="C24" i="6"/>
  <c r="K14" i="6"/>
  <c r="C30" i="6" s="1"/>
  <c r="E7" i="6"/>
  <c r="L19" i="6" s="1"/>
  <c r="AI31" i="1"/>
  <c r="AD31" i="1" s="1"/>
  <c r="AA31" i="1" s="1"/>
  <c r="AI29" i="1"/>
  <c r="AD29" i="1" s="1"/>
  <c r="AA29" i="1" s="1"/>
  <c r="J14" i="6"/>
  <c r="C20" i="6" s="1"/>
  <c r="D7" i="6"/>
  <c r="C14" i="6"/>
  <c r="M20" i="6"/>
  <c r="L15" i="6"/>
  <c r="AI44" i="1"/>
  <c r="AD44" i="1" s="1"/>
  <c r="AA44" i="1" s="1"/>
  <c r="M14" i="6"/>
  <c r="C50" i="6" s="1"/>
  <c r="C44" i="6"/>
  <c r="AI14" i="1"/>
  <c r="AD14" i="1" s="1"/>
  <c r="AA14" i="1" s="1"/>
  <c r="AI16" i="1"/>
  <c r="AD16" i="1" s="1"/>
  <c r="AA16" i="1" s="1"/>
  <c r="AS39" i="8"/>
  <c r="AE39" i="8"/>
  <c r="AM39" i="8"/>
  <c r="AK39" i="8"/>
  <c r="AI39" i="8"/>
  <c r="AO39" i="8"/>
  <c r="AQ39" i="8"/>
  <c r="AG80" i="8"/>
  <c r="AI38" i="8"/>
  <c r="AE80" i="8"/>
  <c r="AG38" i="8"/>
  <c r="AK38" i="8"/>
  <c r="AK42" i="8" s="1"/>
  <c r="AO38" i="8"/>
  <c r="AM38" i="8"/>
  <c r="AS38" i="8"/>
  <c r="AQ38" i="8"/>
  <c r="AN38" i="8"/>
  <c r="AT38" i="8"/>
  <c r="AH38" i="8"/>
  <c r="AJ38" i="8"/>
  <c r="AL38" i="8"/>
  <c r="AR38" i="8"/>
  <c r="AP38" i="8"/>
  <c r="AJ42" i="8"/>
  <c r="AK40" i="8"/>
  <c r="AE40" i="8"/>
  <c r="AM40" i="8"/>
  <c r="AS40" i="8"/>
  <c r="AG40" i="8"/>
  <c r="AO40" i="8"/>
  <c r="AQ40" i="8"/>
  <c r="AI80" i="8"/>
  <c r="AJ39" i="8"/>
  <c r="AL39" i="8"/>
  <c r="AR39" i="8"/>
  <c r="AP39" i="8"/>
  <c r="AN39" i="8"/>
  <c r="AF39" i="8"/>
  <c r="AT39" i="8"/>
  <c r="AR40" i="8"/>
  <c r="AR42" i="8" s="1"/>
  <c r="AN40" i="8"/>
  <c r="AN42" i="8" s="1"/>
  <c r="AF40" i="8"/>
  <c r="AT40" i="8"/>
  <c r="AT42" i="8" s="1"/>
  <c r="AL40" i="8"/>
  <c r="AH40" i="8"/>
  <c r="AP40" i="8"/>
  <c r="Q35" i="8"/>
  <c r="AG41" i="8"/>
  <c r="AE41" i="8"/>
  <c r="AM41" i="8"/>
  <c r="AI41" i="8"/>
  <c r="AS41" i="8"/>
  <c r="AK80" i="8"/>
  <c r="AQ41" i="8"/>
  <c r="AO41" i="8"/>
  <c r="AP41" i="8"/>
  <c r="AR41" i="8"/>
  <c r="AN41" i="8"/>
  <c r="AH41" i="8"/>
  <c r="AT41" i="8"/>
  <c r="AJ41" i="8"/>
  <c r="AF41" i="8"/>
  <c r="BA15" i="5"/>
  <c r="H15" i="5"/>
  <c r="Y27" i="1"/>
  <c r="W15" i="5"/>
  <c r="AL15" i="5"/>
  <c r="AJ31" i="5"/>
  <c r="U23" i="5"/>
  <c r="V19" i="5"/>
  <c r="G19" i="5"/>
  <c r="AZ19" i="5"/>
  <c r="AO31" i="5"/>
  <c r="Z23" i="5"/>
  <c r="C49" i="6"/>
  <c r="M21" i="6" s="1"/>
  <c r="M19" i="6"/>
  <c r="C37" i="6"/>
  <c r="D37" i="6" s="1"/>
  <c r="C36" i="6"/>
  <c r="D36" i="6" s="1"/>
  <c r="AL31" i="5"/>
  <c r="W23" i="5"/>
  <c r="Y57" i="1"/>
  <c r="E25" i="14"/>
  <c r="H39" i="3"/>
  <c r="U38" i="3"/>
  <c r="X38" i="3"/>
  <c r="J40" i="3"/>
  <c r="W39" i="3"/>
  <c r="L39" i="3"/>
  <c r="K39" i="3"/>
  <c r="M39" i="3"/>
  <c r="T39" i="3" s="1"/>
  <c r="I40" i="3"/>
  <c r="V39" i="3"/>
  <c r="C39" i="6" l="1"/>
  <c r="C16" i="6"/>
  <c r="D16" i="6" s="1"/>
  <c r="C19" i="6"/>
  <c r="C17" i="6"/>
  <c r="D17" i="6" s="1"/>
  <c r="C27" i="6"/>
  <c r="D27" i="6" s="1"/>
  <c r="C26" i="6"/>
  <c r="D26" i="6" s="1"/>
  <c r="C29" i="6"/>
  <c r="K21" i="6" s="1"/>
  <c r="AI47" i="1"/>
  <c r="AK47" i="1" s="1"/>
  <c r="AD42" i="1"/>
  <c r="AA42" i="1" s="1"/>
  <c r="C47" i="6"/>
  <c r="D47" i="6" s="1"/>
  <c r="C46" i="6"/>
  <c r="D46" i="6" s="1"/>
  <c r="K19" i="6"/>
  <c r="D29" i="6"/>
  <c r="C31" i="6" s="1"/>
  <c r="AQ42" i="8"/>
  <c r="AO42" i="8"/>
  <c r="AP42" i="8"/>
  <c r="AL42" i="8"/>
  <c r="AT86" i="8" s="1"/>
  <c r="AM42" i="8"/>
  <c r="AE42" i="8"/>
  <c r="AH42" i="8"/>
  <c r="AG42" i="8"/>
  <c r="AP85" i="8" s="1"/>
  <c r="AF42" i="8"/>
  <c r="AN84" i="8" s="1"/>
  <c r="AS42" i="8"/>
  <c r="AP86" i="8"/>
  <c r="AP87" i="8"/>
  <c r="AP84" i="8"/>
  <c r="Q34" i="8"/>
  <c r="R33" i="8" s="1"/>
  <c r="AL85" i="8"/>
  <c r="AK84" i="8"/>
  <c r="AL84" i="8"/>
  <c r="AK85" i="8"/>
  <c r="AK87" i="8"/>
  <c r="R54" i="8"/>
  <c r="AL86" i="8"/>
  <c r="Q54" i="8"/>
  <c r="Q52" i="8"/>
  <c r="AL87" i="8"/>
  <c r="Q53" i="8"/>
  <c r="R52" i="8" s="1"/>
  <c r="R53" i="8"/>
  <c r="AK86" i="8"/>
  <c r="BF46" i="8"/>
  <c r="BF45" i="8"/>
  <c r="AE87" i="8"/>
  <c r="AF87" i="8"/>
  <c r="R38" i="8"/>
  <c r="BF48" i="8"/>
  <c r="AF86" i="8"/>
  <c r="AF84" i="8"/>
  <c r="AE84" i="8"/>
  <c r="AF85" i="8"/>
  <c r="AE85" i="8"/>
  <c r="Q36" i="8"/>
  <c r="AE86" i="8"/>
  <c r="R37" i="8"/>
  <c r="Q37" i="8"/>
  <c r="Q38" i="8"/>
  <c r="G52" i="8"/>
  <c r="AI86" i="8"/>
  <c r="H53" i="8"/>
  <c r="AJ87" i="8"/>
  <c r="AJ85" i="8"/>
  <c r="AJ84" i="8"/>
  <c r="AI84" i="8"/>
  <c r="AI87" i="8"/>
  <c r="G54" i="8"/>
  <c r="G53" i="8"/>
  <c r="AJ86" i="8"/>
  <c r="AI85" i="8"/>
  <c r="H54" i="8"/>
  <c r="AI42" i="8"/>
  <c r="AS85" i="8" s="1"/>
  <c r="G38" i="8"/>
  <c r="AH87" i="8"/>
  <c r="AG87" i="8"/>
  <c r="AG84" i="8"/>
  <c r="H37" i="8"/>
  <c r="AG86" i="8"/>
  <c r="AG85" i="8"/>
  <c r="G37" i="8"/>
  <c r="H38" i="8"/>
  <c r="AH85" i="8"/>
  <c r="AH86" i="8"/>
  <c r="G36" i="8"/>
  <c r="AH84" i="8"/>
  <c r="AQ86" i="8"/>
  <c r="AQ87" i="8"/>
  <c r="D49" i="6"/>
  <c r="C51" i="6" s="1"/>
  <c r="L21" i="6"/>
  <c r="D39" i="6"/>
  <c r="C41" i="6" s="1"/>
  <c r="X15" i="5"/>
  <c r="AM15" i="5"/>
  <c r="I15" i="5"/>
  <c r="BB15" i="5"/>
  <c r="AM31" i="5"/>
  <c r="X23" i="5"/>
  <c r="I41" i="3"/>
  <c r="M40" i="3"/>
  <c r="T40" i="3" s="1"/>
  <c r="K40" i="3"/>
  <c r="L40" i="3"/>
  <c r="V40" i="3"/>
  <c r="E26" i="14"/>
  <c r="U39" i="3"/>
  <c r="H40" i="3"/>
  <c r="X39" i="3"/>
  <c r="J41" i="3"/>
  <c r="W40" i="3"/>
  <c r="AQ85" i="8" l="1"/>
  <c r="AT87" i="8"/>
  <c r="AU86" i="8"/>
  <c r="AU84" i="8"/>
  <c r="AU87" i="8"/>
  <c r="AU85" i="8"/>
  <c r="D19" i="6"/>
  <c r="C21" i="6" s="1"/>
  <c r="J21" i="6"/>
  <c r="AQ84" i="8"/>
  <c r="H36" i="8"/>
  <c r="AO85" i="8"/>
  <c r="AO86" i="8"/>
  <c r="AT85" i="8"/>
  <c r="AT84" i="8"/>
  <c r="H52" i="8"/>
  <c r="AN86" i="8"/>
  <c r="AO87" i="8"/>
  <c r="AO84" i="8"/>
  <c r="AN87" i="8"/>
  <c r="AN85" i="8"/>
  <c r="AS87" i="8"/>
  <c r="R36" i="8"/>
  <c r="AE88" i="8"/>
  <c r="AS86" i="8"/>
  <c r="AI88" i="8"/>
  <c r="AF88" i="8"/>
  <c r="AS84" i="8"/>
  <c r="AG88" i="8"/>
  <c r="AJ88" i="8"/>
  <c r="AL88" i="8"/>
  <c r="AH88" i="8"/>
  <c r="AK88" i="8"/>
  <c r="AR87" i="8"/>
  <c r="AR86" i="8"/>
  <c r="AR84" i="8"/>
  <c r="AR85" i="8"/>
  <c r="X40" i="3"/>
  <c r="E27" i="14"/>
  <c r="U40" i="3"/>
  <c r="H41" i="3"/>
  <c r="J42" i="3"/>
  <c r="W42" i="3" s="1"/>
  <c r="W41" i="3"/>
  <c r="I42" i="3"/>
  <c r="M41" i="3"/>
  <c r="T41" i="3" s="1"/>
  <c r="L41" i="3"/>
  <c r="K41" i="3"/>
  <c r="V41" i="3"/>
  <c r="BF47" i="8" l="1"/>
  <c r="BE56" i="8" s="1"/>
  <c r="X41" i="3"/>
  <c r="E28" i="14"/>
  <c r="H42" i="3"/>
  <c r="U41" i="3"/>
  <c r="M42" i="3"/>
  <c r="T42" i="3" s="1"/>
  <c r="L42" i="3"/>
  <c r="K42" i="3"/>
  <c r="V42" i="3"/>
  <c r="X42" i="3" s="1"/>
  <c r="A39" i="9" l="1"/>
  <c r="AE20" i="9"/>
  <c r="L69" i="9"/>
  <c r="B69" i="9"/>
  <c r="L56" i="9"/>
  <c r="B79" i="9"/>
  <c r="L79" i="9"/>
  <c r="AJ22" i="9"/>
  <c r="B81" i="9"/>
  <c r="AI22" i="9"/>
  <c r="L77" i="9"/>
  <c r="AL23" i="9"/>
  <c r="B71" i="9"/>
  <c r="B73" i="9"/>
  <c r="L23" i="9"/>
  <c r="B56" i="9"/>
  <c r="B23" i="9"/>
  <c r="L71" i="9"/>
  <c r="B67" i="9"/>
  <c r="W39" i="9"/>
  <c r="AF20" i="9"/>
  <c r="B75" i="9"/>
  <c r="B77" i="9"/>
  <c r="V23" i="9"/>
  <c r="N11" i="9"/>
  <c r="AG21" i="9"/>
  <c r="L75" i="9"/>
  <c r="AK23" i="9"/>
  <c r="L67" i="9"/>
  <c r="L73" i="9"/>
  <c r="V56" i="9"/>
  <c r="L81" i="9"/>
  <c r="AH21" i="9"/>
  <c r="E29" i="14"/>
  <c r="U42" i="3"/>
  <c r="T104" i="9" l="1"/>
  <c r="U58" i="9"/>
  <c r="T106" i="9"/>
  <c r="T105" i="9"/>
  <c r="U60" i="9"/>
  <c r="T103" i="9"/>
  <c r="U59" i="9"/>
  <c r="U57" i="9"/>
  <c r="U63" i="9" s="1"/>
  <c r="U61" i="9"/>
  <c r="T107" i="9"/>
  <c r="B45" i="9"/>
  <c r="B43" i="9"/>
  <c r="J79" i="9"/>
  <c r="B42" i="9"/>
  <c r="B41" i="9" s="1"/>
  <c r="J77" i="9"/>
  <c r="B44" i="9"/>
  <c r="B46" i="9"/>
  <c r="J78" i="9"/>
  <c r="J80" i="9"/>
  <c r="J81" i="9"/>
  <c r="T86" i="9"/>
  <c r="U20" i="9"/>
  <c r="T82" i="9"/>
  <c r="T83" i="9"/>
  <c r="U18" i="9"/>
  <c r="U17" i="9" s="1"/>
  <c r="U22" i="9"/>
  <c r="U21" i="9"/>
  <c r="U19" i="9"/>
  <c r="U23" i="9" s="1"/>
  <c r="T84" i="9"/>
  <c r="T85" i="9"/>
  <c r="T90" i="9"/>
  <c r="E61" i="9"/>
  <c r="E58" i="9"/>
  <c r="T89" i="9"/>
  <c r="E60" i="9"/>
  <c r="T92" i="9"/>
  <c r="E57" i="9"/>
  <c r="E63" i="9" s="1"/>
  <c r="T88" i="9"/>
  <c r="T91" i="9"/>
  <c r="E59" i="9"/>
  <c r="W50" i="9"/>
  <c r="W49" i="9" s="1"/>
  <c r="W54" i="9"/>
  <c r="J103" i="9"/>
  <c r="W51" i="9"/>
  <c r="W52" i="9"/>
  <c r="J104" i="9"/>
  <c r="W53" i="9"/>
  <c r="J107" i="9"/>
  <c r="J106" i="9"/>
  <c r="J105" i="9"/>
  <c r="W37" i="9"/>
  <c r="W35" i="9"/>
  <c r="J96" i="9"/>
  <c r="W36" i="9"/>
  <c r="J95" i="9"/>
  <c r="W34" i="9"/>
  <c r="W38" i="9" s="1"/>
  <c r="W33" i="9"/>
  <c r="W32" i="9" s="1"/>
  <c r="J93" i="9"/>
  <c r="J97" i="9"/>
  <c r="J94" i="9"/>
  <c r="T100" i="9"/>
  <c r="T98" i="9"/>
  <c r="T102" i="9"/>
  <c r="T99" i="9"/>
  <c r="O61" i="9"/>
  <c r="O60" i="9"/>
  <c r="O57" i="9"/>
  <c r="O63" i="9" s="1"/>
  <c r="T101" i="9"/>
  <c r="O58" i="9"/>
  <c r="O62" i="9" s="1"/>
  <c r="O59" i="9"/>
  <c r="AF22" i="9"/>
  <c r="AR22" i="9"/>
  <c r="AT22" i="9"/>
  <c r="AP22" i="9"/>
  <c r="AN22" i="9"/>
  <c r="AH22" i="9"/>
  <c r="AL22" i="9"/>
  <c r="J89" i="9"/>
  <c r="W25" i="9"/>
  <c r="W24" i="9" s="1"/>
  <c r="J91" i="9"/>
  <c r="W28" i="9"/>
  <c r="W27" i="9"/>
  <c r="W29" i="9"/>
  <c r="J88" i="9"/>
  <c r="J90" i="9"/>
  <c r="J92" i="9"/>
  <c r="W26" i="9"/>
  <c r="W46" i="9"/>
  <c r="W45" i="9"/>
  <c r="J102" i="9"/>
  <c r="J101" i="9"/>
  <c r="J100" i="9"/>
  <c r="J99" i="9"/>
  <c r="W42" i="9"/>
  <c r="W41" i="9" s="1"/>
  <c r="J98" i="9"/>
  <c r="W43" i="9"/>
  <c r="W44" i="9"/>
  <c r="J82" i="9"/>
  <c r="B51" i="9"/>
  <c r="B54" i="9"/>
  <c r="B52" i="9"/>
  <c r="B50" i="9"/>
  <c r="B49" i="9" s="1"/>
  <c r="J86" i="9"/>
  <c r="J85" i="9"/>
  <c r="J84" i="9"/>
  <c r="B53" i="9"/>
  <c r="J83" i="9"/>
  <c r="E19" i="9"/>
  <c r="E23" i="9" s="1"/>
  <c r="T69" i="9"/>
  <c r="E22" i="9"/>
  <c r="E21" i="9"/>
  <c r="T71" i="9"/>
  <c r="T68" i="9"/>
  <c r="E18" i="9"/>
  <c r="E17" i="9" s="1"/>
  <c r="T67" i="9"/>
  <c r="E20" i="9"/>
  <c r="T70" i="9"/>
  <c r="K61" i="9"/>
  <c r="K59" i="9"/>
  <c r="T97" i="9"/>
  <c r="T95" i="9"/>
  <c r="T94" i="9"/>
  <c r="T93" i="9"/>
  <c r="K60" i="9"/>
  <c r="K58" i="9"/>
  <c r="T96" i="9"/>
  <c r="K57" i="9"/>
  <c r="K63" i="9" s="1"/>
  <c r="B36" i="9"/>
  <c r="B37" i="9"/>
  <c r="J74" i="9"/>
  <c r="B34" i="9"/>
  <c r="B35" i="9"/>
  <c r="B33" i="9"/>
  <c r="B32" i="9" s="1"/>
  <c r="J72" i="9"/>
  <c r="J73" i="9"/>
  <c r="J75" i="9"/>
  <c r="J76" i="9"/>
  <c r="AO23" i="9"/>
  <c r="AI23" i="9"/>
  <c r="AS23" i="9"/>
  <c r="AQ23" i="9"/>
  <c r="AM23" i="9"/>
  <c r="AE23" i="9"/>
  <c r="AG23" i="9"/>
  <c r="J70" i="9"/>
  <c r="J67" i="9"/>
  <c r="J71" i="9"/>
  <c r="B29" i="9"/>
  <c r="B26" i="9"/>
  <c r="B30" i="9" s="1"/>
  <c r="J69" i="9"/>
  <c r="B28" i="9"/>
  <c r="J68" i="9"/>
  <c r="B27" i="9"/>
  <c r="B25" i="9"/>
  <c r="B24" i="9" s="1"/>
  <c r="K18" i="9"/>
  <c r="K17" i="9" s="1"/>
  <c r="T73" i="9"/>
  <c r="K21" i="9"/>
  <c r="K22" i="9"/>
  <c r="T74" i="9"/>
  <c r="T72" i="9"/>
  <c r="T76" i="9"/>
  <c r="K19" i="9"/>
  <c r="K23" i="9" s="1"/>
  <c r="T75" i="9"/>
  <c r="K20" i="9"/>
  <c r="AG22" i="9"/>
  <c r="AS22" i="9"/>
  <c r="AQ22" i="9"/>
  <c r="AM22" i="9"/>
  <c r="AK22" i="9"/>
  <c r="AE22" i="9"/>
  <c r="AO22" i="9"/>
  <c r="O19" i="9"/>
  <c r="O23" i="9" s="1"/>
  <c r="T81" i="9"/>
  <c r="O18" i="9"/>
  <c r="O17" i="9" s="1"/>
  <c r="O22" i="9"/>
  <c r="T80" i="9"/>
  <c r="O20" i="9"/>
  <c r="T78" i="9"/>
  <c r="O21" i="9"/>
  <c r="T79" i="9"/>
  <c r="T77" i="9"/>
  <c r="AF23" i="9"/>
  <c r="AH23" i="9"/>
  <c r="AJ23" i="9"/>
  <c r="AR23" i="9"/>
  <c r="AT23" i="9"/>
  <c r="AP23" i="9"/>
  <c r="AN23" i="9"/>
  <c r="AM20" i="9"/>
  <c r="W47" i="9" l="1"/>
  <c r="K62" i="9"/>
  <c r="W55" i="9"/>
  <c r="B47" i="9"/>
  <c r="BH19" i="9" s="1"/>
  <c r="W30" i="9"/>
  <c r="B38" i="9"/>
  <c r="BF19" i="9" s="1"/>
  <c r="B55" i="9"/>
  <c r="U62" i="9"/>
  <c r="E62" i="9"/>
  <c r="BY19" i="9"/>
  <c r="BZ19" i="9"/>
  <c r="CA19" i="9"/>
  <c r="BX19" i="9"/>
  <c r="BJ19" i="9"/>
  <c r="BI19" i="9"/>
  <c r="BK19" i="9"/>
  <c r="BU19" i="9"/>
  <c r="BW19" i="9"/>
  <c r="BT19" i="9"/>
  <c r="BV19" i="9"/>
  <c r="AY19" i="9"/>
  <c r="AV19" i="9"/>
  <c r="AW19" i="9"/>
  <c r="AX19" i="9"/>
  <c r="BR19" i="9"/>
  <c r="BQ19" i="9"/>
  <c r="BS19" i="9"/>
  <c r="BR28" i="9" s="1"/>
  <c r="BP19" i="9"/>
  <c r="BQ22" i="9" s="1"/>
  <c r="BM19" i="9"/>
  <c r="BN19" i="9"/>
  <c r="BL19" i="9"/>
  <c r="BO19" i="9"/>
  <c r="AZ19" i="9"/>
  <c r="BC19" i="9"/>
  <c r="BB19" i="9"/>
  <c r="BA19" i="9"/>
  <c r="AO20" i="9"/>
  <c r="AG20" i="9"/>
  <c r="AG24" i="9" s="1"/>
  <c r="AN20" i="9"/>
  <c r="AI20" i="9"/>
  <c r="BD19" i="9" l="1"/>
  <c r="BE19" i="9"/>
  <c r="BG19" i="9"/>
  <c r="BF28" i="9" s="1"/>
  <c r="BN28" i="9"/>
  <c r="BM22" i="9"/>
  <c r="BV22" i="9"/>
  <c r="BF22" i="9"/>
  <c r="BO26" i="9"/>
  <c r="BA22" i="9"/>
  <c r="AM21" i="9" s="1"/>
  <c r="AM24" i="9" s="1"/>
  <c r="BI22" i="9"/>
  <c r="BH28" i="9"/>
  <c r="BB28" i="9"/>
  <c r="BD28" i="9"/>
  <c r="BE22" i="9"/>
  <c r="BP28" i="9"/>
  <c r="BR22" i="9"/>
  <c r="BT28" i="9"/>
  <c r="BU22" i="9"/>
  <c r="BJ22" i="9"/>
  <c r="BJ28" i="9"/>
  <c r="BY22" i="9"/>
  <c r="AS20" i="9" s="1"/>
  <c r="BX28" i="9"/>
  <c r="AW22" i="9"/>
  <c r="BL28" i="9"/>
  <c r="BN22" i="9"/>
  <c r="AX22" i="9"/>
  <c r="AV28" i="9"/>
  <c r="AX28" i="9"/>
  <c r="BZ28" i="9"/>
  <c r="AP21" i="9"/>
  <c r="AZ28" i="9"/>
  <c r="BB22" i="9"/>
  <c r="AN21" i="9" s="1"/>
  <c r="AN24" i="9" s="1"/>
  <c r="BV28" i="9"/>
  <c r="BZ22" i="9"/>
  <c r="AT20" i="9" s="1"/>
  <c r="AK20" i="9"/>
  <c r="AQ20" i="9"/>
  <c r="AJ20" i="9"/>
  <c r="AH20" i="9"/>
  <c r="AH24" i="9" s="1"/>
  <c r="AP20" i="9"/>
  <c r="AR20" i="9"/>
  <c r="AL20" i="9"/>
  <c r="BH26" i="9" l="1"/>
  <c r="AY26" i="9"/>
  <c r="AJ21" i="9"/>
  <c r="AR21" i="9"/>
  <c r="BW26" i="9"/>
  <c r="AK21" i="9" s="1"/>
  <c r="AK24" i="9" s="1"/>
  <c r="BG26" i="9"/>
  <c r="CC22" i="9" s="1"/>
  <c r="AO21" i="9"/>
  <c r="AO24" i="9" s="1"/>
  <c r="AZ26" i="9"/>
  <c r="BP26" i="9"/>
  <c r="AR24" i="9"/>
  <c r="AP24" i="9"/>
  <c r="AJ24" i="9"/>
  <c r="AE21" i="9"/>
  <c r="AE24" i="9" s="1"/>
  <c r="AS21" i="9"/>
  <c r="AS24" i="9" s="1"/>
  <c r="BX26" i="9"/>
  <c r="AI34" i="9" l="1"/>
  <c r="AI28" i="9"/>
  <c r="AJ34" i="9"/>
  <c r="AN34" i="9" s="1"/>
  <c r="AJ28" i="9"/>
  <c r="AF28" i="9" s="1"/>
  <c r="AF32" i="9"/>
  <c r="AE38" i="9"/>
  <c r="AF38" i="9"/>
  <c r="AE32" i="9"/>
  <c r="AE26" i="9"/>
  <c r="AT21" i="9"/>
  <c r="AT24" i="9" s="1"/>
  <c r="AF21" i="9"/>
  <c r="AF24" i="9" s="1"/>
  <c r="AL21" i="9"/>
  <c r="AL24" i="9" s="1"/>
  <c r="CD22" i="9"/>
  <c r="CD20" i="9" s="1"/>
  <c r="AF34" i="9"/>
  <c r="AH34" i="9"/>
  <c r="AH33" i="9"/>
  <c r="AG33" i="9"/>
  <c r="AG39" i="9"/>
  <c r="AH39" i="9"/>
  <c r="AG27" i="9"/>
  <c r="AH27" i="9"/>
  <c r="AI21" i="9"/>
  <c r="AI24" i="9" s="1"/>
  <c r="AI40" i="9" s="1"/>
  <c r="AQ21" i="9"/>
  <c r="AQ24" i="9" s="1"/>
  <c r="AR34" i="9"/>
  <c r="AL35" i="9"/>
  <c r="AR35" i="9" s="1"/>
  <c r="AF26" i="9"/>
  <c r="AL34" i="9"/>
  <c r="AL41" i="9"/>
  <c r="AF41" i="9" s="1"/>
  <c r="AJ40" i="9"/>
  <c r="AH40" i="9" s="1"/>
  <c r="AK35" i="9"/>
  <c r="AK29" i="9"/>
  <c r="AE29" i="9" s="1"/>
  <c r="AT34" i="9"/>
  <c r="AL29" i="9"/>
  <c r="AP29" i="9" s="1"/>
  <c r="AK41" i="9"/>
  <c r="AG41" i="9" s="1"/>
  <c r="AK28" i="9"/>
  <c r="AE28" i="9"/>
  <c r="AS28" i="9"/>
  <c r="AQ28" i="9"/>
  <c r="AG28" i="9"/>
  <c r="AM28" i="9"/>
  <c r="AO28" i="9"/>
  <c r="AM41" i="9"/>
  <c r="AO41" i="9"/>
  <c r="AE41" i="9"/>
  <c r="AQ41" i="9"/>
  <c r="AI41" i="9"/>
  <c r="AS41" i="9"/>
  <c r="AH28" i="9"/>
  <c r="AP28" i="9"/>
  <c r="AR28" i="9"/>
  <c r="AL28" i="9"/>
  <c r="AE34" i="9"/>
  <c r="AO34" i="9"/>
  <c r="AG34" i="9"/>
  <c r="AK34" i="9"/>
  <c r="AQ34" i="9"/>
  <c r="AM34" i="9"/>
  <c r="AS34" i="9"/>
  <c r="AT28" i="9" l="1"/>
  <c r="AN28" i="9"/>
  <c r="AH29" i="9"/>
  <c r="AH42" i="9"/>
  <c r="AJ29" i="9"/>
  <c r="AR29" i="9"/>
  <c r="AJ42" i="9"/>
  <c r="AP34" i="9"/>
  <c r="AF29" i="9"/>
  <c r="AT29" i="9"/>
  <c r="AN29" i="9"/>
  <c r="AO40" i="9"/>
  <c r="AO42" i="9" s="1"/>
  <c r="AS40" i="9"/>
  <c r="AG40" i="9"/>
  <c r="AG42" i="9" s="1"/>
  <c r="AQ40" i="9"/>
  <c r="AQ42" i="9" s="1"/>
  <c r="AS42" i="9"/>
  <c r="AE40" i="9"/>
  <c r="AE42" i="9" s="1"/>
  <c r="AI42" i="9"/>
  <c r="AR85" i="9" s="1"/>
  <c r="AM40" i="9"/>
  <c r="AM42" i="9" s="1"/>
  <c r="AK40" i="9"/>
  <c r="AK42" i="9" s="1"/>
  <c r="AE35" i="9"/>
  <c r="AQ35" i="9"/>
  <c r="AG29" i="9"/>
  <c r="AJ41" i="9"/>
  <c r="AJ35" i="9"/>
  <c r="AP33" i="9"/>
  <c r="AP36" i="9" s="1"/>
  <c r="AT33" i="9"/>
  <c r="AT36" i="9" s="1"/>
  <c r="AR33" i="9"/>
  <c r="AR36" i="9" s="1"/>
  <c r="AL33" i="9"/>
  <c r="AL36" i="9" s="1"/>
  <c r="AF33" i="9"/>
  <c r="AF36" i="9" s="1"/>
  <c r="AN33" i="9"/>
  <c r="AN36" i="9" s="1"/>
  <c r="AJ33" i="9"/>
  <c r="AI29" i="9"/>
  <c r="AG35" i="9"/>
  <c r="AM29" i="9"/>
  <c r="AO29" i="9"/>
  <c r="AQ29" i="9"/>
  <c r="AS35" i="9"/>
  <c r="AH26" i="9"/>
  <c r="AR26" i="9"/>
  <c r="AN26" i="9"/>
  <c r="AL26" i="9"/>
  <c r="AJ26" i="9"/>
  <c r="AP26" i="9"/>
  <c r="AT26" i="9"/>
  <c r="AI35" i="9"/>
  <c r="AJ36" i="9"/>
  <c r="AQ26" i="9"/>
  <c r="AG26" i="9"/>
  <c r="AO26" i="9"/>
  <c r="AI26" i="9"/>
  <c r="AK26" i="9"/>
  <c r="AM26" i="9"/>
  <c r="AS26" i="9"/>
  <c r="AI32" i="9"/>
  <c r="AG32" i="9"/>
  <c r="AQ32" i="9"/>
  <c r="AM32" i="9"/>
  <c r="AS32" i="9"/>
  <c r="AO32" i="9"/>
  <c r="AK32" i="9"/>
  <c r="AM35" i="9"/>
  <c r="AP40" i="9"/>
  <c r="AH36" i="9"/>
  <c r="AH38" i="9"/>
  <c r="AP38" i="9"/>
  <c r="AJ38" i="9"/>
  <c r="AT38" i="9"/>
  <c r="AN38" i="9"/>
  <c r="AR38" i="9"/>
  <c r="AL38" i="9"/>
  <c r="AP42" i="9"/>
  <c r="AT41" i="9"/>
  <c r="AQ38" i="9"/>
  <c r="AM38" i="9"/>
  <c r="AS38" i="9"/>
  <c r="AG38" i="9"/>
  <c r="AI38" i="9"/>
  <c r="AK38" i="9"/>
  <c r="AO38" i="9"/>
  <c r="AL40" i="9"/>
  <c r="AL42" i="9" s="1"/>
  <c r="AR41" i="9"/>
  <c r="AR27" i="9"/>
  <c r="AT27" i="9"/>
  <c r="AT30" i="9" s="1"/>
  <c r="AP27" i="9"/>
  <c r="AP30" i="9" s="1"/>
  <c r="AF27" i="9"/>
  <c r="AF30" i="9" s="1"/>
  <c r="AN27" i="9"/>
  <c r="AN30" i="9" s="1"/>
  <c r="AL27" i="9"/>
  <c r="AL30" i="9" s="1"/>
  <c r="AJ27" i="9"/>
  <c r="AJ30" i="9" s="1"/>
  <c r="AH32" i="9"/>
  <c r="AT32" i="9"/>
  <c r="AN32" i="9"/>
  <c r="AL32" i="9"/>
  <c r="AJ32" i="9"/>
  <c r="AR32" i="9"/>
  <c r="AP32" i="9"/>
  <c r="AK30" i="9"/>
  <c r="AG30" i="9"/>
  <c r="AR40" i="9"/>
  <c r="AR42" i="9" s="1"/>
  <c r="AP35" i="9"/>
  <c r="AT35" i="9"/>
  <c r="AF40" i="9"/>
  <c r="AF42" i="9" s="1"/>
  <c r="AR30" i="9"/>
  <c r="AH41" i="9"/>
  <c r="AI27" i="9"/>
  <c r="AI30" i="9" s="1"/>
  <c r="AQ27" i="9"/>
  <c r="AQ30" i="9" s="1"/>
  <c r="AO27" i="9"/>
  <c r="AE27" i="9"/>
  <c r="AE30" i="9" s="1"/>
  <c r="AS27" i="9"/>
  <c r="AS30" i="9" s="1"/>
  <c r="AK27" i="9"/>
  <c r="AM27" i="9"/>
  <c r="AM30" i="9" s="1"/>
  <c r="AO30" i="9"/>
  <c r="AO35" i="9"/>
  <c r="AT40" i="9"/>
  <c r="AT42" i="9" s="1"/>
  <c r="AN41" i="9"/>
  <c r="AP39" i="9"/>
  <c r="AL39" i="9"/>
  <c r="AF39" i="9"/>
  <c r="AN39" i="9"/>
  <c r="AR39" i="9"/>
  <c r="AJ39" i="9"/>
  <c r="AT39" i="9"/>
  <c r="AG36" i="9"/>
  <c r="AS29" i="9"/>
  <c r="AN40" i="9"/>
  <c r="AN42" i="9" s="1"/>
  <c r="AF35" i="9"/>
  <c r="AH35" i="9"/>
  <c r="AP41" i="9"/>
  <c r="AQ39" i="9"/>
  <c r="AS39" i="9"/>
  <c r="AI39" i="9"/>
  <c r="AK39" i="9"/>
  <c r="AE39" i="9"/>
  <c r="AM39" i="9"/>
  <c r="AO39" i="9"/>
  <c r="AH30" i="9"/>
  <c r="AN35" i="9"/>
  <c r="AS33" i="9"/>
  <c r="AS36" i="9" s="1"/>
  <c r="AI33" i="9"/>
  <c r="AI36" i="9" s="1"/>
  <c r="AK33" i="9"/>
  <c r="AK36" i="9" s="1"/>
  <c r="AT74" i="9" s="1"/>
  <c r="AQ33" i="9"/>
  <c r="AQ36" i="9" s="1"/>
  <c r="AM33" i="9"/>
  <c r="AM36" i="9" s="1"/>
  <c r="AE33" i="9"/>
  <c r="AE36" i="9" s="1"/>
  <c r="AO33" i="9"/>
  <c r="AO36" i="9" s="1"/>
  <c r="AQ74" i="9" l="1"/>
  <c r="AG80" i="9"/>
  <c r="AP85" i="9"/>
  <c r="AQ85" i="9"/>
  <c r="AQ86" i="9"/>
  <c r="AQ84" i="9"/>
  <c r="AP87" i="9"/>
  <c r="AQ87" i="9"/>
  <c r="AP86" i="9"/>
  <c r="AP84" i="9"/>
  <c r="AS87" i="9"/>
  <c r="AT65" i="9"/>
  <c r="AS85" i="9"/>
  <c r="AS84" i="9"/>
  <c r="AN63" i="9"/>
  <c r="AS86" i="9"/>
  <c r="AR87" i="9"/>
  <c r="AR84" i="9"/>
  <c r="AI80" i="9"/>
  <c r="AO73" i="9"/>
  <c r="AO75" i="9"/>
  <c r="AO74" i="9"/>
  <c r="AO76" i="9"/>
  <c r="AN84" i="9"/>
  <c r="AO85" i="9"/>
  <c r="AO84" i="9"/>
  <c r="AO86" i="9"/>
  <c r="AO87" i="9"/>
  <c r="AN86" i="9"/>
  <c r="AN85" i="9"/>
  <c r="AE80" i="9"/>
  <c r="BF47" i="9" s="1"/>
  <c r="AN87" i="9"/>
  <c r="AT86" i="9"/>
  <c r="AT84" i="9"/>
  <c r="AT87" i="9"/>
  <c r="AK80" i="9"/>
  <c r="AT85" i="9"/>
  <c r="AU87" i="9"/>
  <c r="AU84" i="9"/>
  <c r="AU85" i="9"/>
  <c r="AU86" i="9"/>
  <c r="AU73" i="9"/>
  <c r="AU74" i="9"/>
  <c r="AU76" i="9"/>
  <c r="AU75" i="9"/>
  <c r="AR65" i="9"/>
  <c r="AR63" i="9"/>
  <c r="AR64" i="9"/>
  <c r="AR62" i="9"/>
  <c r="AI58" i="9"/>
  <c r="AJ63" i="9" s="1"/>
  <c r="AO64" i="9"/>
  <c r="AO65" i="9"/>
  <c r="AO63" i="9"/>
  <c r="AO62" i="9"/>
  <c r="AU62" i="9"/>
  <c r="AK69" i="9"/>
  <c r="Q47" i="9" s="1"/>
  <c r="AT73" i="9"/>
  <c r="AG69" i="9"/>
  <c r="AG75" i="9" s="1"/>
  <c r="AT75" i="9"/>
  <c r="AN65" i="9"/>
  <c r="AP74" i="9"/>
  <c r="AT76" i="9"/>
  <c r="AN64" i="9"/>
  <c r="AK58" i="9"/>
  <c r="AL63" i="9" s="1"/>
  <c r="AN62" i="9"/>
  <c r="AP75" i="9"/>
  <c r="AE58" i="9"/>
  <c r="AU65" i="9"/>
  <c r="AU63" i="9"/>
  <c r="AQ73" i="9"/>
  <c r="AP76" i="9"/>
  <c r="AP73" i="9"/>
  <c r="AQ76" i="9"/>
  <c r="AT64" i="9"/>
  <c r="AR86" i="9"/>
  <c r="AQ75" i="9"/>
  <c r="AT62" i="9"/>
  <c r="AT63" i="9"/>
  <c r="AU64" i="9"/>
  <c r="AP64" i="9"/>
  <c r="AN76" i="9"/>
  <c r="AN74" i="9"/>
  <c r="AN75" i="9"/>
  <c r="AN73" i="9"/>
  <c r="AE69" i="9"/>
  <c r="AS76" i="9"/>
  <c r="AS75" i="9"/>
  <c r="AS73" i="9"/>
  <c r="AS74" i="9"/>
  <c r="AS65" i="9"/>
  <c r="AS62" i="9"/>
  <c r="AS63" i="9"/>
  <c r="AS64" i="9"/>
  <c r="AP63" i="9"/>
  <c r="AR75" i="9"/>
  <c r="AR74" i="9"/>
  <c r="AR73" i="9"/>
  <c r="AI69" i="9"/>
  <c r="AR76" i="9"/>
  <c r="AP62" i="9"/>
  <c r="AP65" i="9"/>
  <c r="AG58" i="9"/>
  <c r="G29" i="9" s="1"/>
  <c r="AQ65" i="9"/>
  <c r="AQ62" i="9"/>
  <c r="AQ63" i="9"/>
  <c r="AQ64" i="9"/>
  <c r="R48" i="9"/>
  <c r="AL74" i="9"/>
  <c r="AK75" i="9"/>
  <c r="Q51" i="9"/>
  <c r="AK87" i="9"/>
  <c r="AK86" i="9"/>
  <c r="AL86" i="9"/>
  <c r="AK85" i="9"/>
  <c r="R50" i="9"/>
  <c r="R51" i="9"/>
  <c r="AL85" i="9"/>
  <c r="AL84" i="9"/>
  <c r="AL87" i="9"/>
  <c r="Q49" i="9"/>
  <c r="Q50" i="9"/>
  <c r="AK84" i="9"/>
  <c r="AH63" i="9"/>
  <c r="H50" i="9"/>
  <c r="AJ85" i="9"/>
  <c r="AI87" i="9"/>
  <c r="AI84" i="9"/>
  <c r="G49" i="9"/>
  <c r="AJ86" i="9"/>
  <c r="AI85" i="9"/>
  <c r="AI86" i="9"/>
  <c r="AJ87" i="9"/>
  <c r="H51" i="9"/>
  <c r="AJ84" i="9"/>
  <c r="AG87" i="9"/>
  <c r="H35" i="9"/>
  <c r="H34" i="9"/>
  <c r="AH87" i="9"/>
  <c r="G33" i="9"/>
  <c r="AH86" i="9"/>
  <c r="AH84" i="9"/>
  <c r="AG84" i="9"/>
  <c r="AG86" i="9"/>
  <c r="AH85" i="9"/>
  <c r="AG85" i="9"/>
  <c r="G34" i="9"/>
  <c r="G35" i="9"/>
  <c r="AH73" i="9" l="1"/>
  <c r="R34" i="9"/>
  <c r="R35" i="9"/>
  <c r="AG64" i="9"/>
  <c r="AG63" i="9"/>
  <c r="AK76" i="9"/>
  <c r="G28" i="9"/>
  <c r="R47" i="9"/>
  <c r="AE87" i="9"/>
  <c r="AF87" i="9"/>
  <c r="M10" i="9"/>
  <c r="BF46" i="9"/>
  <c r="H29" i="9"/>
  <c r="AK73" i="9"/>
  <c r="Q46" i="9"/>
  <c r="Q48" i="9"/>
  <c r="R46" i="9" s="1"/>
  <c r="AL76" i="9"/>
  <c r="AK74" i="9"/>
  <c r="AK62" i="9"/>
  <c r="AH75" i="9"/>
  <c r="G30" i="9"/>
  <c r="AL65" i="9"/>
  <c r="AL62" i="9"/>
  <c r="AG65" i="9"/>
  <c r="AG74" i="9"/>
  <c r="R44" i="9"/>
  <c r="AH65" i="9"/>
  <c r="AH76" i="9"/>
  <c r="Q44" i="9"/>
  <c r="AH64" i="9"/>
  <c r="AH74" i="9"/>
  <c r="AK64" i="9"/>
  <c r="AH62" i="9"/>
  <c r="AG76" i="9"/>
  <c r="BF44" i="9"/>
  <c r="G27" i="9"/>
  <c r="AL75" i="9"/>
  <c r="Q34" i="9"/>
  <c r="AF85" i="9"/>
  <c r="H33" i="9"/>
  <c r="H31" i="9"/>
  <c r="AL73" i="9"/>
  <c r="AG73" i="9"/>
  <c r="H32" i="9"/>
  <c r="BF38" i="9"/>
  <c r="BF39" i="9"/>
  <c r="BF42" i="9"/>
  <c r="Q29" i="9"/>
  <c r="H45" i="9"/>
  <c r="H44" i="9"/>
  <c r="BF40" i="9"/>
  <c r="BF43" i="9"/>
  <c r="BF41" i="9"/>
  <c r="AI62" i="9"/>
  <c r="Q28" i="9"/>
  <c r="M9" i="9"/>
  <c r="AE63" i="9"/>
  <c r="AF84" i="9"/>
  <c r="AE86" i="9"/>
  <c r="R28" i="9"/>
  <c r="AJ64" i="9"/>
  <c r="AE85" i="9"/>
  <c r="AE65" i="9"/>
  <c r="AK63" i="9"/>
  <c r="AE62" i="9"/>
  <c r="G45" i="9"/>
  <c r="Q35" i="9"/>
  <c r="AK65" i="9"/>
  <c r="AF63" i="9"/>
  <c r="G43" i="9"/>
  <c r="AF86" i="9"/>
  <c r="AF64" i="9"/>
  <c r="AI65" i="9"/>
  <c r="AE84" i="9"/>
  <c r="AI64" i="9"/>
  <c r="BF45" i="9"/>
  <c r="BE57" i="8" s="1"/>
  <c r="Q43" i="9"/>
  <c r="M8" i="9"/>
  <c r="Q45" i="9"/>
  <c r="R43" i="9" s="1"/>
  <c r="AG62" i="9"/>
  <c r="AE64" i="9"/>
  <c r="AJ65" i="9"/>
  <c r="Q33" i="9"/>
  <c r="AI63" i="9"/>
  <c r="R45" i="9"/>
  <c r="AF65" i="9"/>
  <c r="BF37" i="9"/>
  <c r="G44" i="9"/>
  <c r="BF48" i="9"/>
  <c r="AJ62" i="9"/>
  <c r="Q27" i="9"/>
  <c r="AF62" i="9"/>
  <c r="AL64" i="9"/>
  <c r="R29" i="9"/>
  <c r="AK88" i="9"/>
  <c r="AF74" i="9"/>
  <c r="AE75" i="9"/>
  <c r="AE74" i="9"/>
  <c r="Q31" i="9"/>
  <c r="R31" i="9"/>
  <c r="Q30" i="9"/>
  <c r="AF75" i="9"/>
  <c r="AE73" i="9"/>
  <c r="AF73" i="9"/>
  <c r="AE76" i="9"/>
  <c r="Q32" i="9"/>
  <c r="AF76" i="9"/>
  <c r="R32" i="9"/>
  <c r="R49" i="9"/>
  <c r="AJ88" i="9"/>
  <c r="AJ73" i="9"/>
  <c r="H48" i="9"/>
  <c r="H47" i="9"/>
  <c r="AJ76" i="9"/>
  <c r="AJ75" i="9"/>
  <c r="G46" i="9"/>
  <c r="G47" i="9"/>
  <c r="AI75" i="9"/>
  <c r="AI76" i="9"/>
  <c r="G48" i="9"/>
  <c r="AI73" i="9"/>
  <c r="AJ74" i="9"/>
  <c r="AI74" i="9"/>
  <c r="H28" i="9"/>
  <c r="H27" i="9"/>
  <c r="AL88" i="9"/>
  <c r="AI88" i="9"/>
  <c r="AG88" i="9"/>
  <c r="AH88" i="9"/>
  <c r="AH66" i="9" l="1"/>
  <c r="AH77" i="9"/>
  <c r="AL77" i="9"/>
  <c r="AK77" i="9"/>
  <c r="AG77" i="9"/>
  <c r="R27" i="9"/>
  <c r="R33" i="9"/>
  <c r="AG66" i="9"/>
  <c r="AL66" i="9"/>
  <c r="AI66" i="9"/>
  <c r="AF88" i="9"/>
  <c r="L10" i="9" s="1"/>
  <c r="AE66" i="9"/>
  <c r="R30" i="9"/>
  <c r="AK66" i="9"/>
  <c r="BE54" i="8"/>
  <c r="AJ66" i="9"/>
  <c r="AF66" i="9"/>
  <c r="AF77" i="9"/>
  <c r="AE77" i="9"/>
  <c r="AE88" i="9"/>
  <c r="J10" i="9" s="1"/>
  <c r="H46" i="9"/>
  <c r="H43" i="9"/>
  <c r="BE51" i="8"/>
  <c r="AJ77" i="9"/>
  <c r="AI77" i="9"/>
  <c r="J9" i="9" l="1"/>
  <c r="I8" i="9"/>
  <c r="L8" i="9"/>
  <c r="J8" i="9"/>
  <c r="K10" i="9"/>
  <c r="G51" i="9" s="1"/>
  <c r="K8" i="9"/>
  <c r="I10" i="9"/>
  <c r="G50" i="9" s="1"/>
  <c r="K9" i="9"/>
  <c r="G32" i="9" s="1"/>
  <c r="L38" i="10"/>
  <c r="B81" i="10" s="1"/>
  <c r="W51" i="10" s="1"/>
  <c r="W55" i="10" s="1"/>
  <c r="L9" i="9"/>
  <c r="I9" i="9"/>
  <c r="G31" i="9" s="1"/>
  <c r="W52" i="10"/>
  <c r="W53" i="10"/>
  <c r="W54" i="10"/>
  <c r="W50" i="10"/>
  <c r="W49" i="10" s="1"/>
  <c r="H49" i="9" l="1"/>
  <c r="B77" i="10"/>
  <c r="W34" i="10" s="1"/>
  <c r="W38" i="10" s="1"/>
  <c r="AK23" i="10"/>
  <c r="AM23" i="10" s="1"/>
  <c r="H30" i="9"/>
  <c r="L77" i="10"/>
  <c r="K60" i="10" s="1"/>
  <c r="A39" i="10"/>
  <c r="L71" i="10"/>
  <c r="O18" i="10" s="1"/>
  <c r="O17" i="10" s="1"/>
  <c r="W37" i="10"/>
  <c r="W33" i="10"/>
  <c r="W32" i="10" s="1"/>
  <c r="W35" i="10"/>
  <c r="W36" i="10"/>
  <c r="W39" i="10"/>
  <c r="AE20" i="10"/>
  <c r="B69" i="10"/>
  <c r="B33" i="10" s="1"/>
  <c r="B32" i="10" s="1"/>
  <c r="L56" i="10"/>
  <c r="L75" i="10"/>
  <c r="V56" i="10"/>
  <c r="V23" i="10"/>
  <c r="AG21" i="10"/>
  <c r="L81" i="10"/>
  <c r="L73" i="10"/>
  <c r="AJ22" i="10"/>
  <c r="O21" i="10"/>
  <c r="O22" i="10"/>
  <c r="O19" i="10"/>
  <c r="O23" i="10" s="1"/>
  <c r="O20" i="10"/>
  <c r="L67" i="10"/>
  <c r="B34" i="10"/>
  <c r="B38" i="10" s="1"/>
  <c r="K59" i="10"/>
  <c r="AS23" i="10"/>
  <c r="B75" i="10"/>
  <c r="K57" i="10"/>
  <c r="K63" i="10" s="1"/>
  <c r="AG23" i="10"/>
  <c r="AF20" i="10"/>
  <c r="K61" i="10"/>
  <c r="AE23" i="10"/>
  <c r="B71" i="10"/>
  <c r="B42" i="10" s="1"/>
  <c r="B41" i="10" s="1"/>
  <c r="K58" i="10"/>
  <c r="K62" i="10" s="1"/>
  <c r="AI23" i="10"/>
  <c r="N11" i="10"/>
  <c r="B56" i="10"/>
  <c r="AQ23" i="10"/>
  <c r="AO23" i="10"/>
  <c r="L69" i="10"/>
  <c r="K19" i="10" s="1"/>
  <c r="K23" i="10" s="1"/>
  <c r="B73" i="10"/>
  <c r="B79" i="10"/>
  <c r="L23" i="10"/>
  <c r="AH21" i="10"/>
  <c r="AJ21" i="10" s="1"/>
  <c r="AL23" i="10"/>
  <c r="AT23" i="10" s="1"/>
  <c r="L79" i="10"/>
  <c r="AI22" i="10"/>
  <c r="AK22" i="10" s="1"/>
  <c r="B23" i="10"/>
  <c r="B67" i="10"/>
  <c r="B44" i="10"/>
  <c r="B43" i="10"/>
  <c r="B47" i="10" s="1"/>
  <c r="B45" i="10"/>
  <c r="AF23" i="10"/>
  <c r="AL21" i="10" l="1"/>
  <c r="B37" i="10"/>
  <c r="B35" i="10"/>
  <c r="B36" i="10"/>
  <c r="AH23" i="10"/>
  <c r="K22" i="10"/>
  <c r="K18" i="10"/>
  <c r="K17" i="10" s="1"/>
  <c r="AN23" i="10"/>
  <c r="E57" i="10"/>
  <c r="E63" i="10" s="1"/>
  <c r="E60" i="10"/>
  <c r="E58" i="10"/>
  <c r="E62" i="10" s="1"/>
  <c r="E61" i="10"/>
  <c r="E59" i="10"/>
  <c r="AM20" i="10"/>
  <c r="AO20" i="10"/>
  <c r="AG20" i="10"/>
  <c r="AI20" i="10"/>
  <c r="AK20" i="10"/>
  <c r="AQ20" i="10"/>
  <c r="AS20" i="10"/>
  <c r="AR22" i="10"/>
  <c r="AF22" i="10"/>
  <c r="AT22" i="10"/>
  <c r="AN22" i="10"/>
  <c r="AH22" i="10"/>
  <c r="AP22" i="10"/>
  <c r="AL22" i="10"/>
  <c r="U21" i="10"/>
  <c r="U20" i="10"/>
  <c r="U22" i="10"/>
  <c r="U19" i="10"/>
  <c r="U23" i="10" s="1"/>
  <c r="U18" i="10"/>
  <c r="U17" i="10" s="1"/>
  <c r="U61" i="10"/>
  <c r="U58" i="10"/>
  <c r="U62" i="10" s="1"/>
  <c r="U57" i="10"/>
  <c r="U63" i="10" s="1"/>
  <c r="U60" i="10"/>
  <c r="U59" i="10"/>
  <c r="AK21" i="10"/>
  <c r="AM21" i="10"/>
  <c r="AO21" i="10"/>
  <c r="AE21" i="10"/>
  <c r="AQ21" i="10"/>
  <c r="AI21" i="10"/>
  <c r="AS21" i="10"/>
  <c r="AF21" i="10"/>
  <c r="W25" i="10"/>
  <c r="W24" i="10" s="1"/>
  <c r="W26" i="10"/>
  <c r="W30" i="10" s="1"/>
  <c r="W29" i="10"/>
  <c r="W28" i="10"/>
  <c r="W27" i="10"/>
  <c r="AT20" i="10"/>
  <c r="AR20" i="10"/>
  <c r="AP20" i="10"/>
  <c r="AH20" i="10"/>
  <c r="AJ20" i="10"/>
  <c r="AN20" i="10"/>
  <c r="AL20" i="10"/>
  <c r="AT21" i="10"/>
  <c r="B46" i="10"/>
  <c r="E20" i="10"/>
  <c r="E19" i="10"/>
  <c r="E23" i="10" s="1"/>
  <c r="E21" i="10"/>
  <c r="E22" i="10"/>
  <c r="E18" i="10"/>
  <c r="E17" i="10" s="1"/>
  <c r="BA19" i="10" s="1"/>
  <c r="B26" i="10"/>
  <c r="B30" i="10" s="1"/>
  <c r="B29" i="10"/>
  <c r="B25" i="10"/>
  <c r="B24" i="10" s="1"/>
  <c r="B27" i="10"/>
  <c r="B28" i="10"/>
  <c r="AE22" i="10"/>
  <c r="AQ24" i="10"/>
  <c r="AQ22" i="10"/>
  <c r="AS22" i="10"/>
  <c r="AO22" i="10"/>
  <c r="AI24" i="10"/>
  <c r="AK24" i="10"/>
  <c r="AS24" i="10"/>
  <c r="AO24" i="10"/>
  <c r="AE24" i="10"/>
  <c r="AM24" i="10"/>
  <c r="AG24" i="10"/>
  <c r="O58" i="10"/>
  <c r="O62" i="10" s="1"/>
  <c r="O57" i="10"/>
  <c r="O63" i="10" s="1"/>
  <c r="O59" i="10"/>
  <c r="O60" i="10"/>
  <c r="O61" i="10"/>
  <c r="AP23" i="10"/>
  <c r="AJ23" i="10"/>
  <c r="AR21" i="10"/>
  <c r="AT24" i="10"/>
  <c r="AJ24" i="10"/>
  <c r="AN24" i="10"/>
  <c r="AP24" i="10"/>
  <c r="AR24" i="10"/>
  <c r="AL24" i="10"/>
  <c r="AH24" i="10"/>
  <c r="AF24" i="10"/>
  <c r="AP21" i="10"/>
  <c r="W42" i="10"/>
  <c r="W41" i="10" s="1"/>
  <c r="W46" i="10"/>
  <c r="W44" i="10"/>
  <c r="W43" i="10"/>
  <c r="W47" i="10" s="1"/>
  <c r="W45" i="10"/>
  <c r="B52" i="10"/>
  <c r="B53" i="10"/>
  <c r="B51" i="10"/>
  <c r="B55" i="10" s="1"/>
  <c r="B54" i="10"/>
  <c r="B50" i="10"/>
  <c r="B49" i="10" s="1"/>
  <c r="AN21" i="10"/>
  <c r="K20" i="10"/>
  <c r="K21" i="10"/>
  <c r="AM22" i="10"/>
  <c r="AG22" i="10"/>
  <c r="AR23" i="10"/>
  <c r="AX19" i="10" l="1"/>
  <c r="AV19" i="10"/>
  <c r="AW22" i="10" s="1"/>
  <c r="AY19" i="10"/>
  <c r="AX28" i="10" s="1"/>
  <c r="AW19" i="10"/>
  <c r="AZ19" i="10"/>
  <c r="AZ28" i="10" s="1"/>
  <c r="BB19" i="10"/>
  <c r="BC19" i="10"/>
  <c r="BB22" i="10" s="1"/>
  <c r="AI34" i="10"/>
  <c r="AJ28" i="10"/>
  <c r="AI28" i="10"/>
  <c r="AG27" i="10"/>
  <c r="AI40" i="10"/>
  <c r="AJ34" i="10"/>
  <c r="AJ40" i="10"/>
  <c r="AG39" i="10"/>
  <c r="AH27" i="10"/>
  <c r="AG33" i="10"/>
  <c r="AH33" i="10"/>
  <c r="AH39" i="10"/>
  <c r="BP19" i="10"/>
  <c r="BN19" i="10"/>
  <c r="BS19" i="10"/>
  <c r="BL19" i="10"/>
  <c r="BR19" i="10"/>
  <c r="BO19" i="10"/>
  <c r="BM19" i="10"/>
  <c r="BQ19" i="10"/>
  <c r="AL29" i="10"/>
  <c r="AE38" i="10"/>
  <c r="AK29" i="10"/>
  <c r="AF32" i="10"/>
  <c r="AL35" i="10"/>
  <c r="AF26" i="10"/>
  <c r="AL41" i="10"/>
  <c r="AE32" i="10"/>
  <c r="AF38" i="10"/>
  <c r="AK35" i="10"/>
  <c r="AK41" i="10"/>
  <c r="AE26" i="10"/>
  <c r="BI19" i="10"/>
  <c r="BH19" i="10"/>
  <c r="BK19" i="10"/>
  <c r="BJ19" i="10"/>
  <c r="BT19" i="10"/>
  <c r="BZ19" i="10"/>
  <c r="CA19" i="10"/>
  <c r="BU19" i="10"/>
  <c r="BX19" i="10"/>
  <c r="BV19" i="10"/>
  <c r="BW19" i="10"/>
  <c r="BY19" i="10"/>
  <c r="BG19" i="10"/>
  <c r="BD19" i="10"/>
  <c r="BF19" i="10"/>
  <c r="BE19" i="10"/>
  <c r="BA22" i="10"/>
  <c r="AY26" i="10" s="1"/>
  <c r="BB28" i="10" l="1"/>
  <c r="BJ28" i="10"/>
  <c r="BZ22" i="10"/>
  <c r="BQ22" i="10"/>
  <c r="AV28" i="10"/>
  <c r="AX22" i="10"/>
  <c r="AZ26" i="10" s="1"/>
  <c r="BM22" i="10"/>
  <c r="BO26" i="10" s="1"/>
  <c r="BR28" i="10"/>
  <c r="BF28" i="10"/>
  <c r="AO30" i="10"/>
  <c r="AM26" i="10"/>
  <c r="AE30" i="10"/>
  <c r="AG26" i="10"/>
  <c r="AG30" i="10"/>
  <c r="AO26" i="10"/>
  <c r="AI30" i="10"/>
  <c r="AQ30" i="10"/>
  <c r="AI26" i="10"/>
  <c r="AQ26" i="10"/>
  <c r="AS26" i="10"/>
  <c r="AK26" i="10"/>
  <c r="AK30" i="10"/>
  <c r="AM30" i="10"/>
  <c r="AS30" i="10"/>
  <c r="AG41" i="10"/>
  <c r="AO41" i="10"/>
  <c r="AQ41" i="10"/>
  <c r="AI41" i="10"/>
  <c r="AM41" i="10"/>
  <c r="AE41" i="10"/>
  <c r="AS41" i="10"/>
  <c r="AM35" i="10"/>
  <c r="AS35" i="10"/>
  <c r="AE35" i="10"/>
  <c r="AQ35" i="10"/>
  <c r="AO35" i="10"/>
  <c r="AI35" i="10"/>
  <c r="AG35" i="10"/>
  <c r="AP38" i="10"/>
  <c r="AF42" i="10"/>
  <c r="AN42" i="10"/>
  <c r="AJ38" i="10"/>
  <c r="AJ42" i="10"/>
  <c r="AN38" i="10"/>
  <c r="AH42" i="10"/>
  <c r="AR42" i="10"/>
  <c r="AT42" i="10"/>
  <c r="AL42" i="10"/>
  <c r="AL38" i="10"/>
  <c r="AH38" i="10"/>
  <c r="AT38" i="10"/>
  <c r="AP42" i="10"/>
  <c r="AR38" i="10"/>
  <c r="AQ36" i="10"/>
  <c r="AI32" i="10"/>
  <c r="AM32" i="10"/>
  <c r="AM36" i="10"/>
  <c r="AG36" i="10"/>
  <c r="AS32" i="10"/>
  <c r="AI36" i="10"/>
  <c r="AG32" i="10"/>
  <c r="AE36" i="10"/>
  <c r="AK32" i="10"/>
  <c r="AO36" i="10"/>
  <c r="AQ32" i="10"/>
  <c r="AO32" i="10"/>
  <c r="AK36" i="10"/>
  <c r="AS36" i="10"/>
  <c r="AT39" i="10"/>
  <c r="AL39" i="10"/>
  <c r="AJ39" i="10"/>
  <c r="AF39" i="10"/>
  <c r="AN39" i="10"/>
  <c r="AP39" i="10"/>
  <c r="AR39" i="10"/>
  <c r="BV28" i="10"/>
  <c r="AT41" i="10"/>
  <c r="AP41" i="10"/>
  <c r="AF41" i="10"/>
  <c r="AJ41" i="10"/>
  <c r="AR41" i="10"/>
  <c r="AH41" i="10"/>
  <c r="AN41" i="10"/>
  <c r="AT33" i="10"/>
  <c r="AJ33" i="10"/>
  <c r="AN33" i="10"/>
  <c r="AR33" i="10"/>
  <c r="AP33" i="10"/>
  <c r="AF33" i="10"/>
  <c r="AL33" i="10"/>
  <c r="BY22" i="10"/>
  <c r="BX28" i="10"/>
  <c r="AN30" i="10"/>
  <c r="AT26" i="10"/>
  <c r="AL30" i="10"/>
  <c r="AR26" i="10"/>
  <c r="AJ30" i="10"/>
  <c r="AH26" i="10"/>
  <c r="AT30" i="10"/>
  <c r="AF30" i="10"/>
  <c r="AP26" i="10"/>
  <c r="AJ26" i="10"/>
  <c r="AL26" i="10"/>
  <c r="AR30" i="10"/>
  <c r="AP30" i="10"/>
  <c r="AN26" i="10"/>
  <c r="AH30" i="10"/>
  <c r="AQ33" i="10"/>
  <c r="AS33" i="10"/>
  <c r="AM33" i="10"/>
  <c r="AE33" i="10"/>
  <c r="AK33" i="10"/>
  <c r="AI33" i="10"/>
  <c r="AO33" i="10"/>
  <c r="BV22" i="10"/>
  <c r="BX26" i="10" s="1"/>
  <c r="AP35" i="10"/>
  <c r="AH35" i="10"/>
  <c r="AF35" i="10"/>
  <c r="AJ35" i="10"/>
  <c r="AR35" i="10"/>
  <c r="AT35" i="10"/>
  <c r="AN35" i="10"/>
  <c r="AN27" i="10"/>
  <c r="AL27" i="10"/>
  <c r="AR27" i="10"/>
  <c r="AT27" i="10"/>
  <c r="AP27" i="10"/>
  <c r="AJ27" i="10"/>
  <c r="AF27" i="10"/>
  <c r="AH32" i="10"/>
  <c r="AF36" i="10"/>
  <c r="AH36" i="10"/>
  <c r="AR36" i="10"/>
  <c r="AL36" i="10"/>
  <c r="AJ36" i="10"/>
  <c r="AN36" i="10"/>
  <c r="AT32" i="10"/>
  <c r="AL32" i="10"/>
  <c r="AR32" i="10"/>
  <c r="AP36" i="10"/>
  <c r="AT36" i="10"/>
  <c r="AJ32" i="10"/>
  <c r="AP32" i="10"/>
  <c r="AN32" i="10"/>
  <c r="AM39" i="10"/>
  <c r="AK39" i="10"/>
  <c r="AE39" i="10"/>
  <c r="AQ39" i="10"/>
  <c r="AS39" i="10"/>
  <c r="AO39" i="10"/>
  <c r="AI39" i="10"/>
  <c r="BZ28" i="10"/>
  <c r="AM29" i="10"/>
  <c r="AE29" i="10"/>
  <c r="AI29" i="10"/>
  <c r="AG29" i="10"/>
  <c r="AQ29" i="10"/>
  <c r="AS29" i="10"/>
  <c r="AO29" i="10"/>
  <c r="AL40" i="10"/>
  <c r="AT40" i="10"/>
  <c r="AH40" i="10"/>
  <c r="AF40" i="10"/>
  <c r="AP40" i="10"/>
  <c r="AN40" i="10"/>
  <c r="AR40" i="10"/>
  <c r="BT28" i="10"/>
  <c r="BU22" i="10"/>
  <c r="AI42" i="10"/>
  <c r="AQ42" i="10"/>
  <c r="AE42" i="10"/>
  <c r="AQ38" i="10"/>
  <c r="AM38" i="10"/>
  <c r="AM42" i="10"/>
  <c r="AG42" i="10"/>
  <c r="AK38" i="10"/>
  <c r="AI38" i="10"/>
  <c r="AK42" i="10"/>
  <c r="AS38" i="10"/>
  <c r="AO38" i="10"/>
  <c r="AG38" i="10"/>
  <c r="AO42" i="10"/>
  <c r="AS42" i="10"/>
  <c r="AF34" i="10"/>
  <c r="AN34" i="10"/>
  <c r="AP34" i="10"/>
  <c r="AR34" i="10"/>
  <c r="AT34" i="10"/>
  <c r="AL34" i="10"/>
  <c r="AH34" i="10"/>
  <c r="AT29" i="10"/>
  <c r="AJ29" i="10"/>
  <c r="AN29" i="10"/>
  <c r="AR29" i="10"/>
  <c r="AH29" i="10"/>
  <c r="AF29" i="10"/>
  <c r="AP29" i="10"/>
  <c r="AO40" i="10"/>
  <c r="AM40" i="10"/>
  <c r="AG40" i="10"/>
  <c r="AK40" i="10"/>
  <c r="AQ40" i="10"/>
  <c r="AS40" i="10"/>
  <c r="AE40" i="10"/>
  <c r="BP28" i="10"/>
  <c r="BR22" i="10"/>
  <c r="AE27" i="10"/>
  <c r="AI27" i="10"/>
  <c r="AM27" i="10"/>
  <c r="AS27" i="10"/>
  <c r="AQ27" i="10"/>
  <c r="AO27" i="10"/>
  <c r="AK27" i="10"/>
  <c r="BE22" i="10"/>
  <c r="BD28" i="10"/>
  <c r="BL28" i="10"/>
  <c r="BN22" i="10"/>
  <c r="AM28" i="10"/>
  <c r="AQ28" i="10"/>
  <c r="AE28" i="10"/>
  <c r="AG28" i="10"/>
  <c r="AK28" i="10"/>
  <c r="AS28" i="10"/>
  <c r="AO28" i="10"/>
  <c r="BI22" i="10"/>
  <c r="BH28" i="10"/>
  <c r="BN28" i="10"/>
  <c r="AN28" i="10"/>
  <c r="AF28" i="10"/>
  <c r="AL28" i="10"/>
  <c r="AR28" i="10"/>
  <c r="AP28" i="10"/>
  <c r="AH28" i="10"/>
  <c r="AT28" i="10"/>
  <c r="BF22" i="10"/>
  <c r="BJ22" i="10"/>
  <c r="AK34" i="10"/>
  <c r="AE34" i="10"/>
  <c r="AQ34" i="10"/>
  <c r="AG34" i="10"/>
  <c r="AS34" i="10"/>
  <c r="AO34" i="10"/>
  <c r="AM34" i="10"/>
  <c r="BW26" i="10" l="1"/>
  <c r="BG26" i="10"/>
  <c r="CC22" i="10" s="1"/>
  <c r="AO87" i="10"/>
  <c r="AO84" i="10"/>
  <c r="AO85" i="10"/>
  <c r="AO86" i="10"/>
  <c r="AS76" i="10"/>
  <c r="AS75" i="10"/>
  <c r="AS74" i="10"/>
  <c r="AS73" i="10"/>
  <c r="AU76" i="10"/>
  <c r="AU73" i="10"/>
  <c r="AU75" i="10"/>
  <c r="AU74" i="10"/>
  <c r="AT63" i="10"/>
  <c r="AT64" i="10"/>
  <c r="AT65" i="10"/>
  <c r="AK58" i="10"/>
  <c r="AT62" i="10"/>
  <c r="AQ73" i="10"/>
  <c r="AQ76" i="10"/>
  <c r="AQ75" i="10"/>
  <c r="AQ74" i="10"/>
  <c r="AO62" i="10"/>
  <c r="AO65" i="10"/>
  <c r="AO63" i="10"/>
  <c r="AO64" i="10"/>
  <c r="AO74" i="10"/>
  <c r="AO76" i="10"/>
  <c r="AO73" i="10"/>
  <c r="AO75" i="10"/>
  <c r="AT76" i="10"/>
  <c r="AK69" i="10"/>
  <c r="AT75" i="10"/>
  <c r="AT73" i="10"/>
  <c r="AT74" i="10"/>
  <c r="AT85" i="10"/>
  <c r="AT84" i="10"/>
  <c r="AK80" i="10"/>
  <c r="AT86" i="10"/>
  <c r="AT87" i="10"/>
  <c r="AS64" i="10"/>
  <c r="AS63" i="10"/>
  <c r="AS65" i="10"/>
  <c r="AS62" i="10"/>
  <c r="AU84" i="10"/>
  <c r="AU85" i="10"/>
  <c r="AU87" i="10"/>
  <c r="AU86" i="10"/>
  <c r="AR65" i="10"/>
  <c r="AR64" i="10"/>
  <c r="AI58" i="10"/>
  <c r="AR63" i="10"/>
  <c r="AR62" i="10"/>
  <c r="AP84" i="10"/>
  <c r="AG80" i="10"/>
  <c r="AP85" i="10"/>
  <c r="AP87" i="10"/>
  <c r="AP86" i="10"/>
  <c r="AU63" i="10"/>
  <c r="AU62" i="10"/>
  <c r="AU64" i="10"/>
  <c r="AU65" i="10"/>
  <c r="AE69" i="10"/>
  <c r="AN75" i="10"/>
  <c r="AN76" i="10"/>
  <c r="AN74" i="10"/>
  <c r="AN73" i="10"/>
  <c r="AP64" i="10"/>
  <c r="AP63" i="10"/>
  <c r="AP65" i="10"/>
  <c r="AP62" i="10"/>
  <c r="AG58" i="10"/>
  <c r="AQ86" i="10"/>
  <c r="AQ84" i="10"/>
  <c r="AQ87" i="10"/>
  <c r="AQ85" i="10"/>
  <c r="AR75" i="10"/>
  <c r="AR74" i="10"/>
  <c r="AR73" i="10"/>
  <c r="AR76" i="10"/>
  <c r="AI69" i="10"/>
  <c r="AN65" i="10"/>
  <c r="AN62" i="10"/>
  <c r="AE58" i="10"/>
  <c r="AN64" i="10"/>
  <c r="AN63" i="10"/>
  <c r="BH26" i="10"/>
  <c r="AN85" i="10"/>
  <c r="AN87" i="10"/>
  <c r="AN84" i="10"/>
  <c r="AN86" i="10"/>
  <c r="AE80" i="10"/>
  <c r="AQ63" i="10"/>
  <c r="AQ62" i="10"/>
  <c r="AQ64" i="10"/>
  <c r="AQ65" i="10"/>
  <c r="AS86" i="10"/>
  <c r="AS84" i="10"/>
  <c r="AS85" i="10"/>
  <c r="AS87" i="10"/>
  <c r="AG69" i="10"/>
  <c r="AP76" i="10"/>
  <c r="AP74" i="10"/>
  <c r="AP73" i="10"/>
  <c r="AP75" i="10"/>
  <c r="BP26" i="10"/>
  <c r="AR84" i="10"/>
  <c r="AR86" i="10"/>
  <c r="AR85" i="10"/>
  <c r="AI80" i="10"/>
  <c r="AR87" i="10"/>
  <c r="CD22" i="10" l="1"/>
  <c r="CD20" i="10" s="1"/>
  <c r="R47" i="10"/>
  <c r="AK74" i="10"/>
  <c r="AK75" i="10"/>
  <c r="AK76" i="10"/>
  <c r="Q47" i="10"/>
  <c r="AL75" i="10"/>
  <c r="AK73" i="10"/>
  <c r="AK77" i="10" s="1"/>
  <c r="AL76" i="10"/>
  <c r="AL73" i="10"/>
  <c r="AL74" i="10"/>
  <c r="Q48" i="10"/>
  <c r="Q46" i="10"/>
  <c r="R48" i="10"/>
  <c r="AF76" i="10"/>
  <c r="BF42" i="10"/>
  <c r="BE55" i="8" s="1"/>
  <c r="Q31" i="10"/>
  <c r="BF43" i="10"/>
  <c r="AE76" i="10"/>
  <c r="AF74" i="10"/>
  <c r="R31" i="10"/>
  <c r="Q32" i="10"/>
  <c r="R32" i="10"/>
  <c r="BF41" i="10"/>
  <c r="Q30" i="10"/>
  <c r="BF44" i="10"/>
  <c r="AE74" i="10"/>
  <c r="AF75" i="10"/>
  <c r="M9" i="10"/>
  <c r="AE73" i="10"/>
  <c r="AF73" i="10"/>
  <c r="AE75" i="10"/>
  <c r="AF84" i="10"/>
  <c r="AF85" i="10"/>
  <c r="Q35" i="10"/>
  <c r="M10" i="10"/>
  <c r="BF45" i="10"/>
  <c r="AE87" i="10"/>
  <c r="AE85" i="10"/>
  <c r="Q33" i="10"/>
  <c r="BF48" i="10"/>
  <c r="AF86" i="10"/>
  <c r="R34" i="10"/>
  <c r="Q34" i="10"/>
  <c r="R33" i="10" s="1"/>
  <c r="R35" i="10"/>
  <c r="AE86" i="10"/>
  <c r="BF46" i="10"/>
  <c r="AE84" i="10"/>
  <c r="BF47" i="10"/>
  <c r="AF87" i="10"/>
  <c r="AG65" i="10"/>
  <c r="H29" i="10"/>
  <c r="AG64" i="10"/>
  <c r="AG63" i="10"/>
  <c r="AH63" i="10"/>
  <c r="H28" i="10"/>
  <c r="G29" i="10"/>
  <c r="AH62" i="10"/>
  <c r="AG62" i="10"/>
  <c r="G27" i="10"/>
  <c r="AH65" i="10"/>
  <c r="AH64" i="10"/>
  <c r="G28" i="10"/>
  <c r="H27" i="10" s="1"/>
  <c r="AH84" i="10"/>
  <c r="AH88" i="10" s="1"/>
  <c r="G33" i="10"/>
  <c r="AG84" i="10"/>
  <c r="AG85" i="10"/>
  <c r="AG87" i="10"/>
  <c r="G35" i="10"/>
  <c r="AH87" i="10"/>
  <c r="AH85" i="10"/>
  <c r="AH86" i="10"/>
  <c r="H35" i="10"/>
  <c r="G34" i="10"/>
  <c r="H33" i="10" s="1"/>
  <c r="H34" i="10"/>
  <c r="AG86" i="10"/>
  <c r="AL85" i="10"/>
  <c r="R50" i="10"/>
  <c r="AK85" i="10"/>
  <c r="R51" i="10"/>
  <c r="AL84" i="10"/>
  <c r="AK87" i="10"/>
  <c r="AK86" i="10"/>
  <c r="Q51" i="10"/>
  <c r="AL87" i="10"/>
  <c r="Q50" i="10"/>
  <c r="AL86" i="10"/>
  <c r="Q49" i="10"/>
  <c r="AK84" i="10"/>
  <c r="H32" i="10"/>
  <c r="AH74" i="10"/>
  <c r="G32" i="10"/>
  <c r="AH75" i="10"/>
  <c r="AG75" i="10"/>
  <c r="G30" i="10"/>
  <c r="AG73" i="10"/>
  <c r="AG74" i="10"/>
  <c r="H31" i="10"/>
  <c r="AH76" i="10"/>
  <c r="G31" i="10"/>
  <c r="AG76" i="10"/>
  <c r="AH73" i="10"/>
  <c r="AF64" i="10"/>
  <c r="Q29" i="10"/>
  <c r="BF37" i="10"/>
  <c r="AE65" i="10"/>
  <c r="AF62" i="10"/>
  <c r="AE64" i="10"/>
  <c r="AF63" i="10"/>
  <c r="BF38" i="10"/>
  <c r="BF39" i="10"/>
  <c r="BF40" i="10"/>
  <c r="AE63" i="10"/>
  <c r="AF65" i="10"/>
  <c r="AE62" i="10"/>
  <c r="R29" i="10"/>
  <c r="M8" i="10"/>
  <c r="Q28" i="10"/>
  <c r="R28" i="10"/>
  <c r="Q27" i="10"/>
  <c r="AI65" i="10"/>
  <c r="AJ65" i="10"/>
  <c r="AJ63" i="10"/>
  <c r="AI63" i="10"/>
  <c r="G43" i="10"/>
  <c r="AI62" i="10"/>
  <c r="AJ64" i="10"/>
  <c r="AJ62" i="10"/>
  <c r="AI64" i="10"/>
  <c r="G45" i="10"/>
  <c r="G44" i="10"/>
  <c r="H45" i="10"/>
  <c r="H44" i="10"/>
  <c r="AI87" i="10"/>
  <c r="AI84" i="10"/>
  <c r="G51" i="10"/>
  <c r="AJ84" i="10"/>
  <c r="AJ86" i="10"/>
  <c r="G50" i="10"/>
  <c r="G49" i="10"/>
  <c r="H50" i="10"/>
  <c r="AJ85" i="10"/>
  <c r="AI86" i="10"/>
  <c r="H51" i="10"/>
  <c r="AI85" i="10"/>
  <c r="AJ87" i="10"/>
  <c r="G47" i="10"/>
  <c r="AJ74" i="10"/>
  <c r="AI75" i="10"/>
  <c r="AI74" i="10"/>
  <c r="AJ76" i="10"/>
  <c r="G48" i="10"/>
  <c r="H47" i="10"/>
  <c r="AI76" i="10"/>
  <c r="AJ73" i="10"/>
  <c r="G46" i="10"/>
  <c r="H48" i="10"/>
  <c r="AJ75" i="10"/>
  <c r="AI73" i="10"/>
  <c r="AI77" i="10" s="1"/>
  <c r="AK62" i="10"/>
  <c r="AK66" i="10" s="1"/>
  <c r="Q45" i="10"/>
  <c r="R45" i="10"/>
  <c r="AL64" i="10"/>
  <c r="AK65" i="10"/>
  <c r="AL65" i="10"/>
  <c r="AK63" i="10"/>
  <c r="Q43" i="10"/>
  <c r="AL63" i="10"/>
  <c r="AL62" i="10"/>
  <c r="R44" i="10"/>
  <c r="AK64" i="10"/>
  <c r="Q44" i="10"/>
  <c r="H49" i="10" l="1"/>
  <c r="R49" i="10"/>
  <c r="AG66" i="10"/>
  <c r="R30" i="10"/>
  <c r="AL66" i="10"/>
  <c r="AG77" i="10"/>
  <c r="AI66" i="10"/>
  <c r="AE88" i="10"/>
  <c r="BE58" i="8"/>
  <c r="AF77" i="10"/>
  <c r="R43" i="10"/>
  <c r="R27" i="10"/>
  <c r="H43" i="10"/>
  <c r="AJ66" i="10"/>
  <c r="AE77" i="10"/>
  <c r="AJ77" i="10"/>
  <c r="AF66" i="10"/>
  <c r="AH66" i="10"/>
  <c r="AJ88" i="10"/>
  <c r="BE52" i="8"/>
  <c r="L38" i="11" s="1"/>
  <c r="AK88" i="10"/>
  <c r="AL77" i="10"/>
  <c r="AI88" i="10"/>
  <c r="AH77" i="10"/>
  <c r="R46" i="10"/>
  <c r="H30" i="10"/>
  <c r="H46" i="10"/>
  <c r="AE66" i="10"/>
  <c r="AG88" i="10"/>
  <c r="AL88" i="10"/>
  <c r="AF88" i="10"/>
  <c r="J10" i="10" l="1"/>
  <c r="I8" i="10"/>
  <c r="J8" i="10"/>
  <c r="AE20" i="11"/>
  <c r="AH21" i="11"/>
  <c r="AF20" i="11"/>
  <c r="B79" i="11"/>
  <c r="W47" i="11"/>
  <c r="AL23" i="11"/>
  <c r="AG21" i="11"/>
  <c r="B30" i="11"/>
  <c r="L56" i="11"/>
  <c r="N11" i="11"/>
  <c r="B69" i="11"/>
  <c r="L23" i="11"/>
  <c r="L69" i="11"/>
  <c r="B55" i="11"/>
  <c r="U23" i="11"/>
  <c r="B47" i="11"/>
  <c r="L67" i="11"/>
  <c r="E62" i="11"/>
  <c r="B38" i="11"/>
  <c r="L75" i="11"/>
  <c r="U62" i="11"/>
  <c r="L81" i="11"/>
  <c r="K62" i="11"/>
  <c r="V56" i="11"/>
  <c r="AK23" i="11"/>
  <c r="B23" i="11"/>
  <c r="W39" i="11"/>
  <c r="E23" i="11"/>
  <c r="O62" i="11"/>
  <c r="B73" i="11"/>
  <c r="B81" i="11"/>
  <c r="K23" i="11"/>
  <c r="L77" i="11"/>
  <c r="W38" i="11"/>
  <c r="V23" i="11"/>
  <c r="L73" i="11"/>
  <c r="B75" i="11"/>
  <c r="B67" i="11"/>
  <c r="L79" i="11"/>
  <c r="A39" i="11"/>
  <c r="W30" i="11"/>
  <c r="B77" i="11"/>
  <c r="AI22" i="11"/>
  <c r="O23" i="11"/>
  <c r="W55" i="11"/>
  <c r="B71" i="11"/>
  <c r="L71" i="11"/>
  <c r="B56" i="11"/>
  <c r="AJ22" i="11"/>
  <c r="L9" i="10"/>
  <c r="K9" i="10"/>
  <c r="L8" i="10"/>
  <c r="K8" i="10"/>
  <c r="K10" i="10"/>
  <c r="L10" i="10"/>
  <c r="J9" i="10"/>
  <c r="I9" i="10"/>
  <c r="I10" i="10"/>
  <c r="K8" i="8" l="1"/>
  <c r="G48" i="8" s="1"/>
  <c r="L8" i="8"/>
  <c r="I8" i="8"/>
  <c r="G47" i="8" s="1"/>
  <c r="H46" i="8" s="1"/>
  <c r="J8" i="8"/>
  <c r="M8" i="8"/>
  <c r="B42" i="11"/>
  <c r="B41" i="11" s="1"/>
  <c r="B46" i="11"/>
  <c r="B45" i="11"/>
  <c r="B43" i="11"/>
  <c r="B44" i="11"/>
  <c r="B52" i="11"/>
  <c r="B50" i="11"/>
  <c r="B49" i="11" s="1"/>
  <c r="B54" i="11"/>
  <c r="B53" i="11"/>
  <c r="B51" i="11"/>
  <c r="K21" i="11"/>
  <c r="K20" i="11"/>
  <c r="K18" i="11"/>
  <c r="K17" i="11" s="1"/>
  <c r="K22" i="11"/>
  <c r="K19" i="11"/>
  <c r="AO22" i="11"/>
  <c r="AQ22" i="11"/>
  <c r="AK22" i="11"/>
  <c r="AG22" i="11"/>
  <c r="AM22" i="11"/>
  <c r="AS22" i="11"/>
  <c r="AE22" i="11"/>
  <c r="B36" i="11"/>
  <c r="B33" i="11"/>
  <c r="B32" i="11" s="1"/>
  <c r="B35" i="11"/>
  <c r="B37" i="11"/>
  <c r="B34" i="11"/>
  <c r="W34" i="11"/>
  <c r="W35" i="11"/>
  <c r="W37" i="11"/>
  <c r="W36" i="11"/>
  <c r="W33" i="11"/>
  <c r="W32" i="11" s="1"/>
  <c r="AQ23" i="11"/>
  <c r="AI23" i="11"/>
  <c r="AE23" i="11"/>
  <c r="AS23" i="11"/>
  <c r="AM23" i="11"/>
  <c r="AG23" i="11"/>
  <c r="AO23" i="11"/>
  <c r="O59" i="11"/>
  <c r="O58" i="11"/>
  <c r="O61" i="11"/>
  <c r="O60" i="11"/>
  <c r="O57" i="11"/>
  <c r="O63" i="11" s="1"/>
  <c r="AM21" i="11"/>
  <c r="AO21" i="11"/>
  <c r="AE21" i="11"/>
  <c r="AS21" i="11"/>
  <c r="AI21" i="11"/>
  <c r="AK21" i="11"/>
  <c r="AQ21" i="11"/>
  <c r="B27" i="11"/>
  <c r="B25" i="11"/>
  <c r="B24" i="11" s="1"/>
  <c r="B26" i="11"/>
  <c r="B28" i="11"/>
  <c r="B29" i="11"/>
  <c r="U60" i="11"/>
  <c r="U57" i="11"/>
  <c r="U63" i="11" s="1"/>
  <c r="U61" i="11"/>
  <c r="U58" i="11"/>
  <c r="U59" i="11"/>
  <c r="AH23" i="11"/>
  <c r="AF23" i="11"/>
  <c r="AJ23" i="11"/>
  <c r="AR23" i="11"/>
  <c r="AP23" i="11"/>
  <c r="AN23" i="11"/>
  <c r="AT23" i="11"/>
  <c r="W26" i="11"/>
  <c r="W25" i="11"/>
  <c r="W24" i="11" s="1"/>
  <c r="W27" i="11"/>
  <c r="W29" i="11"/>
  <c r="W28" i="11"/>
  <c r="U21" i="11"/>
  <c r="U20" i="11"/>
  <c r="U22" i="11"/>
  <c r="U18" i="11"/>
  <c r="U17" i="11" s="1"/>
  <c r="U19" i="11"/>
  <c r="E58" i="11"/>
  <c r="E61" i="11"/>
  <c r="E57" i="11"/>
  <c r="E63" i="11" s="1"/>
  <c r="E60" i="11"/>
  <c r="E22" i="11"/>
  <c r="E59" i="11"/>
  <c r="W43" i="11"/>
  <c r="W44" i="11"/>
  <c r="W45" i="11"/>
  <c r="W42" i="11"/>
  <c r="W41" i="11" s="1"/>
  <c r="W46" i="11"/>
  <c r="AT24" i="11"/>
  <c r="AJ20" i="11"/>
  <c r="AL20" i="11"/>
  <c r="AH20" i="11"/>
  <c r="AT20" i="11"/>
  <c r="AR24" i="11"/>
  <c r="AJ24" i="11"/>
  <c r="AP24" i="11"/>
  <c r="AN24" i="11"/>
  <c r="AP20" i="11"/>
  <c r="AN20" i="11"/>
  <c r="AR20" i="11"/>
  <c r="AL24" i="11"/>
  <c r="AF24" i="11"/>
  <c r="AH24" i="11"/>
  <c r="AP21" i="11"/>
  <c r="AT21" i="11"/>
  <c r="AN21" i="11"/>
  <c r="AR21" i="11"/>
  <c r="AL21" i="11"/>
  <c r="AJ21" i="11"/>
  <c r="AF21" i="11"/>
  <c r="AL22" i="11"/>
  <c r="AT22" i="11"/>
  <c r="AR22" i="11"/>
  <c r="AH22" i="11"/>
  <c r="AF22" i="11"/>
  <c r="AP22" i="11"/>
  <c r="AN22" i="11"/>
  <c r="K58" i="11"/>
  <c r="K57" i="11"/>
  <c r="K63" i="11" s="1"/>
  <c r="K61" i="11"/>
  <c r="K60" i="11"/>
  <c r="K59" i="11"/>
  <c r="E19" i="11"/>
  <c r="E21" i="11"/>
  <c r="E18" i="11"/>
  <c r="E17" i="11" s="1"/>
  <c r="E20" i="11"/>
  <c r="AQ24" i="11"/>
  <c r="AQ20" i="11"/>
  <c r="AG20" i="11"/>
  <c r="AI24" i="11"/>
  <c r="AK20" i="11"/>
  <c r="AI20" i="11"/>
  <c r="AM24" i="11"/>
  <c r="AS24" i="11"/>
  <c r="AK24" i="11"/>
  <c r="AS20" i="11"/>
  <c r="AO20" i="11"/>
  <c r="AM20" i="11"/>
  <c r="AO24" i="11"/>
  <c r="AG24" i="11"/>
  <c r="AE24" i="11"/>
  <c r="O18" i="11"/>
  <c r="O17" i="11" s="1"/>
  <c r="O22" i="11"/>
  <c r="O20" i="11"/>
  <c r="O21" i="11"/>
  <c r="O19" i="11"/>
  <c r="W50" i="11"/>
  <c r="W49" i="11" s="1"/>
  <c r="W54" i="11"/>
  <c r="W52" i="11"/>
  <c r="W53" i="11"/>
  <c r="W51" i="11"/>
  <c r="BX19" i="11" l="1"/>
  <c r="CA19" i="11"/>
  <c r="BZ19" i="11"/>
  <c r="BZ28" i="11" s="1"/>
  <c r="BY19" i="11"/>
  <c r="BZ22" i="11" s="1"/>
  <c r="AY19" i="11"/>
  <c r="AW19" i="11"/>
  <c r="AV19" i="11"/>
  <c r="AX19" i="11"/>
  <c r="AZ19" i="11"/>
  <c r="BA19" i="11"/>
  <c r="BC19" i="11"/>
  <c r="BB19" i="11"/>
  <c r="BQ19" i="11"/>
  <c r="BR19" i="11"/>
  <c r="BS19" i="11"/>
  <c r="BP19" i="11"/>
  <c r="AH33" i="11"/>
  <c r="AH27" i="11"/>
  <c r="AI40" i="11"/>
  <c r="AI34" i="11"/>
  <c r="AG39" i="11"/>
  <c r="AJ40" i="11"/>
  <c r="AG33" i="11"/>
  <c r="AI28" i="11"/>
  <c r="AJ34" i="11"/>
  <c r="AH39" i="11"/>
  <c r="AG27" i="11"/>
  <c r="AJ28" i="11"/>
  <c r="BF19" i="11"/>
  <c r="BG19" i="11"/>
  <c r="BE19" i="11"/>
  <c r="BD19" i="11"/>
  <c r="BJ19" i="11"/>
  <c r="BK19" i="11"/>
  <c r="BH19" i="11"/>
  <c r="BI19" i="11"/>
  <c r="BJ22" i="11" s="1"/>
  <c r="AF26" i="11"/>
  <c r="AE26" i="11"/>
  <c r="AF32" i="11"/>
  <c r="AL29" i="11"/>
  <c r="AL41" i="11"/>
  <c r="AE38" i="11"/>
  <c r="AF38" i="11"/>
  <c r="AK35" i="11"/>
  <c r="AK41" i="11"/>
  <c r="AE32" i="11"/>
  <c r="AK29" i="11"/>
  <c r="AL35" i="11"/>
  <c r="BW19" i="11"/>
  <c r="BT19" i="11"/>
  <c r="BU19" i="11"/>
  <c r="BV22" i="11" s="1"/>
  <c r="BX26" i="11" s="1"/>
  <c r="BV19" i="11"/>
  <c r="BV28" i="11" s="1"/>
  <c r="BM19" i="11"/>
  <c r="BL19" i="11"/>
  <c r="BO19" i="11"/>
  <c r="BN19" i="11"/>
  <c r="N9" i="8"/>
  <c r="N9" i="10" s="1"/>
  <c r="N10" i="8"/>
  <c r="BF22" i="11" l="1"/>
  <c r="BH26" i="11" s="1"/>
  <c r="BQ22" i="11"/>
  <c r="BR28" i="11"/>
  <c r="AF35" i="11"/>
  <c r="AJ35" i="11"/>
  <c r="AT35" i="11"/>
  <c r="AP35" i="11"/>
  <c r="AR35" i="11"/>
  <c r="AN35" i="11"/>
  <c r="AH35" i="11"/>
  <c r="BD28" i="11"/>
  <c r="BE22" i="11"/>
  <c r="AS29" i="11"/>
  <c r="AO29" i="11"/>
  <c r="AG29" i="11"/>
  <c r="AM29" i="11"/>
  <c r="AQ29" i="11"/>
  <c r="AE29" i="11"/>
  <c r="AI29" i="11"/>
  <c r="AG32" i="11"/>
  <c r="AS36" i="11"/>
  <c r="AQ36" i="11"/>
  <c r="AM32" i="11"/>
  <c r="AO36" i="11"/>
  <c r="AG36" i="11"/>
  <c r="AK36" i="11"/>
  <c r="AI32" i="11"/>
  <c r="AE36" i="11"/>
  <c r="AS32" i="11"/>
  <c r="AQ32" i="11"/>
  <c r="AO32" i="11"/>
  <c r="AM36" i="11"/>
  <c r="AI36" i="11"/>
  <c r="AK32" i="11"/>
  <c r="AM41" i="11"/>
  <c r="AS41" i="11"/>
  <c r="AG41" i="11"/>
  <c r="AI41" i="11"/>
  <c r="AQ41" i="11"/>
  <c r="AE41" i="11"/>
  <c r="AO41" i="11"/>
  <c r="BF28" i="11"/>
  <c r="BR22" i="11"/>
  <c r="BP28" i="11"/>
  <c r="AO35" i="11"/>
  <c r="AG35" i="11"/>
  <c r="AE35" i="11"/>
  <c r="AM35" i="11"/>
  <c r="AS35" i="11"/>
  <c r="AQ35" i="11"/>
  <c r="AI35" i="11"/>
  <c r="AL28" i="11"/>
  <c r="AH28" i="11"/>
  <c r="AR28" i="11"/>
  <c r="AN28" i="11"/>
  <c r="AF28" i="11"/>
  <c r="AT28" i="11"/>
  <c r="AP28" i="11"/>
  <c r="AR42" i="11"/>
  <c r="AT38" i="11"/>
  <c r="AF42" i="11"/>
  <c r="AL42" i="11"/>
  <c r="AJ38" i="11"/>
  <c r="AL38" i="11"/>
  <c r="AN38" i="11"/>
  <c r="AH42" i="11"/>
  <c r="AN42" i="11"/>
  <c r="AP38" i="11"/>
  <c r="AT42" i="11"/>
  <c r="AH38" i="11"/>
  <c r="AR38" i="11"/>
  <c r="AP42" i="11"/>
  <c r="AJ42" i="11"/>
  <c r="AS27" i="11"/>
  <c r="AM27" i="11"/>
  <c r="AO27" i="11"/>
  <c r="AQ27" i="11"/>
  <c r="AI27" i="11"/>
  <c r="AE27" i="11"/>
  <c r="AK27" i="11"/>
  <c r="BB28" i="11"/>
  <c r="N9" i="9"/>
  <c r="AK38" i="11"/>
  <c r="AM38" i="11"/>
  <c r="AI42" i="11"/>
  <c r="AQ38" i="11"/>
  <c r="AS42" i="11"/>
  <c r="AQ42" i="11"/>
  <c r="AI38" i="11"/>
  <c r="AE42" i="11"/>
  <c r="AS38" i="11"/>
  <c r="AO42" i="11"/>
  <c r="AK42" i="11"/>
  <c r="AM42" i="11"/>
  <c r="AO38" i="11"/>
  <c r="AG38" i="11"/>
  <c r="AG42" i="11"/>
  <c r="AJ39" i="11"/>
  <c r="AP39" i="11"/>
  <c r="AR39" i="11"/>
  <c r="AN39" i="11"/>
  <c r="AT39" i="11"/>
  <c r="AL39" i="11"/>
  <c r="AF39" i="11"/>
  <c r="AZ28" i="11"/>
  <c r="BB22" i="11"/>
  <c r="AP41" i="11"/>
  <c r="AJ41" i="11"/>
  <c r="AT41" i="11"/>
  <c r="AH41" i="11"/>
  <c r="AN41" i="11"/>
  <c r="AR41" i="11"/>
  <c r="AF41" i="11"/>
  <c r="AH34" i="11"/>
  <c r="AR34" i="11"/>
  <c r="AP34" i="11"/>
  <c r="AF34" i="11"/>
  <c r="AL34" i="11"/>
  <c r="AT34" i="11"/>
  <c r="AN34" i="11"/>
  <c r="BA22" i="11"/>
  <c r="AN29" i="11"/>
  <c r="AP29" i="11"/>
  <c r="AT29" i="11"/>
  <c r="AH29" i="11"/>
  <c r="AR29" i="11"/>
  <c r="AF29" i="11"/>
  <c r="AJ29" i="11"/>
  <c r="AK28" i="11"/>
  <c r="AE28" i="11"/>
  <c r="AS28" i="11"/>
  <c r="AM28" i="11"/>
  <c r="AQ28" i="11"/>
  <c r="AG28" i="11"/>
  <c r="AO28" i="11"/>
  <c r="BN28" i="11"/>
  <c r="AL32" i="11"/>
  <c r="AP36" i="11"/>
  <c r="AR32" i="11"/>
  <c r="AT32" i="11"/>
  <c r="AN32" i="11"/>
  <c r="AH32" i="11"/>
  <c r="AT36" i="11"/>
  <c r="AH36" i="11"/>
  <c r="AJ36" i="11"/>
  <c r="AN36" i="11"/>
  <c r="AL36" i="11"/>
  <c r="AR36" i="11"/>
  <c r="AP32" i="11"/>
  <c r="AF36" i="11"/>
  <c r="AJ32" i="11"/>
  <c r="AO33" i="11"/>
  <c r="AM33" i="11"/>
  <c r="AQ33" i="11"/>
  <c r="AS33" i="11"/>
  <c r="AE33" i="11"/>
  <c r="AK33" i="11"/>
  <c r="AI33" i="11"/>
  <c r="AW22" i="11"/>
  <c r="AY26" i="11" s="1"/>
  <c r="BM22" i="11"/>
  <c r="BO26" i="11" s="1"/>
  <c r="AE30" i="11"/>
  <c r="AO30" i="11"/>
  <c r="AG30" i="11"/>
  <c r="AQ30" i="11"/>
  <c r="AG26" i="11"/>
  <c r="AM30" i="11"/>
  <c r="AI30" i="11"/>
  <c r="AM26" i="11"/>
  <c r="AK30" i="11"/>
  <c r="AK26" i="11"/>
  <c r="AQ26" i="11"/>
  <c r="AO26" i="11"/>
  <c r="AI26" i="11"/>
  <c r="AS30" i="11"/>
  <c r="AS26" i="11"/>
  <c r="AF40" i="11"/>
  <c r="AH40" i="11"/>
  <c r="AP40" i="11"/>
  <c r="AN40" i="11"/>
  <c r="AT40" i="11"/>
  <c r="AL40" i="11"/>
  <c r="AR40" i="11"/>
  <c r="AX22" i="11"/>
  <c r="AV28" i="11"/>
  <c r="BL28" i="11"/>
  <c r="BN22" i="11"/>
  <c r="BP26" i="11" s="1"/>
  <c r="AT30" i="11"/>
  <c r="AH30" i="11"/>
  <c r="AN26" i="11"/>
  <c r="AL26" i="11"/>
  <c r="AL30" i="11"/>
  <c r="AJ30" i="11"/>
  <c r="AR26" i="11"/>
  <c r="AJ26" i="11"/>
  <c r="AT26" i="11"/>
  <c r="AP26" i="11"/>
  <c r="AN30" i="11"/>
  <c r="AF30" i="11"/>
  <c r="AH26" i="11"/>
  <c r="AR30" i="11"/>
  <c r="AP30" i="11"/>
  <c r="AO39" i="11"/>
  <c r="AI39" i="11"/>
  <c r="AE39" i="11"/>
  <c r="AM39" i="11"/>
  <c r="AK39" i="11"/>
  <c r="AQ39" i="11"/>
  <c r="AS39" i="11"/>
  <c r="AX28" i="11"/>
  <c r="AK34" i="11"/>
  <c r="AQ34" i="11"/>
  <c r="AO34" i="11"/>
  <c r="AM34" i="11"/>
  <c r="AG34" i="11"/>
  <c r="AS34" i="11"/>
  <c r="AE34" i="11"/>
  <c r="BH28" i="11"/>
  <c r="BI22" i="11"/>
  <c r="AE40" i="11"/>
  <c r="AG40" i="11"/>
  <c r="AO40" i="11"/>
  <c r="AK40" i="11"/>
  <c r="AS40" i="11"/>
  <c r="AQ40" i="11"/>
  <c r="AM40" i="11"/>
  <c r="BT28" i="11"/>
  <c r="BU22" i="11"/>
  <c r="AR27" i="11"/>
  <c r="AP27" i="11"/>
  <c r="AF27" i="11"/>
  <c r="AN27" i="11"/>
  <c r="AT27" i="11"/>
  <c r="AL27" i="11"/>
  <c r="AJ27" i="11"/>
  <c r="BJ28" i="11"/>
  <c r="AJ33" i="11"/>
  <c r="AF33" i="11"/>
  <c r="AT33" i="11"/>
  <c r="AP33" i="11"/>
  <c r="AL33" i="11"/>
  <c r="AN33" i="11"/>
  <c r="AR33" i="11"/>
  <c r="BY22" i="11"/>
  <c r="BX28" i="11"/>
  <c r="N9" i="11"/>
  <c r="AG132" i="4"/>
  <c r="AW132" i="4" s="1"/>
  <c r="N10" i="10"/>
  <c r="BO132" i="4"/>
  <c r="N10" i="11"/>
  <c r="CF132" i="4"/>
  <c r="N10" i="9"/>
  <c r="BW26" i="11" l="1"/>
  <c r="AG58" i="11"/>
  <c r="AP65" i="11"/>
  <c r="AP64" i="11"/>
  <c r="AP62" i="11"/>
  <c r="AP63" i="11"/>
  <c r="AU75" i="11"/>
  <c r="AU73" i="11"/>
  <c r="AU74" i="11"/>
  <c r="AU76" i="11"/>
  <c r="AQ87" i="11"/>
  <c r="AQ86" i="11"/>
  <c r="AQ85" i="11"/>
  <c r="AQ84" i="11"/>
  <c r="AS75" i="11"/>
  <c r="AS73" i="11"/>
  <c r="AS74" i="11"/>
  <c r="AS76" i="11"/>
  <c r="AP84" i="11"/>
  <c r="AP86" i="11"/>
  <c r="AG80" i="11"/>
  <c r="AP85" i="11"/>
  <c r="AP87" i="11"/>
  <c r="AR74" i="11"/>
  <c r="AR73" i="11"/>
  <c r="AR75" i="11"/>
  <c r="AR76" i="11"/>
  <c r="AI69" i="11"/>
  <c r="AQ75" i="11"/>
  <c r="AQ73" i="11"/>
  <c r="AQ74" i="11"/>
  <c r="AQ76" i="11"/>
  <c r="AU65" i="11"/>
  <c r="AU63" i="11"/>
  <c r="AU62" i="11"/>
  <c r="AU64" i="11"/>
  <c r="AU87" i="11"/>
  <c r="AU84" i="11"/>
  <c r="AU85" i="11"/>
  <c r="AU86" i="11"/>
  <c r="AT85" i="11"/>
  <c r="AT87" i="11"/>
  <c r="AT86" i="11"/>
  <c r="AK80" i="11"/>
  <c r="AT84" i="11"/>
  <c r="AO87" i="11"/>
  <c r="AO84" i="11"/>
  <c r="AO86" i="11"/>
  <c r="AO85" i="11"/>
  <c r="AE58" i="11"/>
  <c r="AN62" i="11"/>
  <c r="AN63" i="11"/>
  <c r="AN64" i="11"/>
  <c r="AN65" i="11"/>
  <c r="AQ63" i="11"/>
  <c r="AQ65" i="11"/>
  <c r="AQ64" i="11"/>
  <c r="AQ62" i="11"/>
  <c r="AN73" i="11"/>
  <c r="AE69" i="11"/>
  <c r="AN76" i="11"/>
  <c r="AN75" i="11"/>
  <c r="AN74" i="11"/>
  <c r="BG26" i="11"/>
  <c r="CC22" i="11" s="1"/>
  <c r="CD20" i="11" s="1"/>
  <c r="AE80" i="11"/>
  <c r="AN84" i="11"/>
  <c r="AN87" i="11"/>
  <c r="AN86" i="11"/>
  <c r="AN85" i="11"/>
  <c r="AT73" i="11"/>
  <c r="AT74" i="11"/>
  <c r="AT75" i="11"/>
  <c r="AT76" i="11"/>
  <c r="AK69" i="11"/>
  <c r="AT64" i="11"/>
  <c r="AT62" i="11"/>
  <c r="AT63" i="11"/>
  <c r="AK58" i="11"/>
  <c r="AT65" i="11"/>
  <c r="AS86" i="11"/>
  <c r="AS87" i="11"/>
  <c r="AS85" i="11"/>
  <c r="AS84" i="11"/>
  <c r="AP73" i="11"/>
  <c r="AP74" i="11"/>
  <c r="AG69" i="11"/>
  <c r="AP75" i="11"/>
  <c r="AP76" i="11"/>
  <c r="AZ26" i="11"/>
  <c r="CD22" i="11" s="1"/>
  <c r="AR63" i="11"/>
  <c r="AR64" i="11"/>
  <c r="AI58" i="11"/>
  <c r="AR65" i="11"/>
  <c r="AR62" i="11"/>
  <c r="AS64" i="11"/>
  <c r="AS63" i="11"/>
  <c r="AS65" i="11"/>
  <c r="AS62" i="11"/>
  <c r="AO65" i="11"/>
  <c r="AO62" i="11"/>
  <c r="AO64" i="11"/>
  <c r="AO63" i="11"/>
  <c r="AO74" i="11"/>
  <c r="AO75" i="11"/>
  <c r="AO76" i="11"/>
  <c r="AO73" i="11"/>
  <c r="AR86" i="11"/>
  <c r="AI80" i="11"/>
  <c r="AR87" i="11"/>
  <c r="AR84" i="11"/>
  <c r="AR85" i="11"/>
  <c r="AJ85" i="11" l="1"/>
  <c r="G50" i="11"/>
  <c r="AI87" i="11"/>
  <c r="AI86" i="11"/>
  <c r="G49" i="11"/>
  <c r="AI85" i="11"/>
  <c r="H51" i="11"/>
  <c r="AI84" i="11"/>
  <c r="G51" i="11"/>
  <c r="AJ87" i="11"/>
  <c r="AJ86" i="11"/>
  <c r="AJ84" i="11"/>
  <c r="H50" i="11"/>
  <c r="AJ76" i="11"/>
  <c r="G47" i="11"/>
  <c r="H46" i="11" s="1"/>
  <c r="AI73" i="11"/>
  <c r="AI77" i="11" s="1"/>
  <c r="H47" i="11"/>
  <c r="AJ73" i="11"/>
  <c r="AI76" i="11"/>
  <c r="AI74" i="11"/>
  <c r="AJ74" i="11"/>
  <c r="AI75" i="11"/>
  <c r="AJ75" i="11"/>
  <c r="G48" i="11"/>
  <c r="H48" i="11"/>
  <c r="G46" i="11"/>
  <c r="AK63" i="11"/>
  <c r="Q43" i="11"/>
  <c r="AK64" i="11"/>
  <c r="AK65" i="11"/>
  <c r="AL63" i="11"/>
  <c r="R44" i="11"/>
  <c r="AL65" i="11"/>
  <c r="Q45" i="11"/>
  <c r="AK62" i="11"/>
  <c r="AL64" i="11"/>
  <c r="Q44" i="11"/>
  <c r="R43" i="11" s="1"/>
  <c r="AL62" i="11"/>
  <c r="R45" i="11"/>
  <c r="AE75" i="11"/>
  <c r="AE73" i="11"/>
  <c r="Q30" i="11"/>
  <c r="AF73" i="11"/>
  <c r="Q31" i="11"/>
  <c r="R30" i="11" s="1"/>
  <c r="R31" i="11"/>
  <c r="AE74" i="11"/>
  <c r="R32" i="11"/>
  <c r="AE76" i="11"/>
  <c r="AF74" i="11"/>
  <c r="M9" i="11"/>
  <c r="BF43" i="11"/>
  <c r="Q32" i="11"/>
  <c r="AF76" i="11"/>
  <c r="BF44" i="11"/>
  <c r="BF41" i="11"/>
  <c r="AF75" i="11"/>
  <c r="BF42" i="11"/>
  <c r="H31" i="11"/>
  <c r="H32" i="11"/>
  <c r="AG76" i="11"/>
  <c r="AG75" i="11"/>
  <c r="G31" i="11"/>
  <c r="AG73" i="11"/>
  <c r="G32" i="11"/>
  <c r="AG74" i="11"/>
  <c r="AH76" i="11"/>
  <c r="AH73" i="11"/>
  <c r="AH74" i="11"/>
  <c r="AH75" i="11"/>
  <c r="G30" i="11"/>
  <c r="AL84" i="11"/>
  <c r="Q49" i="11"/>
  <c r="R50" i="11"/>
  <c r="AL85" i="11"/>
  <c r="Q50" i="11"/>
  <c r="R49" i="11" s="1"/>
  <c r="AL87" i="11"/>
  <c r="AK87" i="11"/>
  <c r="AK85" i="11"/>
  <c r="AK86" i="11"/>
  <c r="AK84" i="11"/>
  <c r="R51" i="11"/>
  <c r="Q51" i="11"/>
  <c r="AL86" i="11"/>
  <c r="AH85" i="11"/>
  <c r="AH84" i="11"/>
  <c r="AG86" i="11"/>
  <c r="G35" i="11"/>
  <c r="H34" i="11"/>
  <c r="AH86" i="11"/>
  <c r="AH87" i="11"/>
  <c r="G33" i="11"/>
  <c r="G34" i="11"/>
  <c r="H33" i="11" s="1"/>
  <c r="H35" i="11"/>
  <c r="AG84" i="11"/>
  <c r="AG85" i="11"/>
  <c r="AG87" i="11"/>
  <c r="AE62" i="11"/>
  <c r="AF65" i="11"/>
  <c r="R28" i="11"/>
  <c r="AF63" i="11"/>
  <c r="Q29" i="11"/>
  <c r="BF40" i="11"/>
  <c r="AE64" i="11"/>
  <c r="Q27" i="11"/>
  <c r="AE63" i="11"/>
  <c r="BF39" i="11"/>
  <c r="AF64" i="11"/>
  <c r="AE65" i="11"/>
  <c r="BF37" i="11"/>
  <c r="Q28" i="11"/>
  <c r="R27" i="11" s="1"/>
  <c r="BF38" i="11"/>
  <c r="AF62" i="11"/>
  <c r="M8" i="11"/>
  <c r="R29" i="11"/>
  <c r="G43" i="11"/>
  <c r="AI64" i="11"/>
  <c r="AI62" i="11"/>
  <c r="AJ65" i="11"/>
  <c r="AI63" i="11"/>
  <c r="AJ64" i="11"/>
  <c r="H45" i="11"/>
  <c r="AI65" i="11"/>
  <c r="AJ63" i="11"/>
  <c r="G44" i="11"/>
  <c r="AJ62" i="11"/>
  <c r="G45" i="11"/>
  <c r="H44" i="11"/>
  <c r="AL75" i="11"/>
  <c r="R48" i="11"/>
  <c r="R47" i="11"/>
  <c r="AL73" i="11"/>
  <c r="AK74" i="11"/>
  <c r="AK73" i="11"/>
  <c r="AK75" i="11"/>
  <c r="Q46" i="11"/>
  <c r="AL74" i="11"/>
  <c r="Q48" i="11"/>
  <c r="AK76" i="11"/>
  <c r="Q47" i="11"/>
  <c r="AL76" i="11"/>
  <c r="BF47" i="11"/>
  <c r="AE87" i="11"/>
  <c r="Q33" i="11"/>
  <c r="AE84" i="11"/>
  <c r="AF85" i="11"/>
  <c r="BF48" i="11"/>
  <c r="AF87" i="11"/>
  <c r="R34" i="11"/>
  <c r="AF86" i="11"/>
  <c r="AF84" i="11"/>
  <c r="Q35" i="11"/>
  <c r="Q34" i="11"/>
  <c r="AE86" i="11"/>
  <c r="M10" i="11"/>
  <c r="BF45" i="11"/>
  <c r="AE85" i="11"/>
  <c r="R35" i="11"/>
  <c r="BF46" i="11"/>
  <c r="H29" i="11"/>
  <c r="AG62" i="11"/>
  <c r="AG66" i="11" s="1"/>
  <c r="AG65" i="11"/>
  <c r="AH63" i="11"/>
  <c r="G27" i="11"/>
  <c r="AG63" i="11"/>
  <c r="H28" i="11"/>
  <c r="AH65" i="11"/>
  <c r="AG64" i="11"/>
  <c r="G29" i="11"/>
  <c r="AH64" i="11"/>
  <c r="G28" i="11"/>
  <c r="H27" i="11" s="1"/>
  <c r="AH62" i="11"/>
  <c r="AI88" i="11" l="1"/>
  <c r="AJ66" i="11"/>
  <c r="AE88" i="11"/>
  <c r="AF66" i="11"/>
  <c r="R46" i="11"/>
  <c r="R33" i="11"/>
  <c r="AJ88" i="11"/>
  <c r="AF77" i="11"/>
  <c r="AG77" i="11"/>
  <c r="AH66" i="11"/>
  <c r="AK88" i="11"/>
  <c r="AG88" i="11"/>
  <c r="J10" i="11" s="1"/>
  <c r="H30" i="11"/>
  <c r="AE77" i="11"/>
  <c r="H43" i="11"/>
  <c r="AL88" i="11"/>
  <c r="AF88" i="11"/>
  <c r="AL66" i="11"/>
  <c r="AK77" i="11"/>
  <c r="AI66" i="11"/>
  <c r="AH88" i="11"/>
  <c r="AL77" i="11"/>
  <c r="AH77" i="11"/>
  <c r="AK66" i="11"/>
  <c r="AJ77" i="11"/>
  <c r="H49" i="11"/>
  <c r="AE66" i="11"/>
  <c r="L8" i="11" l="1"/>
  <c r="I10" i="11"/>
  <c r="I10" i="8"/>
  <c r="U50" i="3" s="1"/>
  <c r="AH130" i="4" s="1"/>
  <c r="J10" i="8"/>
  <c r="V50" i="3" s="1"/>
  <c r="AJ130" i="4" s="1"/>
  <c r="L9" i="11"/>
  <c r="J9" i="11"/>
  <c r="I9" i="11"/>
  <c r="L10" i="11"/>
  <c r="K10" i="11"/>
  <c r="K9" i="11"/>
  <c r="I8" i="11"/>
  <c r="J8" i="11"/>
  <c r="K8" i="11"/>
  <c r="L10" i="8" l="1"/>
  <c r="X50" i="3" s="1"/>
  <c r="AN130" i="4" s="1"/>
  <c r="K10" i="8"/>
  <c r="W50" i="3" s="1"/>
  <c r="AL130" i="4" s="1"/>
  <c r="M9" i="8"/>
  <c r="J9" i="8"/>
  <c r="V46" i="3" s="1"/>
  <c r="AD120" i="4" s="1"/>
  <c r="AU120" i="4" s="1"/>
  <c r="BL120" i="4" s="1"/>
  <c r="CC120" i="4" s="1"/>
  <c r="I9" i="8"/>
  <c r="U46" i="3" s="1"/>
  <c r="AC120" i="4" s="1"/>
  <c r="AT120" i="4" s="1"/>
  <c r="BK120" i="4" s="1"/>
  <c r="CB120" i="4" s="1"/>
  <c r="CH130" i="4"/>
  <c r="AZ130" i="4"/>
  <c r="BQ130" i="4"/>
  <c r="BO130" i="4"/>
  <c r="CF130" i="4"/>
  <c r="AX130" i="4"/>
  <c r="K9" i="8"/>
  <c r="W46" i="3" s="1"/>
  <c r="AE120" i="4" s="1"/>
  <c r="AV120" i="4" s="1"/>
  <c r="BM120" i="4" s="1"/>
  <c r="CD120" i="4" s="1"/>
  <c r="L9" i="8"/>
  <c r="X46" i="3" s="1"/>
  <c r="AF120" i="4" s="1"/>
  <c r="AW120" i="4" s="1"/>
  <c r="BN120" i="4" s="1"/>
  <c r="CE120" i="4" s="1"/>
  <c r="M10" i="8"/>
  <c r="BM132" i="4" l="1"/>
  <c r="AE132" i="4"/>
  <c r="AV132" i="4" s="1"/>
  <c r="CD132" i="4"/>
  <c r="BB130" i="4"/>
  <c r="CJ130" i="4"/>
  <c r="BS130" i="4"/>
  <c r="CL130" i="4"/>
  <c r="BD130" i="4"/>
  <c r="BU130" i="4"/>
</calcChain>
</file>

<file path=xl/comments1.xml><?xml version="1.0" encoding="utf-8"?>
<comments xmlns="http://schemas.openxmlformats.org/spreadsheetml/2006/main">
  <authors>
    <author>daynedoucet</author>
  </authors>
  <commentList>
    <comment ref="AD134" authorId="0" shapeId="0">
      <text>
        <r>
          <rPr>
            <sz val="11"/>
            <color theme="1"/>
            <rFont val="Calibri"/>
            <family val="2"/>
            <scheme val="minor"/>
          </rPr>
          <t>daynedoucet:
STRING1</t>
        </r>
      </text>
    </comment>
    <comment ref="AQ134" authorId="0" shapeId="0">
      <text>
        <r>
          <rPr>
            <sz val="11"/>
            <color theme="1"/>
            <rFont val="Calibri"/>
            <family val="2"/>
            <scheme val="minor"/>
          </rPr>
          <t>daynedoucet:
STRING2</t>
        </r>
      </text>
    </comment>
    <comment ref="AU134" authorId="0" shapeId="0">
      <text>
        <r>
          <rPr>
            <sz val="11"/>
            <color theme="1"/>
            <rFont val="Calibri"/>
            <family val="2"/>
            <scheme val="minor"/>
          </rPr>
          <t>daynedoucet:
STRING1</t>
        </r>
      </text>
    </comment>
    <comment ref="BG134" authorId="0" shapeId="0">
      <text>
        <r>
          <rPr>
            <sz val="11"/>
            <color theme="1"/>
            <rFont val="Calibri"/>
            <family val="2"/>
            <scheme val="minor"/>
          </rPr>
          <t>daynedoucet:
STRING2</t>
        </r>
      </text>
    </comment>
    <comment ref="BL134" authorId="0" shapeId="0">
      <text>
        <r>
          <rPr>
            <sz val="11"/>
            <color theme="1"/>
            <rFont val="Calibri"/>
            <family val="2"/>
            <scheme val="minor"/>
          </rPr>
          <t>daynedoucet:
STRING2</t>
        </r>
      </text>
    </comment>
    <comment ref="BX134" authorId="0" shapeId="0">
      <text>
        <r>
          <rPr>
            <sz val="11"/>
            <color theme="1"/>
            <rFont val="Calibri"/>
            <family val="2"/>
            <scheme val="minor"/>
          </rPr>
          <t>daynedoucet:
STRING3</t>
        </r>
      </text>
    </comment>
    <comment ref="CC134" authorId="0" shapeId="0">
      <text>
        <r>
          <rPr>
            <sz val="11"/>
            <color theme="1"/>
            <rFont val="Calibri"/>
            <family val="2"/>
            <scheme val="minor"/>
          </rPr>
          <t>daynedoucet:
STRING1</t>
        </r>
      </text>
    </comment>
    <comment ref="CO134" authorId="0" shapeId="0">
      <text>
        <r>
          <rPr>
            <sz val="11"/>
            <color theme="1"/>
            <rFont val="Calibri"/>
            <family val="2"/>
            <scheme val="minor"/>
          </rPr>
          <t>daynedoucet:
STRING2</t>
        </r>
      </text>
    </comment>
    <comment ref="AD154" authorId="0" shapeId="0">
      <text>
        <r>
          <rPr>
            <sz val="11"/>
            <color theme="1"/>
            <rFont val="Calibri"/>
            <family val="2"/>
            <scheme val="minor"/>
          </rPr>
          <t>daynedoucet:
STRING3</t>
        </r>
      </text>
    </comment>
    <comment ref="AU154" authorId="0" shapeId="0">
      <text>
        <r>
          <rPr>
            <sz val="11"/>
            <color theme="1"/>
            <rFont val="Calibri"/>
            <family val="2"/>
            <scheme val="minor"/>
          </rPr>
          <t>daynedoucet:
STRING4</t>
        </r>
      </text>
    </comment>
    <comment ref="BL176" authorId="0" shapeId="0">
      <text>
        <r>
          <rPr>
            <sz val="11"/>
            <color theme="1"/>
            <rFont val="Calibri"/>
            <family val="2"/>
            <scheme val="minor"/>
          </rPr>
          <t>daynedoucet:
STRING4</t>
        </r>
      </text>
    </comment>
    <comment ref="BX180" authorId="0" shapeId="0">
      <text>
        <r>
          <rPr>
            <sz val="11"/>
            <color theme="1"/>
            <rFont val="Calibri"/>
            <family val="2"/>
            <scheme val="minor"/>
          </rPr>
          <t>daynedoucet:
STRING1</t>
        </r>
      </text>
    </comment>
  </commentList>
</comments>
</file>

<file path=xl/sharedStrings.xml><?xml version="1.0" encoding="utf-8"?>
<sst xmlns="http://schemas.openxmlformats.org/spreadsheetml/2006/main" count="23139" uniqueCount="4503">
  <si>
    <t>Version</t>
  </si>
  <si>
    <t>Minimum Design Factors</t>
  </si>
  <si>
    <t>Collapse</t>
  </si>
  <si>
    <t>Burst</t>
  </si>
  <si>
    <t>Company</t>
  </si>
  <si>
    <t>Tension</t>
  </si>
  <si>
    <t>Well Name</t>
  </si>
  <si>
    <t>Three Rivers 36-42T-720</t>
  </si>
  <si>
    <t>STC</t>
  </si>
  <si>
    <t>API</t>
  </si>
  <si>
    <t>LTC</t>
  </si>
  <si>
    <t>KOP Method</t>
  </si>
  <si>
    <t>N</t>
  </si>
  <si>
    <t>BTC</t>
  </si>
  <si>
    <t>Casing</t>
  </si>
  <si>
    <t>Survey Method</t>
  </si>
  <si>
    <t>y</t>
  </si>
  <si>
    <t>Set Depth</t>
  </si>
  <si>
    <t>String #</t>
  </si>
  <si>
    <t xml:space="preserve">Premium </t>
  </si>
  <si>
    <t>Frac Gradient</t>
  </si>
  <si>
    <t>psi/ft</t>
  </si>
  <si>
    <t>DX</t>
  </si>
  <si>
    <t>DVT</t>
  </si>
  <si>
    <t>Body Yield</t>
  </si>
  <si>
    <t>STRING 1</t>
  </si>
  <si>
    <t>Hole Size</t>
  </si>
  <si>
    <t>Csg size</t>
  </si>
  <si>
    <t>Csg Wt</t>
  </si>
  <si>
    <t>Csg Grade</t>
  </si>
  <si>
    <t>Csg Collar</t>
  </si>
  <si>
    <t>Cement Lead Qty</t>
  </si>
  <si>
    <t>Cement Lead Yield</t>
  </si>
  <si>
    <t>Cement Tail Qty</t>
  </si>
  <si>
    <t>Cement Tail Yield</t>
  </si>
  <si>
    <t>Cement cu. Ft.</t>
  </si>
  <si>
    <t>Cement Height</t>
  </si>
  <si>
    <t>TOC</t>
  </si>
  <si>
    <t>MASP</t>
  </si>
  <si>
    <t>Collapse Strength</t>
  </si>
  <si>
    <t>Collapse Load</t>
  </si>
  <si>
    <t>Collapse DF</t>
  </si>
  <si>
    <t>Burst Strength</t>
  </si>
  <si>
    <t>Burst Load</t>
  </si>
  <si>
    <t>Burst DF</t>
  </si>
  <si>
    <t>Tension Strength</t>
  </si>
  <si>
    <t>Tension DF</t>
  </si>
  <si>
    <t>Neutral Point</t>
  </si>
  <si>
    <t>Tension Air</t>
  </si>
  <si>
    <t>Tension Buoyed</t>
  </si>
  <si>
    <t>ID</t>
  </si>
  <si>
    <t>As</t>
  </si>
  <si>
    <t>pi</t>
  </si>
  <si>
    <t>wL</t>
  </si>
  <si>
    <t>Fa</t>
  </si>
  <si>
    <t>B</t>
  </si>
  <si>
    <t>A</t>
  </si>
  <si>
    <t>C</t>
  </si>
  <si>
    <t>I</t>
  </si>
  <si>
    <t>dneutral = dc*(1-ρm/65.4)</t>
  </si>
  <si>
    <t>We=W*(1-ρm/65.4)</t>
  </si>
  <si>
    <t>As3</t>
  </si>
  <si>
    <t>p3</t>
  </si>
  <si>
    <t>wL3</t>
  </si>
  <si>
    <t>CDC</t>
  </si>
  <si>
    <t>C-75</t>
  </si>
  <si>
    <t>J-55</t>
  </si>
  <si>
    <t>DDS</t>
  </si>
  <si>
    <t>C-90</t>
  </si>
  <si>
    <t xml:space="preserve"> </t>
  </si>
  <si>
    <t>As2</t>
  </si>
  <si>
    <t>p2</t>
  </si>
  <si>
    <t>wL2</t>
  </si>
  <si>
    <t>DQX</t>
  </si>
  <si>
    <t>C-95</t>
  </si>
  <si>
    <t>H2S-90</t>
  </si>
  <si>
    <t>As1</t>
  </si>
  <si>
    <t>p1</t>
  </si>
  <si>
    <t>wL1</t>
  </si>
  <si>
    <t>PE</t>
  </si>
  <si>
    <t>H2S-95</t>
  </si>
  <si>
    <t>H-40</t>
  </si>
  <si>
    <t>Buoyed</t>
  </si>
  <si>
    <t>ST-L</t>
  </si>
  <si>
    <t>HCK-55</t>
  </si>
  <si>
    <t>MW</t>
  </si>
  <si>
    <t>ppg</t>
  </si>
  <si>
    <t>TTRS1</t>
  </si>
  <si>
    <t>HCL-80</t>
  </si>
  <si>
    <t>TVD</t>
  </si>
  <si>
    <t>ft</t>
  </si>
  <si>
    <t>MD</t>
  </si>
  <si>
    <t>SLIJ-II</t>
  </si>
  <si>
    <t>HCN-80</t>
  </si>
  <si>
    <t>Hole Washout</t>
  </si>
  <si>
    <t>%</t>
  </si>
  <si>
    <t>U-SF</t>
  </si>
  <si>
    <t>HCP-110</t>
  </si>
  <si>
    <t>Internal Gradient</t>
  </si>
  <si>
    <t>HCQ-125</t>
  </si>
  <si>
    <t>Backup Mud</t>
  </si>
  <si>
    <t>I-55</t>
  </si>
  <si>
    <t>Internal Mud</t>
  </si>
  <si>
    <t>I-80</t>
  </si>
  <si>
    <t>Next Set Depth</t>
  </si>
  <si>
    <t>Next MW</t>
  </si>
  <si>
    <t>Next BHP</t>
  </si>
  <si>
    <t>Fracture Initiation Pressure</t>
  </si>
  <si>
    <t>Max anticipated pressure at shoe</t>
  </si>
  <si>
    <t>STRING 2</t>
  </si>
  <si>
    <t>K-55</t>
  </si>
  <si>
    <t>L-80</t>
  </si>
  <si>
    <t>N-80</t>
  </si>
  <si>
    <t>P-110</t>
  </si>
  <si>
    <t>Q-125</t>
  </si>
  <si>
    <t>S-95</t>
  </si>
  <si>
    <t>T-95</t>
  </si>
  <si>
    <t>V-150</t>
  </si>
  <si>
    <t>X-52</t>
  </si>
  <si>
    <t>X-56</t>
  </si>
  <si>
    <t>SeAH-70</t>
  </si>
  <si>
    <t>SeAH-90</t>
  </si>
  <si>
    <t>SB-80</t>
  </si>
  <si>
    <t>STRING 3</t>
  </si>
  <si>
    <t>neutral pt</t>
  </si>
  <si>
    <t>STRING 4</t>
  </si>
  <si>
    <t>TOL</t>
  </si>
  <si>
    <t>ft MD</t>
  </si>
  <si>
    <t>ft TVD</t>
  </si>
  <si>
    <t>Cell</t>
  </si>
  <si>
    <t xml:space="preserve">Formation </t>
  </si>
  <si>
    <t>Depth (MD)</t>
  </si>
  <si>
    <t>DIRECTIONAL SURVEY CALCULATION</t>
  </si>
  <si>
    <t>MINIMUM RADIUS OF CURVATURE METHOD</t>
  </si>
  <si>
    <t>N(+)/S(-)</t>
  </si>
  <si>
    <t>E(+)/W(-)</t>
  </si>
  <si>
    <t>DxSurvey North Ref</t>
  </si>
  <si>
    <t>T</t>
  </si>
  <si>
    <t>(T, M, G)</t>
  </si>
  <si>
    <t>NS SL '</t>
  </si>
  <si>
    <t>EW SL '</t>
  </si>
  <si>
    <t>K.O. Point</t>
  </si>
  <si>
    <t>Magnetic Declination</t>
  </si>
  <si>
    <t>(ddd.dd)</t>
  </si>
  <si>
    <t>Prod. Interval</t>
  </si>
  <si>
    <t>Convergence Angle</t>
  </si>
  <si>
    <t>(Need to determine if survey plats use True or Grid North)</t>
  </si>
  <si>
    <t>NORTH</t>
  </si>
  <si>
    <t>EAST</t>
  </si>
  <si>
    <t>Total Depth</t>
  </si>
  <si>
    <t>Proposed Azimuth</t>
  </si>
  <si>
    <t>SOUTH</t>
  </si>
  <si>
    <t>WEST</t>
  </si>
  <si>
    <t>Inclination</t>
  </si>
  <si>
    <t>Azimuth</t>
  </si>
  <si>
    <t>Bearing</t>
  </si>
  <si>
    <t>DOGLEG</t>
  </si>
  <si>
    <t>F</t>
  </si>
  <si>
    <t>BH</t>
  </si>
  <si>
    <t>B-hole</t>
  </si>
  <si>
    <t>VERT</t>
  </si>
  <si>
    <t>DELTA N</t>
  </si>
  <si>
    <t>DELTA E</t>
  </si>
  <si>
    <t>Course Lgth</t>
  </si>
  <si>
    <t>Course Dir</t>
  </si>
  <si>
    <t>CHART</t>
  </si>
  <si>
    <t>dx from</t>
  </si>
  <si>
    <t>ANGLE</t>
  </si>
  <si>
    <t>Departure</t>
  </si>
  <si>
    <t>DEPART</t>
  </si>
  <si>
    <t>DIR</t>
  </si>
  <si>
    <t>Section</t>
  </si>
  <si>
    <t>Severity</t>
  </si>
  <si>
    <t>Horz Plane</t>
  </si>
  <si>
    <t>VS</t>
  </si>
  <si>
    <t xml:space="preserve">lease </t>
  </si>
  <si>
    <t>feet</t>
  </si>
  <si>
    <t>degrees</t>
  </si>
  <si>
    <t>factor</t>
  </si>
  <si>
    <t>deg/100 ft</t>
  </si>
  <si>
    <t>line</t>
  </si>
  <si>
    <t>Plat North Ref</t>
  </si>
  <si>
    <t>At Bottom-hole Location</t>
  </si>
  <si>
    <t xml:space="preserve">OFFSET </t>
  </si>
  <si>
    <t>n</t>
  </si>
  <si>
    <t>BHL Offset</t>
  </si>
  <si>
    <t>FNL</t>
  </si>
  <si>
    <t>FSL</t>
  </si>
  <si>
    <t>FEL</t>
  </si>
  <si>
    <t>FWL</t>
  </si>
  <si>
    <t>N/S</t>
  </si>
  <si>
    <t>E/W</t>
  </si>
  <si>
    <t>Surface Location</t>
  </si>
  <si>
    <t>Proposed BHL</t>
  </si>
  <si>
    <t>Top of Prod</t>
  </si>
  <si>
    <t>Build and Drop</t>
  </si>
  <si>
    <t>Setting depths</t>
  </si>
  <si>
    <t>KOP</t>
  </si>
  <si>
    <t>Casing1 A</t>
  </si>
  <si>
    <t>Build angle</t>
  </si>
  <si>
    <t>Casing 1B</t>
  </si>
  <si>
    <t>Horizontal Departure</t>
  </si>
  <si>
    <t>Casing 1C</t>
  </si>
  <si>
    <t>Max inclination</t>
  </si>
  <si>
    <t>Casing 2A</t>
  </si>
  <si>
    <t>Drop Depth</t>
  </si>
  <si>
    <t>Casing 2B</t>
  </si>
  <si>
    <t>Hold Depth</t>
  </si>
  <si>
    <t>Casing 2C</t>
  </si>
  <si>
    <t>Build 2</t>
  </si>
  <si>
    <t>Casing 3A</t>
  </si>
  <si>
    <t>drop angle</t>
  </si>
  <si>
    <t>Casing 3B</t>
  </si>
  <si>
    <t>azimuth</t>
  </si>
  <si>
    <t>Casing 3C</t>
  </si>
  <si>
    <t>Casing 4A</t>
  </si>
  <si>
    <t>Casing 4B</t>
  </si>
  <si>
    <t>Casing 4C</t>
  </si>
  <si>
    <t>D2</t>
  </si>
  <si>
    <t>D4</t>
  </si>
  <si>
    <t>D1</t>
  </si>
  <si>
    <t>D3</t>
  </si>
  <si>
    <t>" Casing</t>
  </si>
  <si>
    <t>'  MD</t>
  </si>
  <si>
    <t xml:space="preserve">' TVD </t>
  </si>
  <si>
    <t>' TOC</t>
  </si>
  <si>
    <t>' Tail</t>
  </si>
  <si>
    <t>% Washout</t>
  </si>
  <si>
    <t>" Hole</t>
  </si>
  <si>
    <t>'  TVD</t>
  </si>
  <si>
    <t>" Liner</t>
  </si>
  <si>
    <t>&lt;</t>
  </si>
  <si>
    <t>&gt;</t>
  </si>
  <si>
    <t>Meridian</t>
  </si>
  <si>
    <t>Collapse Strength (psi)</t>
  </si>
  <si>
    <t>Collapse Load (psi)</t>
  </si>
  <si>
    <t>Burst Strength (psi)</t>
  </si>
  <si>
    <t>Burst Load (psi)</t>
  </si>
  <si>
    <t>Tension Strength (kips)</t>
  </si>
  <si>
    <t>Neutral Point (ft)</t>
  </si>
  <si>
    <t>Tension Air (kips)</t>
  </si>
  <si>
    <t>Tension Buoyed (kips)</t>
  </si>
  <si>
    <t>MW (ppg)</t>
  </si>
  <si>
    <t>Internal Grad. (psi)</t>
  </si>
  <si>
    <t>Backup Mud (ppg)</t>
  </si>
  <si>
    <t>Internal Mud (ppg)</t>
  </si>
  <si>
    <t>Max Shoe Pressure (psi)*</t>
  </si>
  <si>
    <t>CSG Wt (lbs/ft)</t>
  </si>
  <si>
    <t>CSG Grade</t>
  </si>
  <si>
    <t>CSG Collar</t>
  </si>
  <si>
    <t>Cement Lead (sx)</t>
  </si>
  <si>
    <t>Lead Yield</t>
  </si>
  <si>
    <t>Cement Tail (sx)</t>
  </si>
  <si>
    <t>Tail Yield</t>
  </si>
  <si>
    <t>BOPE REVIEW</t>
  </si>
  <si>
    <t>String</t>
  </si>
  <si>
    <t>Surface</t>
  </si>
  <si>
    <t>Intermediate</t>
  </si>
  <si>
    <t>Production</t>
  </si>
  <si>
    <t>Casing Size (")</t>
  </si>
  <si>
    <t>Setting Depth (TVD)</t>
  </si>
  <si>
    <t>Previous Shoe Setting Depth (TVD)</t>
  </si>
  <si>
    <t>Max Mud Weight (ppg)</t>
  </si>
  <si>
    <t>BOPE Proposed (psi)</t>
  </si>
  <si>
    <t>Casing Internal Yield (psi)</t>
  </si>
  <si>
    <t>Operators Max Anticipated Pressure (psi)</t>
  </si>
  <si>
    <t>BOPE Test</t>
  </si>
  <si>
    <t>Calculations</t>
  </si>
  <si>
    <t>"</t>
  </si>
  <si>
    <t>Max BHP [psi]</t>
  </si>
  <si>
    <t>.052*Setting Depth*MW =</t>
  </si>
  <si>
    <t>BOPE Adequate For Drilling And Setting Casing at Depth?</t>
  </si>
  <si>
    <t>MASP (Gas) [psi]</t>
  </si>
  <si>
    <t>Max BHP-(0.12*Setting Depth) =</t>
  </si>
  <si>
    <t>Diverter Stip</t>
  </si>
  <si>
    <t>MASP (Gas/Mud) [psi]</t>
  </si>
  <si>
    <t>Max BHP-(0.22*Setting Depth) =</t>
  </si>
  <si>
    <t>OK</t>
  </si>
  <si>
    <t>*Can Full Expected Pressure Be Held At Previous Shoe?</t>
  </si>
  <si>
    <t>Casing Shoe</t>
  </si>
  <si>
    <t>Pressure At Previous Shoe</t>
  </si>
  <si>
    <t>Max BHP-.22*(Setting Depth - Previous Shoe Depth) =</t>
  </si>
  <si>
    <t>Deepen Conductor as Necessary</t>
  </si>
  <si>
    <t>Required Casing/BOPE Test Pressure</t>
  </si>
  <si>
    <t>psi</t>
  </si>
  <si>
    <t>*Max Pressure Allowed @ Previous Casing Shoe =</t>
  </si>
  <si>
    <t xml:space="preserve">*Assumes 1psi/ft frac gradient </t>
  </si>
  <si>
    <t>Max Pres</t>
  </si>
  <si>
    <t>5M BOPE</t>
  </si>
  <si>
    <t>Reasonable</t>
  </si>
  <si>
    <t xml:space="preserve">*Assumes 1psi/ft frac gradient  </t>
  </si>
  <si>
    <t>O.D.</t>
  </si>
  <si>
    <t>Nominal</t>
  </si>
  <si>
    <t>Grade</t>
  </si>
  <si>
    <t>Internal Yield Pressure</t>
  </si>
  <si>
    <t>Joint Strength</t>
  </si>
  <si>
    <t>Body</t>
  </si>
  <si>
    <t>Wall</t>
  </si>
  <si>
    <t>I.D.</t>
  </si>
  <si>
    <t>Drift Diameter</t>
  </si>
  <si>
    <t>(inch)</t>
  </si>
  <si>
    <t>Weight</t>
  </si>
  <si>
    <t>(psi)</t>
  </si>
  <si>
    <t>at Minimum Yield (psi)</t>
  </si>
  <si>
    <t>1000 lbs</t>
  </si>
  <si>
    <t>Yield</t>
  </si>
  <si>
    <t>T &amp; C</t>
  </si>
  <si>
    <t>lbs/ft</t>
  </si>
  <si>
    <t>Joint Type</t>
  </si>
  <si>
    <t>SD</t>
  </si>
  <si>
    <t>D</t>
  </si>
  <si>
    <t>E</t>
  </si>
  <si>
    <t>G</t>
  </si>
  <si>
    <t>H</t>
  </si>
  <si>
    <t>J</t>
  </si>
  <si>
    <t>K</t>
  </si>
  <si>
    <t>L</t>
  </si>
  <si>
    <t>M</t>
  </si>
  <si>
    <t>O</t>
  </si>
  <si>
    <t>P</t>
  </si>
  <si>
    <t>N-80 HP</t>
  </si>
  <si>
    <t>Well:</t>
  </si>
  <si>
    <t>API:</t>
  </si>
  <si>
    <t>Notes</t>
  </si>
  <si>
    <t>UTM Radians</t>
  </si>
  <si>
    <t>UTM Degrees</t>
  </si>
  <si>
    <t>SP Grid Radians</t>
  </si>
  <si>
    <t>SP Grid Degrees</t>
  </si>
  <si>
    <t>Measured</t>
  </si>
  <si>
    <t>Directional Data</t>
  </si>
  <si>
    <t>Section Line Footages</t>
  </si>
  <si>
    <t xml:space="preserve">   Survey Plat North Reference</t>
  </si>
  <si>
    <t>UTM Coordinates</t>
  </si>
  <si>
    <t>Corrected Directional Data to Survey Plat North Reference</t>
  </si>
  <si>
    <t>Geodetic North Convergence Angle</t>
  </si>
  <si>
    <t>Depth</t>
  </si>
  <si>
    <t>N-S</t>
  </si>
  <si>
    <t>E-W</t>
  </si>
  <si>
    <t>FNL-FSL</t>
  </si>
  <si>
    <t>FEL-FWL</t>
  </si>
  <si>
    <t>Qtr-Qtr</t>
  </si>
  <si>
    <t>Township</t>
  </si>
  <si>
    <t>T-Dir.</t>
  </si>
  <si>
    <t>Range</t>
  </si>
  <si>
    <t>R-Dir.</t>
  </si>
  <si>
    <t>Easting</t>
  </si>
  <si>
    <t>Northing</t>
  </si>
  <si>
    <t>Zone</t>
  </si>
  <si>
    <t>Angle</t>
  </si>
  <si>
    <t>Active</t>
  </si>
  <si>
    <t xml:space="preserve">For single section line bearing and distance, input in green shaded area. </t>
  </si>
  <si>
    <t>Directional Survey Correction</t>
  </si>
  <si>
    <t>Plat SHL</t>
  </si>
  <si>
    <t>Latitude</t>
  </si>
  <si>
    <t>Longitude</t>
  </si>
  <si>
    <t>Directional Survey Interpolation</t>
  </si>
  <si>
    <t xml:space="preserve">For single quarter section line bearing and distance, input in either of two areas. </t>
  </si>
  <si>
    <t>Survey North Reference</t>
  </si>
  <si>
    <t>deg. (dd)</t>
  </si>
  <si>
    <t>(d.ddd)</t>
  </si>
  <si>
    <t>min. (mm)</t>
  </si>
  <si>
    <t>Survey Pt. 1</t>
  </si>
  <si>
    <t>sec. (ss.ss)</t>
  </si>
  <si>
    <t>Survey Pt. 2</t>
  </si>
  <si>
    <t xml:space="preserve"> or dec.</t>
  </si>
  <si>
    <t>Reference Depth</t>
  </si>
  <si>
    <t>OVERRIDE</t>
  </si>
  <si>
    <t>Distances from Section and Quarter Corners</t>
  </si>
  <si>
    <t>Qtr-Qtr Section</t>
  </si>
  <si>
    <t>1 N-NENE</t>
  </si>
  <si>
    <t>2 N-NWNE</t>
  </si>
  <si>
    <t>3 N-NENW</t>
  </si>
  <si>
    <t>4 N-NWNW</t>
  </si>
  <si>
    <t>5 W-NWNW</t>
  </si>
  <si>
    <t>6 W-SWNW</t>
  </si>
  <si>
    <t>7 W-NWSW</t>
  </si>
  <si>
    <t>8 W-SWSW</t>
  </si>
  <si>
    <t>9 S-SWSW</t>
  </si>
  <si>
    <t>10 S-SESW</t>
  </si>
  <si>
    <t>11 S-SWSE</t>
  </si>
  <si>
    <t>12 S-SESE</t>
  </si>
  <si>
    <t>13 E-SESE</t>
  </si>
  <si>
    <t>14 E-NESE</t>
  </si>
  <si>
    <t>15 E-SENE</t>
  </si>
  <si>
    <t>16 E-NENE</t>
  </si>
  <si>
    <t>dist.</t>
  </si>
  <si>
    <t>NE SC</t>
  </si>
  <si>
    <t>NW SC</t>
  </si>
  <si>
    <t>SW SC</t>
  </si>
  <si>
    <t>SE SC</t>
  </si>
  <si>
    <t>N QC</t>
  </si>
  <si>
    <t>W QC</t>
  </si>
  <si>
    <t>S QC</t>
  </si>
  <si>
    <t>E QC</t>
  </si>
  <si>
    <t>N-S &amp; E-W</t>
  </si>
  <si>
    <t>deg.</t>
  </si>
  <si>
    <t>Quad</t>
  </si>
  <si>
    <t>SHL/BHL</t>
  </si>
  <si>
    <t>min.</t>
  </si>
  <si>
    <t>SHL</t>
  </si>
  <si>
    <t>Qtr Section</t>
  </si>
  <si>
    <t>1 N-NE</t>
  </si>
  <si>
    <t>2 N-NW</t>
  </si>
  <si>
    <t>3 W-NW</t>
  </si>
  <si>
    <t>4 W-SW</t>
  </si>
  <si>
    <t>5 S-SW</t>
  </si>
  <si>
    <t>6 S-SE</t>
  </si>
  <si>
    <t>7 E-SE</t>
  </si>
  <si>
    <t>8 E-NE</t>
  </si>
  <si>
    <t>Closure =</t>
  </si>
  <si>
    <t>sec.</t>
  </si>
  <si>
    <t>dir.</t>
  </si>
  <si>
    <t>dec. deg.</t>
  </si>
  <si>
    <t>W</t>
  </si>
  <si>
    <t>S</t>
  </si>
  <si>
    <t>Quadrant 2</t>
  </si>
  <si>
    <t>Quadrant 1</t>
  </si>
  <si>
    <t>BHL1</t>
  </si>
  <si>
    <t>Cosine</t>
  </si>
  <si>
    <t>BHL2</t>
  </si>
  <si>
    <t>BHL</t>
  </si>
  <si>
    <t>Sec. Logic</t>
  </si>
  <si>
    <t>NE</t>
  </si>
  <si>
    <t>SE</t>
  </si>
  <si>
    <t>SW</t>
  </si>
  <si>
    <t>NW</t>
  </si>
  <si>
    <t>True</t>
  </si>
  <si>
    <t>S-E</t>
  </si>
  <si>
    <t>Salt Lake</t>
  </si>
  <si>
    <t>NE-NE</t>
  </si>
  <si>
    <t>BHL3</t>
  </si>
  <si>
    <t>Grid</t>
  </si>
  <si>
    <t>N-E</t>
  </si>
  <si>
    <t>Uintah</t>
  </si>
  <si>
    <t>NW-NE</t>
  </si>
  <si>
    <t>Mag</t>
  </si>
  <si>
    <t>S-W</t>
  </si>
  <si>
    <t>SW-NE</t>
  </si>
  <si>
    <t>N-W</t>
  </si>
  <si>
    <t>SE-NE</t>
  </si>
  <si>
    <t>NE-NW</t>
  </si>
  <si>
    <t>Quadrant 3</t>
  </si>
  <si>
    <t>Quadrant 4</t>
  </si>
  <si>
    <t>NW-NW</t>
  </si>
  <si>
    <t>SW-NW</t>
  </si>
  <si>
    <t>SE-NW</t>
  </si>
  <si>
    <t>Quad 1 (NE)</t>
  </si>
  <si>
    <t>Quad 2 (NW)</t>
  </si>
  <si>
    <t>Quad 3 (SW)</t>
  </si>
  <si>
    <t>Quad 4 (SE)</t>
  </si>
  <si>
    <t>NE-SW</t>
  </si>
  <si>
    <t>NW-SW</t>
  </si>
  <si>
    <t>SHL Qtr-Qtr Logic</t>
  </si>
  <si>
    <t>SW-SW</t>
  </si>
  <si>
    <t>SE-SW</t>
  </si>
  <si>
    <t>NE-SE</t>
  </si>
  <si>
    <t>SHL NE SC Calc</t>
  </si>
  <si>
    <t>SHL NW SC Calc</t>
  </si>
  <si>
    <t>SHL SW SC Calc</t>
  </si>
  <si>
    <t>SHL SE SC Calc</t>
  </si>
  <si>
    <t>Plat North Reference</t>
  </si>
  <si>
    <t>NW-SE</t>
  </si>
  <si>
    <t>BHL1 Section</t>
  </si>
  <si>
    <t>SW-SE</t>
  </si>
  <si>
    <t>SE-SE</t>
  </si>
  <si>
    <t>BHL2 Section</t>
  </si>
  <si>
    <t>BHL3 Section</t>
  </si>
  <si>
    <t>BHL1 Qtr-Qtr Logic</t>
  </si>
  <si>
    <t>BHL1 NE Line Calc</t>
  </si>
  <si>
    <t>BHL1 NW Line Calc</t>
  </si>
  <si>
    <t>BHL1 SW Line Calc</t>
  </si>
  <si>
    <t>BHL1 SE Line Calc</t>
  </si>
  <si>
    <t>Calc w/o perpendicular correction</t>
  </si>
  <si>
    <t>West-Up2</t>
  </si>
  <si>
    <t>North-Left2</t>
  </si>
  <si>
    <t>BHL2 Qtr-Qtr Logic</t>
  </si>
  <si>
    <t>West-Up1</t>
  </si>
  <si>
    <t>North-Left1</t>
  </si>
  <si>
    <t>West-Down1</t>
  </si>
  <si>
    <t>North-Right1</t>
  </si>
  <si>
    <t>BHL2 NE Line Calc</t>
  </si>
  <si>
    <t>BHL2 NW Line Calc</t>
  </si>
  <si>
    <t>BHL3 SW Line Calc</t>
  </si>
  <si>
    <t>BHL4 SE Line Calc</t>
  </si>
  <si>
    <t>West-Down2</t>
  </si>
  <si>
    <t>North-Right2</t>
  </si>
  <si>
    <t>East-Up2</t>
  </si>
  <si>
    <t>South-Left2</t>
  </si>
  <si>
    <t>East-Up1</t>
  </si>
  <si>
    <t>South-Left1</t>
  </si>
  <si>
    <t>East-Down1</t>
  </si>
  <si>
    <t>South-Right1</t>
  </si>
  <si>
    <t>BHL3 Qtr-Qtr Logic</t>
  </si>
  <si>
    <t>East-Down2</t>
  </si>
  <si>
    <t>South-Right2</t>
  </si>
  <si>
    <t>BHL3 NE Line Calc</t>
  </si>
  <si>
    <t>BHL3 NW Line Calc</t>
  </si>
  <si>
    <t>BHL3 SE Line Calc</t>
  </si>
  <si>
    <t>UTM</t>
  </si>
  <si>
    <t>CPL</t>
  </si>
  <si>
    <t>FTL</t>
  </si>
  <si>
    <t>Date</t>
  </si>
  <si>
    <t>Comments</t>
  </si>
  <si>
    <t>Initial Rev. number</t>
  </si>
  <si>
    <t>Minor formatting add on DxSurvey</t>
  </si>
  <si>
    <t>Correction to Formations tab for proper Page 1 reference</t>
  </si>
  <si>
    <t>Modify DxSurvey tab to account for crossing section line</t>
  </si>
  <si>
    <t>Modify Vertical WBD (FWL to FEL, FNL to FSL or vice versa)</t>
  </si>
  <si>
    <t>Bug fix for version 2.4</t>
  </si>
  <si>
    <t>Added 16" C-75 Casing to Casing Strengths tab</t>
  </si>
  <si>
    <t>Formatting on Page 1 of Vertical WBD tab for correct scale of casing strings</t>
  </si>
  <si>
    <t>Minor changes to Csg Grade drop down list (named range Casing_Grade)</t>
  </si>
  <si>
    <t>Modify DxSurvey tab to allow input of section line distances</t>
  </si>
  <si>
    <t>Added csg collar type.  Added csg to casing strengths tab.</t>
  </si>
  <si>
    <t>Minor change to DxSurvey</t>
  </si>
  <si>
    <t>Skipped</t>
  </si>
  <si>
    <t>Added BHL location calculation to DxSurvey tab</t>
  </si>
  <si>
    <t>Adjustments to WBD and Formations tab</t>
  </si>
  <si>
    <t>Clear DxSurvey Macro</t>
  </si>
  <si>
    <t>Vertical WBD, min 2 cells for casing 1</t>
  </si>
  <si>
    <t>Corrections to BHL calc.  Add BOPE review tab.</t>
  </si>
  <si>
    <t>Further corrections to BHL calculation</t>
  </si>
  <si>
    <t>Correction to BHL calculation if calculated footage is negative</t>
  </si>
  <si>
    <t>Additional correction to BHL calculation (signs)</t>
  </si>
  <si>
    <t>Added rows for additional directional survey depths</t>
  </si>
  <si>
    <t>Minor bug fixes</t>
  </si>
  <si>
    <t>Minor adjustment on depth scale on Vertical WBD tab</t>
  </si>
  <si>
    <t>Added line pipe to Casing Strengths tab</t>
  </si>
  <si>
    <t>Fixed BHL calculation error</t>
  </si>
  <si>
    <t>Minor correction to BHL calculation for when BHL is due N,S,E,W.</t>
  </si>
  <si>
    <t>Minor correction to DxSurvey page BHL when crossing section line</t>
  </si>
  <si>
    <t>Minor formatting on DataPrint tab (casing vs liner)</t>
  </si>
  <si>
    <t>Added casing specs</t>
  </si>
  <si>
    <t>Modified footer</t>
  </si>
  <si>
    <t>Minor change to BOPE tab to input casing name (Cond, Surf, Prod, etc)</t>
  </si>
  <si>
    <t>Change to DxSurvey to calculate location at an additional depth</t>
  </si>
  <si>
    <t>Modification to Formations tab to list formations that are close together.</t>
  </si>
  <si>
    <t>Add calculation for DV Tool / Stage Collar - String 1 only</t>
  </si>
  <si>
    <t>Minor fixes associated with 5.4</t>
  </si>
  <si>
    <t>TOC calculation correction for designs with 4 strings (string 4)</t>
  </si>
  <si>
    <t>Fix for BHL for 2 mile lateral horizontal wells</t>
  </si>
  <si>
    <t>Added BHL location to WBD for vertical wells</t>
  </si>
  <si>
    <t>Change to DxSurvey to more accurately calculate BH direction</t>
  </si>
  <si>
    <t>Minor formatting changes to DxSurvey tab</t>
  </si>
  <si>
    <t>DxSurvey tab - implement magnetic deviation, convergence</t>
  </si>
  <si>
    <t>Vertical WBD, Hide TOL for 4 string WBD where prod csg is to surface</t>
  </si>
  <si>
    <t>Vertical WBD, fix problem with diagram caused by 6.5.</t>
  </si>
  <si>
    <t>Minor bug fix Vertical WBD</t>
  </si>
  <si>
    <t>Minor formula change for calculating collapse load</t>
  </si>
  <si>
    <t>Add calculation for DV Tool / Stage Collar - String 2</t>
  </si>
  <si>
    <t>DxSurvey tab - add second section line box for calculations at depth above BHL</t>
  </si>
  <si>
    <t>Minor corrections to DxSurvey tab concerning 7.0</t>
  </si>
  <si>
    <t>Minor corrections to DxSurvey tab for SU Hz wells.</t>
  </si>
  <si>
    <t>Change to DxSurvey tab to adjust Section Line lengths.</t>
  </si>
  <si>
    <t>DxSurvey tab bug fix</t>
  </si>
  <si>
    <t>Minor formatting change to WBD</t>
  </si>
  <si>
    <t>Correction to Burst load calculation for string 1 when multiple depths.</t>
  </si>
  <si>
    <t>Minor modification to DxSurvey</t>
  </si>
  <si>
    <t>Modification to section length correction on DxSurvey tab.</t>
  </si>
  <si>
    <t>Minor modification to DxSurvey to allow for manual input of BHL</t>
  </si>
  <si>
    <t>Minor modification to DxSurvey tab</t>
  </si>
  <si>
    <t>Dx Survey minor modification.</t>
  </si>
  <si>
    <t>Changed section selection logic and added BHL Section 3 tab.</t>
  </si>
  <si>
    <t>Updated with latest version of SHL Section thru BHL Section 3</t>
  </si>
  <si>
    <t>updated BHL section shift to add shift footage for bhl and productive interval calculations. Fixed vertical section calculation.  Fixed calculation for differing dx survey and section plats.</t>
  </si>
  <si>
    <t>9.0?</t>
  </si>
  <si>
    <t>Integrated grid values, added overwrite, fixed errors.</t>
  </si>
  <si>
    <t>(2 = S, 1 = N)</t>
  </si>
  <si>
    <t>(2 = W, 1 = E)</t>
  </si>
  <si>
    <t>Baseline
 2 = Uintah
 1 = Salt Lake</t>
  </si>
  <si>
    <t>Side</t>
  </si>
  <si>
    <t>Length</t>
  </si>
  <si>
    <t>Degrees</t>
  </si>
  <si>
    <t>Minutes</t>
  </si>
  <si>
    <t>Seconds</t>
  </si>
  <si>
    <t>Alignment 
1 = SE, 2 = NE
 3 = SW, 4 = NW</t>
  </si>
  <si>
    <t>North Reference</t>
  </si>
  <si>
    <t>Well</t>
  </si>
  <si>
    <t>Conc</t>
  </si>
  <si>
    <t>Last Modified</t>
  </si>
  <si>
    <t>Q</t>
  </si>
  <si>
    <t>Aurora Federal 1-10-7-19</t>
  </si>
  <si>
    <t>1721911West-Up2</t>
  </si>
  <si>
    <t>4.20.2021</t>
  </si>
  <si>
    <t>1721911West-Up1</t>
  </si>
  <si>
    <t>1721911West-Down1</t>
  </si>
  <si>
    <t>1721911West-Down2</t>
  </si>
  <si>
    <t>1721911East-Up2</t>
  </si>
  <si>
    <t>1721911East-Up1</t>
  </si>
  <si>
    <t>1721911East-Down1</t>
  </si>
  <si>
    <t>1721911East-Down2</t>
  </si>
  <si>
    <t>1721911North-Left2</t>
  </si>
  <si>
    <t>1721911North-Left1</t>
  </si>
  <si>
    <t>1721911North-Right1</t>
  </si>
  <si>
    <t>1721911North-Right2</t>
  </si>
  <si>
    <t>1721911South-Left2</t>
  </si>
  <si>
    <t>1721911South-Left1</t>
  </si>
  <si>
    <t>1721911South-Right1</t>
  </si>
  <si>
    <t>1721911South-Right2</t>
  </si>
  <si>
    <t>Butcher Butte 2-51EWH-23</t>
  </si>
  <si>
    <t>122322West-Up2</t>
  </si>
  <si>
    <t>122322West-Up1</t>
  </si>
  <si>
    <t>122322West-Down1</t>
  </si>
  <si>
    <t>122322West-Down2</t>
  </si>
  <si>
    <t>122322East-Up2</t>
  </si>
  <si>
    <t>122322East-Up1</t>
  </si>
  <si>
    <t>122322East-Down1</t>
  </si>
  <si>
    <t>122322East-Down2</t>
  </si>
  <si>
    <t>122322North-Left2</t>
  </si>
  <si>
    <t>122322North-Left1</t>
  </si>
  <si>
    <t>122322North-Right1</t>
  </si>
  <si>
    <t>122322North-Right2</t>
  </si>
  <si>
    <t>122322South-Left2</t>
  </si>
  <si>
    <t>122322South-Left1</t>
  </si>
  <si>
    <t>122322South-Right1</t>
  </si>
  <si>
    <t>122322South-Right2</t>
  </si>
  <si>
    <t>Colorow 2-2-3-1WH</t>
  </si>
  <si>
    <t>132122West-Up2</t>
  </si>
  <si>
    <t>132122West-Up1</t>
  </si>
  <si>
    <t>132122West-Down1</t>
  </si>
  <si>
    <t>132122West-Down2</t>
  </si>
  <si>
    <t>Duncan 14.5-36-25-2-1W-H1</t>
  </si>
  <si>
    <t>132122East-Up2</t>
  </si>
  <si>
    <t>132122East-Up1</t>
  </si>
  <si>
    <t>132122East-Down1</t>
  </si>
  <si>
    <t>132122East-Down2</t>
  </si>
  <si>
    <t>132122North-Left2</t>
  </si>
  <si>
    <t>132122North-Left1</t>
  </si>
  <si>
    <t>132122North-Right1</t>
  </si>
  <si>
    <t>132122North-Right2</t>
  </si>
  <si>
    <t>132122South-Left2</t>
  </si>
  <si>
    <t>132122South-Left1</t>
  </si>
  <si>
    <t>132122South-Right1</t>
  </si>
  <si>
    <t>132122South-Right2</t>
  </si>
  <si>
    <t>Faust-5-1C5</t>
  </si>
  <si>
    <t>132522West-Up2</t>
  </si>
  <si>
    <t>132522West-Up1</t>
  </si>
  <si>
    <t>132522West-Down1</t>
  </si>
  <si>
    <t>132522West-Down2</t>
  </si>
  <si>
    <t>132522East-Up2</t>
  </si>
  <si>
    <t>132522East-Up1</t>
  </si>
  <si>
    <t>132522East-Down1</t>
  </si>
  <si>
    <t>132522East-Down2</t>
  </si>
  <si>
    <t>132522North-Left2</t>
  </si>
  <si>
    <t>132522North-Left1</t>
  </si>
  <si>
    <t>132522North-Right1</t>
  </si>
  <si>
    <t>132522North-Right2</t>
  </si>
  <si>
    <t>132522South-Left2</t>
  </si>
  <si>
    <t>132522South-Left1</t>
  </si>
  <si>
    <t>132522South-Right1</t>
  </si>
  <si>
    <t>132522South-Right2</t>
  </si>
  <si>
    <t>Tomlin 7-1 2-2-36-25-16H</t>
  </si>
  <si>
    <t>132222West-Up2</t>
  </si>
  <si>
    <t>132222West-Up1</t>
  </si>
  <si>
    <t>132222West-Down1</t>
  </si>
  <si>
    <t>132222West-Down2</t>
  </si>
  <si>
    <t>132222East-Up2</t>
  </si>
  <si>
    <t>132222East-Up1</t>
  </si>
  <si>
    <t>132222East-Down1</t>
  </si>
  <si>
    <t>132222East-Down2</t>
  </si>
  <si>
    <t>132222North-Left2</t>
  </si>
  <si>
    <t>132222North-Left1</t>
  </si>
  <si>
    <t>132222North-Right1</t>
  </si>
  <si>
    <t>132222North-Right2</t>
  </si>
  <si>
    <t>132222South-Left2</t>
  </si>
  <si>
    <t>132222South-Left1</t>
  </si>
  <si>
    <t>132222South-Right1</t>
  </si>
  <si>
    <t>132222South-Right2</t>
  </si>
  <si>
    <t>Galloway East H2W-43-11-2S-2W</t>
  </si>
  <si>
    <t>122222West-Up2</t>
  </si>
  <si>
    <t>4.23.2021</t>
  </si>
  <si>
    <t>122222West-Up1</t>
  </si>
  <si>
    <t>122222West-Down1</t>
  </si>
  <si>
    <t>122222West-Down2</t>
  </si>
  <si>
    <t>122222East-Up2</t>
  </si>
  <si>
    <t>122222East-Up1</t>
  </si>
  <si>
    <t>122222East-Down1</t>
  </si>
  <si>
    <t>122222East-Down2</t>
  </si>
  <si>
    <t>122222North-Left2</t>
  </si>
  <si>
    <t>122222North-Left1</t>
  </si>
  <si>
    <t>122222North-Right1</t>
  </si>
  <si>
    <t>122222North-Right2</t>
  </si>
  <si>
    <t>122222South-Left2</t>
  </si>
  <si>
    <t>122222South-Left1</t>
  </si>
  <si>
    <t>122222South-Right1</t>
  </si>
  <si>
    <t>122222South-Right2</t>
  </si>
  <si>
    <t>DEVERAUX UT 1-14 4-1-13-24-7H</t>
  </si>
  <si>
    <t>142122West-Up2</t>
  </si>
  <si>
    <t>142122West-Up1</t>
  </si>
  <si>
    <t>142122West-Down1</t>
  </si>
  <si>
    <t>142122West-Down2</t>
  </si>
  <si>
    <t>142122East-Up2</t>
  </si>
  <si>
    <t>142122East-Up1</t>
  </si>
  <si>
    <t>142122East-Down1</t>
  </si>
  <si>
    <t>142122East-Down2</t>
  </si>
  <si>
    <t>142122North-Left2</t>
  </si>
  <si>
    <t>142122North-Left1</t>
  </si>
  <si>
    <t>142122North-Right1</t>
  </si>
  <si>
    <t>142122North-Right2</t>
  </si>
  <si>
    <t>142122South-Left2</t>
  </si>
  <si>
    <t>142122South-Left1</t>
  </si>
  <si>
    <t>142122South-Right1</t>
  </si>
  <si>
    <t>142122South-Right2</t>
  </si>
  <si>
    <t>Three Rivers 2-42-820</t>
  </si>
  <si>
    <t>2822011West-Up2</t>
  </si>
  <si>
    <t>2822011West-Up1</t>
  </si>
  <si>
    <t>2822011West-Down1</t>
  </si>
  <si>
    <t>2822011West-Down2</t>
  </si>
  <si>
    <t>2822011East-Up2</t>
  </si>
  <si>
    <t>2822011East-Up1</t>
  </si>
  <si>
    <t>2822011East-Down1</t>
  </si>
  <si>
    <t>2822011East-Down2</t>
  </si>
  <si>
    <t>2822011North-Left2</t>
  </si>
  <si>
    <t>2822011North-Left1</t>
  </si>
  <si>
    <t>2822011North-Right1</t>
  </si>
  <si>
    <t>2822011North-Right2</t>
  </si>
  <si>
    <t>2822011South-Left2</t>
  </si>
  <si>
    <t>2822011South-Left1</t>
  </si>
  <si>
    <t>2822011South-Right1</t>
  </si>
  <si>
    <t>2822011South-Right2</t>
  </si>
  <si>
    <t>222322West-Up2</t>
  </si>
  <si>
    <t>222322West-Up1</t>
  </si>
  <si>
    <t>222322West-Down1</t>
  </si>
  <si>
    <t>222322West-Down2</t>
  </si>
  <si>
    <t>222322East-Up2</t>
  </si>
  <si>
    <t>222322East-Up1</t>
  </si>
  <si>
    <t>222322East-Down1</t>
  </si>
  <si>
    <t>222322East-Down2</t>
  </si>
  <si>
    <t>222322North-Left2</t>
  </si>
  <si>
    <t>222322North-Left1</t>
  </si>
  <si>
    <t>222322North-Right1</t>
  </si>
  <si>
    <t>222322North-Right2</t>
  </si>
  <si>
    <t>222322South-Left2</t>
  </si>
  <si>
    <t>222322South-Left1</t>
  </si>
  <si>
    <t>222322South-Right1</t>
  </si>
  <si>
    <t>222322South-Right2</t>
  </si>
  <si>
    <t>222222West-Up2</t>
  </si>
  <si>
    <t>222222West-Up1</t>
  </si>
  <si>
    <t>222222West-Down1</t>
  </si>
  <si>
    <t>222222West-Down2</t>
  </si>
  <si>
    <t>222222East-Up2</t>
  </si>
  <si>
    <t>222222East-Up1</t>
  </si>
  <si>
    <t>222222East-Down1</t>
  </si>
  <si>
    <t>222222East-Down2</t>
  </si>
  <si>
    <t>222222North-Left2</t>
  </si>
  <si>
    <t>222222North-Left1</t>
  </si>
  <si>
    <t>222222North-Right1</t>
  </si>
  <si>
    <t>222222North-Right2</t>
  </si>
  <si>
    <t>222222South-Left2</t>
  </si>
  <si>
    <t>222222South-Left1</t>
  </si>
  <si>
    <t>222222South-Right1</t>
  </si>
  <si>
    <t>222222South-Right2</t>
  </si>
  <si>
    <t>Wyasket UT 13-12 3-1-11-2-41H</t>
  </si>
  <si>
    <t>232122West-Up2</t>
  </si>
  <si>
    <t>232122West-Up1</t>
  </si>
  <si>
    <t>232122West-Down1</t>
  </si>
  <si>
    <t>232122West-Down2</t>
  </si>
  <si>
    <t>232122East-Up2</t>
  </si>
  <si>
    <t>232122East-Up1</t>
  </si>
  <si>
    <t>232122East-Down1</t>
  </si>
  <si>
    <t>232122East-Down2</t>
  </si>
  <si>
    <t>232122North-Left2</t>
  </si>
  <si>
    <t>232122North-Left1</t>
  </si>
  <si>
    <t>232122North-Right1</t>
  </si>
  <si>
    <t>232122North-Right2</t>
  </si>
  <si>
    <t>232122South-Left2</t>
  </si>
  <si>
    <t>232122South-Left1</t>
  </si>
  <si>
    <t>232122South-Right1</t>
  </si>
  <si>
    <t>232122South-Right2</t>
  </si>
  <si>
    <t>DEVERAUX UT 1-14 4-1-11-2-1H</t>
  </si>
  <si>
    <t>242122West-Up2</t>
  </si>
  <si>
    <t>242122West-Up1</t>
  </si>
  <si>
    <t>242122West-Down1</t>
  </si>
  <si>
    <t>242122West-Down2</t>
  </si>
  <si>
    <t>242122East-Up2</t>
  </si>
  <si>
    <t>242122East-Up1</t>
  </si>
  <si>
    <t>242122East-Down1</t>
  </si>
  <si>
    <t>242122East-Down2</t>
  </si>
  <si>
    <t>242122North-Left2</t>
  </si>
  <si>
    <t>242122North-Left1</t>
  </si>
  <si>
    <t>242122North-Right1</t>
  </si>
  <si>
    <t>242122North-Right2</t>
  </si>
  <si>
    <t>242122South-Left2</t>
  </si>
  <si>
    <t>242122South-Left1</t>
  </si>
  <si>
    <t>242122South-Right1</t>
  </si>
  <si>
    <t>242122South-Right2</t>
  </si>
  <si>
    <t>Three Rivers 4-44-820</t>
  </si>
  <si>
    <t>3822011West-Up2</t>
  </si>
  <si>
    <t>3822011West-Up1</t>
  </si>
  <si>
    <t>3822011West-Down1</t>
  </si>
  <si>
    <t>3822011West-Down2</t>
  </si>
  <si>
    <t>3822011East-Up2</t>
  </si>
  <si>
    <t>3822011East-Up1</t>
  </si>
  <si>
    <t>3822011East-Down1</t>
  </si>
  <si>
    <t>3822011East-Down2</t>
  </si>
  <si>
    <t>3822011North-Left2</t>
  </si>
  <si>
    <t>3822011North-Left1</t>
  </si>
  <si>
    <t>3822011North-Right1</t>
  </si>
  <si>
    <t>3822011North-Right2</t>
  </si>
  <si>
    <t>3822011South-Left2</t>
  </si>
  <si>
    <t>3822011South-Left1</t>
  </si>
  <si>
    <t>3822011South-Right1</t>
  </si>
  <si>
    <t>3822011South-Right2</t>
  </si>
  <si>
    <t>322322West-Up2</t>
  </si>
  <si>
    <t>322322West-Up1</t>
  </si>
  <si>
    <t>322322West-Down1</t>
  </si>
  <si>
    <t>322322West-Down2</t>
  </si>
  <si>
    <t>322322East-Up2</t>
  </si>
  <si>
    <t>322322East-Up1</t>
  </si>
  <si>
    <t>322322East-Down1</t>
  </si>
  <si>
    <t>322322East-Down2</t>
  </si>
  <si>
    <t>322322North-Left2</t>
  </si>
  <si>
    <t>322322North-Left1</t>
  </si>
  <si>
    <t>322322North-Right1</t>
  </si>
  <si>
    <t>322322North-Right2</t>
  </si>
  <si>
    <t>322322South-Left2</t>
  </si>
  <si>
    <t>322322South-Left1</t>
  </si>
  <si>
    <t>322322South-Right1</t>
  </si>
  <si>
    <t>322322South-Right2</t>
  </si>
  <si>
    <t>RD Tribal 10N-31E-H7UB</t>
  </si>
  <si>
    <t>332112West-Up2</t>
  </si>
  <si>
    <t>332112West-Up1</t>
  </si>
  <si>
    <t>332112West-Down1</t>
  </si>
  <si>
    <t>332112West-Down2</t>
  </si>
  <si>
    <t>332112East-Up2</t>
  </si>
  <si>
    <t>332112East-Up1</t>
  </si>
  <si>
    <t>332112East-Down1</t>
  </si>
  <si>
    <t>332112East-Down2</t>
  </si>
  <si>
    <t>332112North-Left2</t>
  </si>
  <si>
    <t>332112North-Left1</t>
  </si>
  <si>
    <t>332112North-Right1</t>
  </si>
  <si>
    <t>332112North-Right2</t>
  </si>
  <si>
    <t>332112South-Left2</t>
  </si>
  <si>
    <t>332112South-Left1</t>
  </si>
  <si>
    <t>332112South-Right1</t>
  </si>
  <si>
    <t>332112South-Right2</t>
  </si>
  <si>
    <t>4822011West-Up2</t>
  </si>
  <si>
    <t>4822011West-Up1</t>
  </si>
  <si>
    <t>4822011West-Down1</t>
  </si>
  <si>
    <t>4822011West-Down2</t>
  </si>
  <si>
    <t>4822011East-Up2</t>
  </si>
  <si>
    <t>4822011East-Up1</t>
  </si>
  <si>
    <t>4822011East-Down1</t>
  </si>
  <si>
    <t>4822011East-Down2</t>
  </si>
  <si>
    <t>4822011North-Left2</t>
  </si>
  <si>
    <t>4822011North-Left1</t>
  </si>
  <si>
    <t>4822011North-Right1</t>
  </si>
  <si>
    <t>4822011North-Right2</t>
  </si>
  <si>
    <t>4822011South-Left2</t>
  </si>
  <si>
    <t>4822011South-Left1</t>
  </si>
  <si>
    <t>4822011South-Right1</t>
  </si>
  <si>
    <t>4822011South-Right2</t>
  </si>
  <si>
    <t>Butcher Butte 5-134EWH-22</t>
  </si>
  <si>
    <t>422222West-Up2</t>
  </si>
  <si>
    <t>422222West-Up1</t>
  </si>
  <si>
    <t>422222West-Down1</t>
  </si>
  <si>
    <t>422222West-Down2</t>
  </si>
  <si>
    <t>422222East-Up2</t>
  </si>
  <si>
    <t>422222East-Up1</t>
  </si>
  <si>
    <t>422222East-Down1</t>
  </si>
  <si>
    <t>422222East-Down2</t>
  </si>
  <si>
    <t>422222North-Left2</t>
  </si>
  <si>
    <t>422222North-Left1</t>
  </si>
  <si>
    <t>422222North-Right1</t>
  </si>
  <si>
    <t>422222North-Right2</t>
  </si>
  <si>
    <t>422222South-Left2</t>
  </si>
  <si>
    <t>422222South-Left1</t>
  </si>
  <si>
    <t>422222South-Right1</t>
  </si>
  <si>
    <t>422222South-Right2</t>
  </si>
  <si>
    <t>Butcher Butte 8-34EWH-23</t>
  </si>
  <si>
    <t>422322West-Up2</t>
  </si>
  <si>
    <t>422322West-Up1</t>
  </si>
  <si>
    <t>422322West-Down1</t>
  </si>
  <si>
    <t>422322West-Down2</t>
  </si>
  <si>
    <t>422322East-Up2</t>
  </si>
  <si>
    <t>422322East-Up1</t>
  </si>
  <si>
    <t>422322East-Down1</t>
  </si>
  <si>
    <t>422322East-Down2</t>
  </si>
  <si>
    <t>422322North-Left2</t>
  </si>
  <si>
    <t>422322North-Left1</t>
  </si>
  <si>
    <t>422322North-Right1</t>
  </si>
  <si>
    <t>422322North-Right2</t>
  </si>
  <si>
    <t>422322South-Left2</t>
  </si>
  <si>
    <t>422322South-Left1</t>
  </si>
  <si>
    <t>422322South-Right1</t>
  </si>
  <si>
    <t>422322South-Right2</t>
  </si>
  <si>
    <t>442122West-Up2</t>
  </si>
  <si>
    <t>442122West-Up1</t>
  </si>
  <si>
    <t>442122West-Down1</t>
  </si>
  <si>
    <t>442122West-Down2</t>
  </si>
  <si>
    <t>442122East-Up2</t>
  </si>
  <si>
    <t>442122East-Up1</t>
  </si>
  <si>
    <t>442122East-Down1</t>
  </si>
  <si>
    <t>442122East-Down2</t>
  </si>
  <si>
    <t>442122North-Left2</t>
  </si>
  <si>
    <t>442122North-Left1</t>
  </si>
  <si>
    <t>442122North-Right1</t>
  </si>
  <si>
    <t>442122North-Right2</t>
  </si>
  <si>
    <t>442122South-Left2</t>
  </si>
  <si>
    <t>442122South-Left1</t>
  </si>
  <si>
    <t>442122South-Right1</t>
  </si>
  <si>
    <t>442122South-Right2</t>
  </si>
  <si>
    <t>CWU 2001-1504H</t>
  </si>
  <si>
    <t>4922211West-Up2</t>
  </si>
  <si>
    <t>4922211West-Up1</t>
  </si>
  <si>
    <t>4922211West-Down1</t>
  </si>
  <si>
    <t>4922211West-Down2</t>
  </si>
  <si>
    <t>4922211East-Up2</t>
  </si>
  <si>
    <t>4922211East-Up1</t>
  </si>
  <si>
    <t>4922211East-Down1</t>
  </si>
  <si>
    <t>4922211East-Down2</t>
  </si>
  <si>
    <t>4922211North-Left2</t>
  </si>
  <si>
    <t>4922211North-Left1</t>
  </si>
  <si>
    <t>4922211North-Right1</t>
  </si>
  <si>
    <t>4922211North-Right2</t>
  </si>
  <si>
    <t>4922211South-Left2</t>
  </si>
  <si>
    <t>4922211South-Left1</t>
  </si>
  <si>
    <t>4922211South-Right1</t>
  </si>
  <si>
    <t>4922211South-Right2</t>
  </si>
  <si>
    <t>RD TRIBAL 9N-31E-H1UB</t>
  </si>
  <si>
    <t>432112West-Up2</t>
  </si>
  <si>
    <t>432112West-Up1</t>
  </si>
  <si>
    <t>432112West-Down1</t>
  </si>
  <si>
    <t>432112West-Down2</t>
  </si>
  <si>
    <t>432112East-Up2</t>
  </si>
  <si>
    <t>432112East-Up1</t>
  </si>
  <si>
    <t>432112East-Down1</t>
  </si>
  <si>
    <t>432112East-Down2</t>
  </si>
  <si>
    <t>432112North-Left2</t>
  </si>
  <si>
    <t>432112North-Left1</t>
  </si>
  <si>
    <t>432112North-Right1</t>
  </si>
  <si>
    <t>432112North-Right2</t>
  </si>
  <si>
    <t>432112South-Left2</t>
  </si>
  <si>
    <t>432112South-Left1</t>
  </si>
  <si>
    <t>432112South-Right1</t>
  </si>
  <si>
    <t>432112South-Right2</t>
  </si>
  <si>
    <t>522222West-Up2</t>
  </si>
  <si>
    <t>522222West-Up1</t>
  </si>
  <si>
    <t>522222West-Down1</t>
  </si>
  <si>
    <t>522222West-Down2</t>
  </si>
  <si>
    <t>522222East-Up2</t>
  </si>
  <si>
    <t>522222East-Up1</t>
  </si>
  <si>
    <t>522222East-Down1</t>
  </si>
  <si>
    <t>522222East-Down2</t>
  </si>
  <si>
    <t>522222North-Left2</t>
  </si>
  <si>
    <t>522222North-Left1</t>
  </si>
  <si>
    <t>522222North-Right1</t>
  </si>
  <si>
    <t>522222North-Right2</t>
  </si>
  <si>
    <t>522222South-Left2</t>
  </si>
  <si>
    <t>522222South-Left1</t>
  </si>
  <si>
    <t>522222South-Right1</t>
  </si>
  <si>
    <t>522222South-Right2</t>
  </si>
  <si>
    <t>Butcher Butte 5-134EWH-23</t>
  </si>
  <si>
    <t>522322West-Up2</t>
  </si>
  <si>
    <t>522322West-Up1</t>
  </si>
  <si>
    <t>522322West-Down1</t>
  </si>
  <si>
    <t>522322West-Down2</t>
  </si>
  <si>
    <t>522322East-Up2</t>
  </si>
  <si>
    <t>522322East-Up1</t>
  </si>
  <si>
    <t>522322East-Down1</t>
  </si>
  <si>
    <t>522322East-Down2</t>
  </si>
  <si>
    <t>522322North-Left2</t>
  </si>
  <si>
    <t>522322North-Left1</t>
  </si>
  <si>
    <t>522322North-Right1</t>
  </si>
  <si>
    <t>522322North-Right2</t>
  </si>
  <si>
    <t>522322South-Left2</t>
  </si>
  <si>
    <t>522322South-Left1</t>
  </si>
  <si>
    <t>522322South-Right1</t>
  </si>
  <si>
    <t>522322South-Right2</t>
  </si>
  <si>
    <t>Ute Shavanaugh 2.5-5-8-3-1E-H2</t>
  </si>
  <si>
    <t>532112West-Up2</t>
  </si>
  <si>
    <t>532112West-Up1</t>
  </si>
  <si>
    <t>532112West-Down1</t>
  </si>
  <si>
    <t>532112West-Down2</t>
  </si>
  <si>
    <t>532112East-Up2</t>
  </si>
  <si>
    <t>532112East-Up1</t>
  </si>
  <si>
    <t>532112East-Down1</t>
  </si>
  <si>
    <t>532112East-Down2</t>
  </si>
  <si>
    <t>532112North-Left2</t>
  </si>
  <si>
    <t>532112North-Left1</t>
  </si>
  <si>
    <t>532112North-Right1</t>
  </si>
  <si>
    <t>532112North-Right2</t>
  </si>
  <si>
    <t>532112South-Left2</t>
  </si>
  <si>
    <t>532112South-Left1</t>
  </si>
  <si>
    <t>532112South-Right1</t>
  </si>
  <si>
    <t>532112South-Right2</t>
  </si>
  <si>
    <t>532422West-Up2</t>
  </si>
  <si>
    <t>532422West-Up1</t>
  </si>
  <si>
    <t>532422West-Down1</t>
  </si>
  <si>
    <t>532422West-Down2</t>
  </si>
  <si>
    <t>532422East-Up2</t>
  </si>
  <si>
    <t>532422East-Up1</t>
  </si>
  <si>
    <t>532422East-Down1</t>
  </si>
  <si>
    <t>532422East-Down2</t>
  </si>
  <si>
    <t>532422North-Left2</t>
  </si>
  <si>
    <t>532422North-Left1</t>
  </si>
  <si>
    <t>532422North-Right1</t>
  </si>
  <si>
    <t>532422North-Right2</t>
  </si>
  <si>
    <t>532422South-Left2</t>
  </si>
  <si>
    <t>532422South-Left1</t>
  </si>
  <si>
    <t>532422South-Right1</t>
  </si>
  <si>
    <t>532422South-Right2</t>
  </si>
  <si>
    <t>Butcher Butte 6-131EWH-22</t>
  </si>
  <si>
    <t>522122West-Up2</t>
  </si>
  <si>
    <t>Butcher Butte 6-131EWH-23</t>
  </si>
  <si>
    <t>522122West-Up1</t>
  </si>
  <si>
    <t>522122West-Down1</t>
  </si>
  <si>
    <t>522122West-Down2</t>
  </si>
  <si>
    <t>522122East-Up2</t>
  </si>
  <si>
    <t>522122East-Up1</t>
  </si>
  <si>
    <t>522122East-Down1</t>
  </si>
  <si>
    <t>522122East-Down2</t>
  </si>
  <si>
    <t>522122North-Left2</t>
  </si>
  <si>
    <t>522122North-Left1</t>
  </si>
  <si>
    <t>522122North-Right1</t>
  </si>
  <si>
    <t>522122North-Right2</t>
  </si>
  <si>
    <t>522122South-Left2</t>
  </si>
  <si>
    <t>522122South-Left1</t>
  </si>
  <si>
    <t>522122South-Right1</t>
  </si>
  <si>
    <t>522122South-Right2</t>
  </si>
  <si>
    <t>DEEP CREEK 05-11A-4-2E</t>
  </si>
  <si>
    <t>542212West-Up2</t>
  </si>
  <si>
    <t>542212West-Up1</t>
  </si>
  <si>
    <t>542212West-Down1</t>
  </si>
  <si>
    <t>542212West-Down2</t>
  </si>
  <si>
    <t>542212East-Up2</t>
  </si>
  <si>
    <t>542212East-Up1</t>
  </si>
  <si>
    <t>542212East-Down1</t>
  </si>
  <si>
    <t>542212East-Down2</t>
  </si>
  <si>
    <t>542212North-Left2</t>
  </si>
  <si>
    <t>542212North-Left1</t>
  </si>
  <si>
    <t>542212North-Right1</t>
  </si>
  <si>
    <t>542212North-Right2</t>
  </si>
  <si>
    <t>542212South-Left2</t>
  </si>
  <si>
    <t>542212South-Left1</t>
  </si>
  <si>
    <t>542212South-Right1</t>
  </si>
  <si>
    <t>542212South-Right2</t>
  </si>
  <si>
    <t>Farnsworth 2-6B1E</t>
  </si>
  <si>
    <t>622112West-Up2</t>
  </si>
  <si>
    <t>622112West-Up1</t>
  </si>
  <si>
    <t>622112West-Down1</t>
  </si>
  <si>
    <t>622112West-Down2</t>
  </si>
  <si>
    <t>622112East-Up2</t>
  </si>
  <si>
    <t>622112East-Up1</t>
  </si>
  <si>
    <t>622112East-Down1</t>
  </si>
  <si>
    <t>622112East-Down2</t>
  </si>
  <si>
    <t>622112North-Left2</t>
  </si>
  <si>
    <t>622112North-Left1</t>
  </si>
  <si>
    <t>622112North-Right1</t>
  </si>
  <si>
    <t>622112North-Right2</t>
  </si>
  <si>
    <t>622112South-Left2</t>
  </si>
  <si>
    <t>622112South-Left1</t>
  </si>
  <si>
    <t>622112South-Right1</t>
  </si>
  <si>
    <t>622112South-Right2</t>
  </si>
  <si>
    <t>622222West-Up2</t>
  </si>
  <si>
    <t>622222West-Up1</t>
  </si>
  <si>
    <t>622222West-Down1</t>
  </si>
  <si>
    <t>622222West-Down2</t>
  </si>
  <si>
    <t>622222East-Up2</t>
  </si>
  <si>
    <t>622222East-Up1</t>
  </si>
  <si>
    <t>622222East-Down1</t>
  </si>
  <si>
    <t>622222East-Down2</t>
  </si>
  <si>
    <t>622222North-Left2</t>
  </si>
  <si>
    <t>622222North-Left1</t>
  </si>
  <si>
    <t>622222North-Right1</t>
  </si>
  <si>
    <t>622222North-Right2</t>
  </si>
  <si>
    <t>622222South-Left2</t>
  </si>
  <si>
    <t>622222South-Left1</t>
  </si>
  <si>
    <t>622222South-Right1</t>
  </si>
  <si>
    <t>622222South-Right2</t>
  </si>
  <si>
    <t>622322West-Up2</t>
  </si>
  <si>
    <t>622322West-Up1</t>
  </si>
  <si>
    <t>622322West-Down1</t>
  </si>
  <si>
    <t>622322West-Down2</t>
  </si>
  <si>
    <t>622322East-Up2</t>
  </si>
  <si>
    <t>622322East-Up1</t>
  </si>
  <si>
    <t>622322East-Down1</t>
  </si>
  <si>
    <t>622322East-Down2</t>
  </si>
  <si>
    <t>622322North-Left2</t>
  </si>
  <si>
    <t>622322North-Left1</t>
  </si>
  <si>
    <t>622322North-Right1</t>
  </si>
  <si>
    <t>622322North-Right2</t>
  </si>
  <si>
    <t>622322South-Left2</t>
  </si>
  <si>
    <t>622322South-Left1</t>
  </si>
  <si>
    <t>622322South-Right1</t>
  </si>
  <si>
    <t>622322South-Right2</t>
  </si>
  <si>
    <t>632422West-Up2</t>
  </si>
  <si>
    <t>632422West-Up1</t>
  </si>
  <si>
    <t>632422West-Down1</t>
  </si>
  <si>
    <t>632422West-Down2</t>
  </si>
  <si>
    <t>632422East-Up2</t>
  </si>
  <si>
    <t>632422East-Up1</t>
  </si>
  <si>
    <t>632422East-Down1</t>
  </si>
  <si>
    <t>632422East-Down2</t>
  </si>
  <si>
    <t>632422North-Left2</t>
  </si>
  <si>
    <t>632422North-Left1</t>
  </si>
  <si>
    <t>632422North-Right1</t>
  </si>
  <si>
    <t>632422North-Right2</t>
  </si>
  <si>
    <t>632422South-Left2</t>
  </si>
  <si>
    <t>632422South-Left1</t>
  </si>
  <si>
    <t>632422South-Right1</t>
  </si>
  <si>
    <t>632422South-Right2</t>
  </si>
  <si>
    <t>Karen 68-3130-22V</t>
  </si>
  <si>
    <t>632222West-Up2</t>
  </si>
  <si>
    <t>632222West-Up1</t>
  </si>
  <si>
    <t>632222West-Down1</t>
  </si>
  <si>
    <t>632222West-Down2</t>
  </si>
  <si>
    <t>632222East-Up2</t>
  </si>
  <si>
    <t>632222East-Up1</t>
  </si>
  <si>
    <t>632222East-Down1</t>
  </si>
  <si>
    <t>632222East-Down2</t>
  </si>
  <si>
    <t>632222North-Left2</t>
  </si>
  <si>
    <t>632222North-Left1</t>
  </si>
  <si>
    <t>632222North-Right1</t>
  </si>
  <si>
    <t>632222North-Right2</t>
  </si>
  <si>
    <t>632222South-Left2</t>
  </si>
  <si>
    <t>632222South-Left1</t>
  </si>
  <si>
    <t>632222South-Right1</t>
  </si>
  <si>
    <t>632222South-Right2</t>
  </si>
  <si>
    <t>RD Tribal 7N-31E-H1UB</t>
  </si>
  <si>
    <t>632112West-Up2</t>
  </si>
  <si>
    <t>632112West-Up1</t>
  </si>
  <si>
    <t>632112West-Down1</t>
  </si>
  <si>
    <t>632112West-Down2</t>
  </si>
  <si>
    <t>632112East-Up2</t>
  </si>
  <si>
    <t>632112East-Up1</t>
  </si>
  <si>
    <t>632112East-Down1</t>
  </si>
  <si>
    <t>632112East-Down2</t>
  </si>
  <si>
    <t>632112North-Left2</t>
  </si>
  <si>
    <t>632112North-Left1</t>
  </si>
  <si>
    <t>632112North-Right1</t>
  </si>
  <si>
    <t>632112North-Right2</t>
  </si>
  <si>
    <t>632112South-Left2</t>
  </si>
  <si>
    <t>632112South-Left1</t>
  </si>
  <si>
    <t>632112South-Right1</t>
  </si>
  <si>
    <t>632112South-Right2</t>
  </si>
  <si>
    <t>NBUI 921-7J</t>
  </si>
  <si>
    <t>7922111West-Up2</t>
  </si>
  <si>
    <t>7922111West-Up1</t>
  </si>
  <si>
    <t>7922111West-Down1</t>
  </si>
  <si>
    <t>7922111West-Down2</t>
  </si>
  <si>
    <t>7922111East-Up2</t>
  </si>
  <si>
    <t>7922111East-Up1</t>
  </si>
  <si>
    <t>7922111East-Down1</t>
  </si>
  <si>
    <t>7922111East-Down2</t>
  </si>
  <si>
    <t>7922111North-Left2</t>
  </si>
  <si>
    <t>7922111North-Left1</t>
  </si>
  <si>
    <t>7922111North-Right1</t>
  </si>
  <si>
    <t>7922111North-Right2</t>
  </si>
  <si>
    <t>7922111South-Left2</t>
  </si>
  <si>
    <t>7922111South-Left1</t>
  </si>
  <si>
    <t>7922111South-Right1</t>
  </si>
  <si>
    <t>7922111South-Right2</t>
  </si>
  <si>
    <t>Yeti 4-7A1</t>
  </si>
  <si>
    <t>712122West-Up2</t>
  </si>
  <si>
    <t>712122West-Up1</t>
  </si>
  <si>
    <t>712122West-Down1</t>
  </si>
  <si>
    <t>712122West-Down2</t>
  </si>
  <si>
    <t>712122East-Up2</t>
  </si>
  <si>
    <t>712122East-Up1</t>
  </si>
  <si>
    <t>712122East-Down1</t>
  </si>
  <si>
    <t>712122East-Down2</t>
  </si>
  <si>
    <t>712122North-Left2</t>
  </si>
  <si>
    <t>712122North-Left1</t>
  </si>
  <si>
    <t>712122North-Right1</t>
  </si>
  <si>
    <t>712122North-Right2</t>
  </si>
  <si>
    <t>712122South-Left2</t>
  </si>
  <si>
    <t>712122South-Left1</t>
  </si>
  <si>
    <t>712122South-Right1</t>
  </si>
  <si>
    <t>712122South-Right2</t>
  </si>
  <si>
    <t>MC Fed 22-7-15S-23E</t>
  </si>
  <si>
    <t>71522312West-Up2</t>
  </si>
  <si>
    <t>71522312West-Up1</t>
  </si>
  <si>
    <t>71522312West-Down1</t>
  </si>
  <si>
    <t>71522312West-Down2</t>
  </si>
  <si>
    <t>71522312East-Up2</t>
  </si>
  <si>
    <t>71522312East-Up1</t>
  </si>
  <si>
    <t>71522312East-Down1</t>
  </si>
  <si>
    <t>71522312East-Down2</t>
  </si>
  <si>
    <t>71522312North-Left2</t>
  </si>
  <si>
    <t>71522312North-Left1</t>
  </si>
  <si>
    <t>71522312North-Right1</t>
  </si>
  <si>
    <t>71522312North-Right2</t>
  </si>
  <si>
    <t>71522312South-Left2</t>
  </si>
  <si>
    <t>71522312South-Left1</t>
  </si>
  <si>
    <t>71522312South-Right1</t>
  </si>
  <si>
    <t>71522312South-Right2</t>
  </si>
  <si>
    <t>Butcher Butte 8-104EWH-22</t>
  </si>
  <si>
    <t>722222West-Up2</t>
  </si>
  <si>
    <t>722222West-Up1</t>
  </si>
  <si>
    <t>722222West-Down1</t>
  </si>
  <si>
    <t>722222West-Down2</t>
  </si>
  <si>
    <t>722222East-Up2</t>
  </si>
  <si>
    <t>722222East-Up1</t>
  </si>
  <si>
    <t>722222East-Down1</t>
  </si>
  <si>
    <t>722222East-Down2</t>
  </si>
  <si>
    <t>722222North-Left2</t>
  </si>
  <si>
    <t>722222North-Left1</t>
  </si>
  <si>
    <t>722222North-Right1</t>
  </si>
  <si>
    <t>722222North-Right2</t>
  </si>
  <si>
    <t>722222South-Left2</t>
  </si>
  <si>
    <t>722222South-Left1</t>
  </si>
  <si>
    <t>722222South-Right1</t>
  </si>
  <si>
    <t>722222South-Right2</t>
  </si>
  <si>
    <t>722322West-Up2</t>
  </si>
  <si>
    <t>722322West-Up1</t>
  </si>
  <si>
    <t>722322West-Down1</t>
  </si>
  <si>
    <t>722322West-Down2</t>
  </si>
  <si>
    <t>722322East-Up2</t>
  </si>
  <si>
    <t>722322East-Up1</t>
  </si>
  <si>
    <t>722322East-Down1</t>
  </si>
  <si>
    <t>722322East-Down2</t>
  </si>
  <si>
    <t>722322North-Left2</t>
  </si>
  <si>
    <t>722322North-Left1</t>
  </si>
  <si>
    <t>722322North-Right1</t>
  </si>
  <si>
    <t>722322North-Right2</t>
  </si>
  <si>
    <t>722322South-Left2</t>
  </si>
  <si>
    <t>722322South-Left1</t>
  </si>
  <si>
    <t>722322South-Right1</t>
  </si>
  <si>
    <t>722322South-Right2</t>
  </si>
  <si>
    <t>732112West-Up2</t>
  </si>
  <si>
    <t>732112West-Up1</t>
  </si>
  <si>
    <t>732112West-Down1</t>
  </si>
  <si>
    <t>732112West-Down2</t>
  </si>
  <si>
    <t>732112East-Up2</t>
  </si>
  <si>
    <t>732112East-Up1</t>
  </si>
  <si>
    <t>732112East-Down1</t>
  </si>
  <si>
    <t>732112East-Down2</t>
  </si>
  <si>
    <t>732112North-Left2</t>
  </si>
  <si>
    <t>732112North-Left1</t>
  </si>
  <si>
    <t>732112North-Right1</t>
  </si>
  <si>
    <t>732112North-Right2</t>
  </si>
  <si>
    <t>732112South-Left2</t>
  </si>
  <si>
    <t>732112South-Left1</t>
  </si>
  <si>
    <t>732112South-Right1</t>
  </si>
  <si>
    <t>732112South-Right2</t>
  </si>
  <si>
    <t>EP Energy 12-7-8-C4-3H</t>
  </si>
  <si>
    <t>732522West-Up2</t>
  </si>
  <si>
    <t>732522West-Up1</t>
  </si>
  <si>
    <t>732522West-Down1</t>
  </si>
  <si>
    <t>732522West-Down2</t>
  </si>
  <si>
    <t>732522East-Up2</t>
  </si>
  <si>
    <t>732522East-Up1</t>
  </si>
  <si>
    <t>732522East-Down1</t>
  </si>
  <si>
    <t>732522East-Down2</t>
  </si>
  <si>
    <t>732522North-Left2</t>
  </si>
  <si>
    <t>732522North-Left1</t>
  </si>
  <si>
    <t>732522North-Right1</t>
  </si>
  <si>
    <t>732522North-Right2</t>
  </si>
  <si>
    <t>732522South-Left2</t>
  </si>
  <si>
    <t>732522South-Left1</t>
  </si>
  <si>
    <t>732522South-Right1</t>
  </si>
  <si>
    <t>732522South-Right2</t>
  </si>
  <si>
    <t>Elmer 1-7-3-1WH</t>
  </si>
  <si>
    <t>732122West-Up2</t>
  </si>
  <si>
    <t>732122West-Up1</t>
  </si>
  <si>
    <t>732122West-Down1</t>
  </si>
  <si>
    <t>732122West-Down2</t>
  </si>
  <si>
    <t>732122East-Up2</t>
  </si>
  <si>
    <t>732122East-Up1</t>
  </si>
  <si>
    <t>732122East-Down1</t>
  </si>
  <si>
    <t>732122East-Down2</t>
  </si>
  <si>
    <t>732122North-Left2</t>
  </si>
  <si>
    <t>732122North-Left1</t>
  </si>
  <si>
    <t>732122North-Right1</t>
  </si>
  <si>
    <t>732122North-Right2</t>
  </si>
  <si>
    <t>732122South-Left2</t>
  </si>
  <si>
    <t>732122South-Left1</t>
  </si>
  <si>
    <t>732122South-Right1</t>
  </si>
  <si>
    <t>732122South-Right2</t>
  </si>
  <si>
    <t>Main Cyn Fed 12-8-15-23</t>
  </si>
  <si>
    <t>81522312West-Up2</t>
  </si>
  <si>
    <t>81522312West-Up1</t>
  </si>
  <si>
    <t>81522312West-Down1</t>
  </si>
  <si>
    <t>81522312West-Down2</t>
  </si>
  <si>
    <t>81522312East-Up2</t>
  </si>
  <si>
    <t>81522312East-Up1</t>
  </si>
  <si>
    <t>81522312East-Down1</t>
  </si>
  <si>
    <t>81522312East-Down2</t>
  </si>
  <si>
    <t>81522312North-Left2</t>
  </si>
  <si>
    <t>81522312North-Left1</t>
  </si>
  <si>
    <t>81522312North-Right1</t>
  </si>
  <si>
    <t>81522312North-Right2</t>
  </si>
  <si>
    <t>81522312South-Left2</t>
  </si>
  <si>
    <t>81522312South-Left1</t>
  </si>
  <si>
    <t>81522312South-Right1</t>
  </si>
  <si>
    <t>81522312South-Right2</t>
  </si>
  <si>
    <t>822222West-Up2</t>
  </si>
  <si>
    <t>822222West-Up1</t>
  </si>
  <si>
    <t>822222West-Down1</t>
  </si>
  <si>
    <t>822222West-Down2</t>
  </si>
  <si>
    <t>822222East-Up2</t>
  </si>
  <si>
    <t>822222East-Up1</t>
  </si>
  <si>
    <t>822222East-Down1</t>
  </si>
  <si>
    <t>822222East-Down2</t>
  </si>
  <si>
    <t>822222North-Left2</t>
  </si>
  <si>
    <t>822222North-Left1</t>
  </si>
  <si>
    <t>822222North-Right1</t>
  </si>
  <si>
    <t>822222North-Right2</t>
  </si>
  <si>
    <t>822222South-Left2</t>
  </si>
  <si>
    <t>822222South-Left1</t>
  </si>
  <si>
    <t>822222South-Right1</t>
  </si>
  <si>
    <t>822222South-Right2</t>
  </si>
  <si>
    <t>822322West-Up2</t>
  </si>
  <si>
    <t>822322West-Up1</t>
  </si>
  <si>
    <t>822322West-Down1</t>
  </si>
  <si>
    <t>822322West-Down2</t>
  </si>
  <si>
    <t>822322East-Up2</t>
  </si>
  <si>
    <t>822322East-Up1</t>
  </si>
  <si>
    <t>822322East-Down1</t>
  </si>
  <si>
    <t>822322East-Down2</t>
  </si>
  <si>
    <t>822322North-Left2</t>
  </si>
  <si>
    <t>822322North-Left1</t>
  </si>
  <si>
    <t>822322North-Right1</t>
  </si>
  <si>
    <t>822322North-Right2</t>
  </si>
  <si>
    <t>822322South-Left2</t>
  </si>
  <si>
    <t>822322South-Left1</t>
  </si>
  <si>
    <t>822322South-Right1</t>
  </si>
  <si>
    <t>822322South-Right2</t>
  </si>
  <si>
    <t>832112West-Up2</t>
  </si>
  <si>
    <t>832112West-Up1</t>
  </si>
  <si>
    <t>832112West-Down1</t>
  </si>
  <si>
    <t>832112West-Down2</t>
  </si>
  <si>
    <t>832112East-Up2</t>
  </si>
  <si>
    <t>832112East-Up1</t>
  </si>
  <si>
    <t>832112East-Down1</t>
  </si>
  <si>
    <t>832112East-Down2</t>
  </si>
  <si>
    <t>832112North-Left2</t>
  </si>
  <si>
    <t>832112North-Left1</t>
  </si>
  <si>
    <t>832112North-Right1</t>
  </si>
  <si>
    <t>832112North-Right2</t>
  </si>
  <si>
    <t>832112South-Left2</t>
  </si>
  <si>
    <t>832112South-Left1</t>
  </si>
  <si>
    <t>832112South-Right1</t>
  </si>
  <si>
    <t>832112South-Right2</t>
  </si>
  <si>
    <t>832522West-Up2</t>
  </si>
  <si>
    <t>832522West-Up1</t>
  </si>
  <si>
    <t>832522West-Down1</t>
  </si>
  <si>
    <t>832522West-Down2</t>
  </si>
  <si>
    <t>832522East-Up2</t>
  </si>
  <si>
    <t>832522East-Up1</t>
  </si>
  <si>
    <t>832522East-Down1</t>
  </si>
  <si>
    <t>832522East-Down2</t>
  </si>
  <si>
    <t>832522North-Left2</t>
  </si>
  <si>
    <t>832522North-Left1</t>
  </si>
  <si>
    <t>832522North-Right1</t>
  </si>
  <si>
    <t>832522North-Right2</t>
  </si>
  <si>
    <t>832522South-Left2</t>
  </si>
  <si>
    <t>832522South-Left1</t>
  </si>
  <si>
    <t>832522South-Right1</t>
  </si>
  <si>
    <t>832522South-Right2</t>
  </si>
  <si>
    <t>Miles 15-8 3-2-17-20-4H</t>
  </si>
  <si>
    <t>832222West-Up2</t>
  </si>
  <si>
    <t>832222West-Up1</t>
  </si>
  <si>
    <t>832222West-Down1</t>
  </si>
  <si>
    <t>832222West-Down2</t>
  </si>
  <si>
    <t>832222East-Up2</t>
  </si>
  <si>
    <t>832222East-Up1</t>
  </si>
  <si>
    <t>832222East-Down1</t>
  </si>
  <si>
    <t>832222East-Down2</t>
  </si>
  <si>
    <t>832222North-Left2</t>
  </si>
  <si>
    <t>832222North-Left1</t>
  </si>
  <si>
    <t>832222North-Right1</t>
  </si>
  <si>
    <t>832222North-Right2</t>
  </si>
  <si>
    <t>832222South-Left2</t>
  </si>
  <si>
    <t>832222South-Left1</t>
  </si>
  <si>
    <t>832222South-Right1</t>
  </si>
  <si>
    <t>832222South-Right2</t>
  </si>
  <si>
    <t>DEEP CREEK 05-15A-4-2E</t>
  </si>
  <si>
    <t>842212West-Up2</t>
  </si>
  <si>
    <t>842212West-Up1</t>
  </si>
  <si>
    <t>842212West-Down1</t>
  </si>
  <si>
    <t>842212West-Down2</t>
  </si>
  <si>
    <t>842212East-Up2</t>
  </si>
  <si>
    <t>842212East-Up1</t>
  </si>
  <si>
    <t>842212East-Down1</t>
  </si>
  <si>
    <t>842212East-Down2</t>
  </si>
  <si>
    <t>842212North-Left2</t>
  </si>
  <si>
    <t>842212North-Left1</t>
  </si>
  <si>
    <t>842212North-Right1</t>
  </si>
  <si>
    <t>842212North-Right2</t>
  </si>
  <si>
    <t>842212South-Left2</t>
  </si>
  <si>
    <t>842212South-Left1</t>
  </si>
  <si>
    <t>842212South-Right1</t>
  </si>
  <si>
    <t>842212South-Right2</t>
  </si>
  <si>
    <t>922222West-Up2</t>
  </si>
  <si>
    <t>922222West-Up1</t>
  </si>
  <si>
    <t>922222West-Down1</t>
  </si>
  <si>
    <t>922222West-Down2</t>
  </si>
  <si>
    <t>922222East-Up2</t>
  </si>
  <si>
    <t>922222East-Up1</t>
  </si>
  <si>
    <t>922222East-Down1</t>
  </si>
  <si>
    <t>922222East-Down2</t>
  </si>
  <si>
    <t>922222North-Left2</t>
  </si>
  <si>
    <t>922222North-Left1</t>
  </si>
  <si>
    <t>922222North-Right1</t>
  </si>
  <si>
    <t>922222North-Right2</t>
  </si>
  <si>
    <t>922222South-Left2</t>
  </si>
  <si>
    <t>922222South-Left1</t>
  </si>
  <si>
    <t>922222South-Right1</t>
  </si>
  <si>
    <t>922222South-Right2</t>
  </si>
  <si>
    <t>Butcher Butte 10-34EWH-23</t>
  </si>
  <si>
    <t>922322West-Up2</t>
  </si>
  <si>
    <t>922322West-Up1</t>
  </si>
  <si>
    <t>922322West-Down1</t>
  </si>
  <si>
    <t>922322West-Down2</t>
  </si>
  <si>
    <t>922322East-Up2</t>
  </si>
  <si>
    <t>922322East-Up1</t>
  </si>
  <si>
    <t>922322East-Down1</t>
  </si>
  <si>
    <t>922322East-Down2</t>
  </si>
  <si>
    <t>922322North-Left2</t>
  </si>
  <si>
    <t>922322North-Left1</t>
  </si>
  <si>
    <t>922322North-Right1</t>
  </si>
  <si>
    <t>922322North-Right2</t>
  </si>
  <si>
    <t>922322South-Left2</t>
  </si>
  <si>
    <t>922322South-Left1</t>
  </si>
  <si>
    <t>922322South-Right1</t>
  </si>
  <si>
    <t>922322South-Right2</t>
  </si>
  <si>
    <t>UT 16-9 3-2-16-21-1H</t>
  </si>
  <si>
    <t>932222West-Up2</t>
  </si>
  <si>
    <t>932222West-Up1</t>
  </si>
  <si>
    <t>932222West-Down1</t>
  </si>
  <si>
    <t>932222West-Down2</t>
  </si>
  <si>
    <t>932222East-Up2</t>
  </si>
  <si>
    <t>932222East-Up1</t>
  </si>
  <si>
    <t>932222East-Down1</t>
  </si>
  <si>
    <t>932222East-Down2</t>
  </si>
  <si>
    <t>932222North-Left2</t>
  </si>
  <si>
    <t>932222North-Left1</t>
  </si>
  <si>
    <t>932222North-Right1</t>
  </si>
  <si>
    <t>932222North-Right2</t>
  </si>
  <si>
    <t>932222South-Left2</t>
  </si>
  <si>
    <t>932222South-Left1</t>
  </si>
  <si>
    <t>932222South-Right1</t>
  </si>
  <si>
    <t>932222South-Right2</t>
  </si>
  <si>
    <t>Womack 13-9-3-1E-H1</t>
  </si>
  <si>
    <t>932112West-Up2</t>
  </si>
  <si>
    <t>932112West-Up1</t>
  </si>
  <si>
    <t>932112West-Down1</t>
  </si>
  <si>
    <t>932112West-Down2</t>
  </si>
  <si>
    <t>932112East-Up2</t>
  </si>
  <si>
    <t>932112East-Up1</t>
  </si>
  <si>
    <t>932112East-Down1</t>
  </si>
  <si>
    <t>932112East-Down2</t>
  </si>
  <si>
    <t>932112North-Left2</t>
  </si>
  <si>
    <t>932112North-Left1</t>
  </si>
  <si>
    <t>932112North-Right1</t>
  </si>
  <si>
    <t>932112North-Right2</t>
  </si>
  <si>
    <t>932112South-Left2</t>
  </si>
  <si>
    <t>932112South-Left1</t>
  </si>
  <si>
    <t>932112South-Right1</t>
  </si>
  <si>
    <t>932112South-Right2</t>
  </si>
  <si>
    <t>942122West-Up2</t>
  </si>
  <si>
    <t>942122West-Up1</t>
  </si>
  <si>
    <t>942122West-Down1</t>
  </si>
  <si>
    <t>942122West-Down2</t>
  </si>
  <si>
    <t>942122East-Up2</t>
  </si>
  <si>
    <t>942122East-Up1</t>
  </si>
  <si>
    <t>942122East-Down1</t>
  </si>
  <si>
    <t>942122East-Down2</t>
  </si>
  <si>
    <t>942122North-Left2</t>
  </si>
  <si>
    <t>942122North-Left1</t>
  </si>
  <si>
    <t>942122North-Right1</t>
  </si>
  <si>
    <t>942122North-Right2</t>
  </si>
  <si>
    <t>942122South-Left2</t>
  </si>
  <si>
    <t>942122South-Left1</t>
  </si>
  <si>
    <t>942122South-Right1</t>
  </si>
  <si>
    <t>942122South-Right2</t>
  </si>
  <si>
    <t>9922211West-Up2</t>
  </si>
  <si>
    <t>9922211West-Up1</t>
  </si>
  <si>
    <t>9922211West-Down1</t>
  </si>
  <si>
    <t>9922211West-Down2</t>
  </si>
  <si>
    <t>9922211East-Up2</t>
  </si>
  <si>
    <t>9922211East-Up1</t>
  </si>
  <si>
    <t>9922211East-Down1</t>
  </si>
  <si>
    <t>9922211East-Down2</t>
  </si>
  <si>
    <t>9922211North-Left2</t>
  </si>
  <si>
    <t>9922211North-Left1</t>
  </si>
  <si>
    <t>9922211North-Right1</t>
  </si>
  <si>
    <t>9922211North-Right2</t>
  </si>
  <si>
    <t>9922211South-Left2</t>
  </si>
  <si>
    <t>9922211South-Left1</t>
  </si>
  <si>
    <t>9922211South-Right1</t>
  </si>
  <si>
    <t>9922211South-Right2</t>
  </si>
  <si>
    <t>Federal 1-15H-20-21</t>
  </si>
  <si>
    <t>102022111West-Up2</t>
  </si>
  <si>
    <t>102022111West-Up1</t>
  </si>
  <si>
    <t>102022111West-Down1</t>
  </si>
  <si>
    <t>102022111West-Down2</t>
  </si>
  <si>
    <t>102022111East-Up2</t>
  </si>
  <si>
    <t>102022111East-Up1</t>
  </si>
  <si>
    <t>102022111East-Down1</t>
  </si>
  <si>
    <t>102022111East-Down2</t>
  </si>
  <si>
    <t>102022111North-Left2</t>
  </si>
  <si>
    <t>102022111North-Left1</t>
  </si>
  <si>
    <t>102022111North-Right1</t>
  </si>
  <si>
    <t>102022111North-Right2</t>
  </si>
  <si>
    <t>102022111South-Left2</t>
  </si>
  <si>
    <t>102022111South-Left1</t>
  </si>
  <si>
    <t>102022111South-Right1</t>
  </si>
  <si>
    <t>102022111South-Right2</t>
  </si>
  <si>
    <t>1022322West-Up2</t>
  </si>
  <si>
    <t>1022322West-Up1</t>
  </si>
  <si>
    <t>1022322West-Down1</t>
  </si>
  <si>
    <t>1022322West-Down2</t>
  </si>
  <si>
    <t>1022322East-Up2</t>
  </si>
  <si>
    <t>1022322East-Up1</t>
  </si>
  <si>
    <t>1022322East-Down1</t>
  </si>
  <si>
    <t>1022322East-Down2</t>
  </si>
  <si>
    <t>1022322North-Left2</t>
  </si>
  <si>
    <t>1022322North-Left1</t>
  </si>
  <si>
    <t>1022322North-Right1</t>
  </si>
  <si>
    <t>1022322North-Right2</t>
  </si>
  <si>
    <t>1022322South-Left2</t>
  </si>
  <si>
    <t>1022322South-Left1</t>
  </si>
  <si>
    <t>1022322South-Right1</t>
  </si>
  <si>
    <t>1022322South-Right2</t>
  </si>
  <si>
    <t>FD 10-8-32-2</t>
  </si>
  <si>
    <t>1032212West-Up2</t>
  </si>
  <si>
    <t>1032212West-Up1</t>
  </si>
  <si>
    <t>1032212West-Down1</t>
  </si>
  <si>
    <t>1032212West-Down2</t>
  </si>
  <si>
    <t>1032212East-Up2</t>
  </si>
  <si>
    <t>1032212East-Up1</t>
  </si>
  <si>
    <t>1032212East-Down1</t>
  </si>
  <si>
    <t>1032212East-Down2</t>
  </si>
  <si>
    <t>1032212North-Left2</t>
  </si>
  <si>
    <t>1032212North-Left1</t>
  </si>
  <si>
    <t>1032212North-Right1</t>
  </si>
  <si>
    <t>1032212North-Right2</t>
  </si>
  <si>
    <t>1032212South-Left2</t>
  </si>
  <si>
    <t>1032212South-Left1</t>
  </si>
  <si>
    <t>1032212South-Right1</t>
  </si>
  <si>
    <t>1032212South-Right2</t>
  </si>
  <si>
    <t>1032112West-Up2</t>
  </si>
  <si>
    <t>1032112West-Up1</t>
  </si>
  <si>
    <t>1032112West-Down1</t>
  </si>
  <si>
    <t>1032112West-Down2</t>
  </si>
  <si>
    <t>1032112East-Up2</t>
  </si>
  <si>
    <t>1032112East-Up1</t>
  </si>
  <si>
    <t>1032112East-Down1</t>
  </si>
  <si>
    <t>1032112East-Down2</t>
  </si>
  <si>
    <t>1032112North-Left2</t>
  </si>
  <si>
    <t>1032112North-Left1</t>
  </si>
  <si>
    <t>1032112North-Right1</t>
  </si>
  <si>
    <t>1032112North-Right2</t>
  </si>
  <si>
    <t>1032112South-Left2</t>
  </si>
  <si>
    <t>1032112South-Left1</t>
  </si>
  <si>
    <t>1032112South-Right1</t>
  </si>
  <si>
    <t>1032112South-Right2</t>
  </si>
  <si>
    <t>Butcher Butte 11-31EWH-23</t>
  </si>
  <si>
    <t>1122322West-Up2</t>
  </si>
  <si>
    <t>1122322West-Up1</t>
  </si>
  <si>
    <t>1122322West-Down1</t>
  </si>
  <si>
    <t>1122322West-Down2</t>
  </si>
  <si>
    <t>1122322East-Up2</t>
  </si>
  <si>
    <t>1122322East-Up1</t>
  </si>
  <si>
    <t>1122322East-Down1</t>
  </si>
  <si>
    <t>1122322East-Down2</t>
  </si>
  <si>
    <t>1122322North-Left2</t>
  </si>
  <si>
    <t>1122322North-Left1</t>
  </si>
  <si>
    <t>1122322North-Right1</t>
  </si>
  <si>
    <t>1122322North-Right2</t>
  </si>
  <si>
    <t>1122322South-Left2</t>
  </si>
  <si>
    <t>1122322South-Left1</t>
  </si>
  <si>
    <t>1122322South-Right1</t>
  </si>
  <si>
    <t>1122322South-Right2</t>
  </si>
  <si>
    <t>1122222West-Up2</t>
  </si>
  <si>
    <t>1122222West-Up1</t>
  </si>
  <si>
    <t>1122222West-Down1</t>
  </si>
  <si>
    <t>1122222West-Down2</t>
  </si>
  <si>
    <t>1122222East-Up2</t>
  </si>
  <si>
    <t>1122222East-Up1</t>
  </si>
  <si>
    <t>1122222East-Down1</t>
  </si>
  <si>
    <t>1122222East-Down2</t>
  </si>
  <si>
    <t>1122222North-Left2</t>
  </si>
  <si>
    <t>1122222North-Left1</t>
  </si>
  <si>
    <t>1122222North-Right1</t>
  </si>
  <si>
    <t>1122222North-Right2</t>
  </si>
  <si>
    <t>1122222South-Left2</t>
  </si>
  <si>
    <t>1122222South-Left1</t>
  </si>
  <si>
    <t>1122222South-Right1</t>
  </si>
  <si>
    <t>1122222South-Right2</t>
  </si>
  <si>
    <t>1132122West-Up2</t>
  </si>
  <si>
    <t>1132122West-Up1</t>
  </si>
  <si>
    <t>1132122West-Down1</t>
  </si>
  <si>
    <t>1132122West-Down2</t>
  </si>
  <si>
    <t>1132122East-Up2</t>
  </si>
  <si>
    <t>1132122East-Up1</t>
  </si>
  <si>
    <t>1132122East-Down1</t>
  </si>
  <si>
    <t>1132122East-Down2</t>
  </si>
  <si>
    <t>1132122North-Left2</t>
  </si>
  <si>
    <t>1132122North-Left1</t>
  </si>
  <si>
    <t>1132122North-Right1</t>
  </si>
  <si>
    <t>1132122North-Right2</t>
  </si>
  <si>
    <t>1132122South-Left2</t>
  </si>
  <si>
    <t>1132122South-Left1</t>
  </si>
  <si>
    <t>1132122South-Right1</t>
  </si>
  <si>
    <t>1132122South-Right2</t>
  </si>
  <si>
    <t>1142122West-Up2</t>
  </si>
  <si>
    <t>1142122West-Up1</t>
  </si>
  <si>
    <t>1142122West-Down1</t>
  </si>
  <si>
    <t>1142122West-Down2</t>
  </si>
  <si>
    <t>1142122East-Up2</t>
  </si>
  <si>
    <t>1142122East-Up1</t>
  </si>
  <si>
    <t>1142122East-Down1</t>
  </si>
  <si>
    <t>1142122East-Down2</t>
  </si>
  <si>
    <t>1142122North-Left2</t>
  </si>
  <si>
    <t>1142122North-Left1</t>
  </si>
  <si>
    <t>1142122North-Right1</t>
  </si>
  <si>
    <t>1142122North-Right2</t>
  </si>
  <si>
    <t>1142122South-Left2</t>
  </si>
  <si>
    <t>1142122South-Left1</t>
  </si>
  <si>
    <t>1142122South-Right1</t>
  </si>
  <si>
    <t>1142122South-Right2</t>
  </si>
  <si>
    <t>Lazy River 12-11-9-19</t>
  </si>
  <si>
    <t>12921911West-Up2</t>
  </si>
  <si>
    <t>12921911West-Up1</t>
  </si>
  <si>
    <t>12921911West-Down1</t>
  </si>
  <si>
    <t>12921911West-Down2</t>
  </si>
  <si>
    <t>12921911East-Up2</t>
  </si>
  <si>
    <t>12921911East-Up1</t>
  </si>
  <si>
    <t>12921911East-Down1</t>
  </si>
  <si>
    <t>12921911East-Down2</t>
  </si>
  <si>
    <t>12921911North-Left2</t>
  </si>
  <si>
    <t>12921911North-Left1</t>
  </si>
  <si>
    <t>12921911North-Right1</t>
  </si>
  <si>
    <t>12921911North-Right2</t>
  </si>
  <si>
    <t>12921911South-Left2</t>
  </si>
  <si>
    <t>12921911South-Left1</t>
  </si>
  <si>
    <t>12921911South-Right1</t>
  </si>
  <si>
    <t>12921911South-Right2</t>
  </si>
  <si>
    <t>Butcher Butte 7-91EWH-22</t>
  </si>
  <si>
    <t>1222322West-Up2</t>
  </si>
  <si>
    <t>1222322West-Up1</t>
  </si>
  <si>
    <t>1222322West-Down1</t>
  </si>
  <si>
    <t>1222322West-Down2</t>
  </si>
  <si>
    <t>1222322East-Up2</t>
  </si>
  <si>
    <t>1222322East-Up1</t>
  </si>
  <si>
    <t>1222322East-Down1</t>
  </si>
  <si>
    <t>1222322East-Down2</t>
  </si>
  <si>
    <t>1222322North-Left2</t>
  </si>
  <si>
    <t>1222322North-Left1</t>
  </si>
  <si>
    <t>1222322North-Right1</t>
  </si>
  <si>
    <t>1222322North-Right2</t>
  </si>
  <si>
    <t>1222322South-Left2</t>
  </si>
  <si>
    <t>1222322South-Left1</t>
  </si>
  <si>
    <t>1222322South-Right1</t>
  </si>
  <si>
    <t>1222322South-Right2</t>
  </si>
  <si>
    <t>Maw 2-12C5</t>
  </si>
  <si>
    <t>1232522West-Up2</t>
  </si>
  <si>
    <t>1232522West-Up1</t>
  </si>
  <si>
    <t>1232522West-Down1</t>
  </si>
  <si>
    <t>1232522West-Down2</t>
  </si>
  <si>
    <t>1232522East-Up2</t>
  </si>
  <si>
    <t>1232522East-Up1</t>
  </si>
  <si>
    <t>1232522East-Down1</t>
  </si>
  <si>
    <t>1232522East-Down2</t>
  </si>
  <si>
    <t>1232522North-Left2</t>
  </si>
  <si>
    <t>1232522North-Left1</t>
  </si>
  <si>
    <t>1232522North-Right1</t>
  </si>
  <si>
    <t>1232522North-Right2</t>
  </si>
  <si>
    <t>1232522South-Left2</t>
  </si>
  <si>
    <t>1232522South-Left1</t>
  </si>
  <si>
    <t>1232522South-Right1</t>
  </si>
  <si>
    <t>1232522South-Right2</t>
  </si>
  <si>
    <t>1222222West-Up2</t>
  </si>
  <si>
    <t>1222222West-Up1</t>
  </si>
  <si>
    <t>1222222West-Down1</t>
  </si>
  <si>
    <t>1222222West-Down2</t>
  </si>
  <si>
    <t>1222222East-Up2</t>
  </si>
  <si>
    <t>1222222East-Up1</t>
  </si>
  <si>
    <t>1222222East-Down1</t>
  </si>
  <si>
    <t>1222222East-Down2</t>
  </si>
  <si>
    <t>1222222North-Left2</t>
  </si>
  <si>
    <t>1222222North-Left1</t>
  </si>
  <si>
    <t>1222222North-Right1</t>
  </si>
  <si>
    <t>1222222North-Right2</t>
  </si>
  <si>
    <t>1222222South-Left2</t>
  </si>
  <si>
    <t>1222222South-Left1</t>
  </si>
  <si>
    <t>1222222South-Right1</t>
  </si>
  <si>
    <t>1222222South-Right2</t>
  </si>
  <si>
    <t>1242122West-Up2</t>
  </si>
  <si>
    <t>1242122West-Up1</t>
  </si>
  <si>
    <t>1242122West-Down1</t>
  </si>
  <si>
    <t>1242122West-Down2</t>
  </si>
  <si>
    <t>1242122East-Up2</t>
  </si>
  <si>
    <t>1242122East-Up1</t>
  </si>
  <si>
    <t>1242122East-Down1</t>
  </si>
  <si>
    <t>1242122East-Down2</t>
  </si>
  <si>
    <t>1242122North-Left2</t>
  </si>
  <si>
    <t>1242122North-Left1</t>
  </si>
  <si>
    <t>1242122North-Right1</t>
  </si>
  <si>
    <t>1242122North-Right2</t>
  </si>
  <si>
    <t>1242122South-Left2</t>
  </si>
  <si>
    <t>1242122South-Left1</t>
  </si>
  <si>
    <t>1242122South-Right1</t>
  </si>
  <si>
    <t>1242122South-Right2</t>
  </si>
  <si>
    <t>qqq</t>
  </si>
  <si>
    <t>Brennan 13-14-7-20</t>
  </si>
  <si>
    <t>13722011West-Up2</t>
  </si>
  <si>
    <t>13722011West-Up1</t>
  </si>
  <si>
    <t>13722011West-Down1</t>
  </si>
  <si>
    <t>13722011West-Down2</t>
  </si>
  <si>
    <t>13722011East-Up2</t>
  </si>
  <si>
    <t>13722011East-Up1</t>
  </si>
  <si>
    <t>13722011East-Down1</t>
  </si>
  <si>
    <t>13722011East-Down2</t>
  </si>
  <si>
    <t>13722011North-Left2</t>
  </si>
  <si>
    <t>13722011North-Left1</t>
  </si>
  <si>
    <t>13722011North-Right1</t>
  </si>
  <si>
    <t>13722011North-Right2</t>
  </si>
  <si>
    <t>13722011South-Left2</t>
  </si>
  <si>
    <t>13722011South-Left1</t>
  </si>
  <si>
    <t>13722011South-Right1</t>
  </si>
  <si>
    <t>13722011South-Right2</t>
  </si>
  <si>
    <t>Butcher Butte 14-131EWH-23</t>
  </si>
  <si>
    <t>1322322West-Up2</t>
  </si>
  <si>
    <t>1322322West-Up1</t>
  </si>
  <si>
    <t>1322322West-Down1</t>
  </si>
  <si>
    <t>1322322West-Down2</t>
  </si>
  <si>
    <t>1322322East-Up2</t>
  </si>
  <si>
    <t>1322322East-Up1</t>
  </si>
  <si>
    <t>1322322East-Down1</t>
  </si>
  <si>
    <t>1322322East-Down2</t>
  </si>
  <si>
    <t>1322322North-Left2</t>
  </si>
  <si>
    <t>1322322North-Left1</t>
  </si>
  <si>
    <t>1322322North-Right1</t>
  </si>
  <si>
    <t>1322322North-Right2</t>
  </si>
  <si>
    <t>1322322South-Left2</t>
  </si>
  <si>
    <t>1322322South-Left1</t>
  </si>
  <si>
    <t>1322322South-Right1</t>
  </si>
  <si>
    <t>1322322South-Right2</t>
  </si>
  <si>
    <t>Rhoades 3-13C5</t>
  </si>
  <si>
    <t>1332522West-Up2</t>
  </si>
  <si>
    <t>1332522West-Up1</t>
  </si>
  <si>
    <t>1332522West-Down1</t>
  </si>
  <si>
    <t>1332522West-Down2</t>
  </si>
  <si>
    <t>1332522East-Up2</t>
  </si>
  <si>
    <t>1332522East-Up1</t>
  </si>
  <si>
    <t>1332522East-Down1</t>
  </si>
  <si>
    <t>1332522East-Down2</t>
  </si>
  <si>
    <t>1332522North-Left2</t>
  </si>
  <si>
    <t>1332522North-Left1</t>
  </si>
  <si>
    <t>1332522North-Right1</t>
  </si>
  <si>
    <t>1332522North-Right2</t>
  </si>
  <si>
    <t>1332522South-Left2</t>
  </si>
  <si>
    <t>1332522South-Left1</t>
  </si>
  <si>
    <t>1332522South-Right1</t>
  </si>
  <si>
    <t>1332522South-Right2</t>
  </si>
  <si>
    <t>1332422West-Up2</t>
  </si>
  <si>
    <t>1332422West-Up1</t>
  </si>
  <si>
    <t>1332422West-Down1</t>
  </si>
  <si>
    <t>1332422West-Down2</t>
  </si>
  <si>
    <t>1332422East-Up2</t>
  </si>
  <si>
    <t>1332422East-Up1</t>
  </si>
  <si>
    <t>1332422East-Down1</t>
  </si>
  <si>
    <t>1332422East-Down2</t>
  </si>
  <si>
    <t>1332422North-Left2</t>
  </si>
  <si>
    <t>1332422North-Left1</t>
  </si>
  <si>
    <t>1332422North-Right1</t>
  </si>
  <si>
    <t>1332422North-Right2</t>
  </si>
  <si>
    <t>1332422South-Left2</t>
  </si>
  <si>
    <t>1332422South-Left1</t>
  </si>
  <si>
    <t>1332422South-Right1</t>
  </si>
  <si>
    <t>1332422South-Right2</t>
  </si>
  <si>
    <t>Huber 3-13B2</t>
  </si>
  <si>
    <t>1322222West-Up2</t>
  </si>
  <si>
    <t>1322222West-Up1</t>
  </si>
  <si>
    <t>1322222West-Down1</t>
  </si>
  <si>
    <t>1322222West-Down2</t>
  </si>
  <si>
    <t>1322222East-Up2</t>
  </si>
  <si>
    <t>1322222East-Up1</t>
  </si>
  <si>
    <t>1322222East-Down1</t>
  </si>
  <si>
    <t>1322222East-Down2</t>
  </si>
  <si>
    <t>1322222North-Left2</t>
  </si>
  <si>
    <t>1322222North-Left1</t>
  </si>
  <si>
    <t>1322222North-Right1</t>
  </si>
  <si>
    <t>1322222North-Right2</t>
  </si>
  <si>
    <t>1322222South-Left2</t>
  </si>
  <si>
    <t>1322222South-Left1</t>
  </si>
  <si>
    <t>1322222South-Right1</t>
  </si>
  <si>
    <t>1322222South-Right2</t>
  </si>
  <si>
    <t>1342122West-Up2</t>
  </si>
  <si>
    <t>1342122West-Up1</t>
  </si>
  <si>
    <t>1342122West-Down1</t>
  </si>
  <si>
    <t>1342122West-Down2</t>
  </si>
  <si>
    <t>1342122East-Up2</t>
  </si>
  <si>
    <t>1342122East-Up1</t>
  </si>
  <si>
    <t>1342122East-Down1</t>
  </si>
  <si>
    <t>1342122East-Down2</t>
  </si>
  <si>
    <t>1342122North-Left2</t>
  </si>
  <si>
    <t>1342122North-Left1</t>
  </si>
  <si>
    <t>1342122North-Right1</t>
  </si>
  <si>
    <t>1342122North-Right2</t>
  </si>
  <si>
    <t>1342122South-Left2</t>
  </si>
  <si>
    <t>1342122South-Left1</t>
  </si>
  <si>
    <t>1342122South-Right1</t>
  </si>
  <si>
    <t>1342122South-Right2</t>
  </si>
  <si>
    <t>Aurora Federal 23-4-7-20</t>
  </si>
  <si>
    <t>14722011West-Up2</t>
  </si>
  <si>
    <t>14722011West-Up1</t>
  </si>
  <si>
    <t>14722011West-Down1</t>
  </si>
  <si>
    <t>14722011West-Down2</t>
  </si>
  <si>
    <t>14722011East-Up2</t>
  </si>
  <si>
    <t>14722011East-Up1</t>
  </si>
  <si>
    <t>14722011East-Down1</t>
  </si>
  <si>
    <t>14722011East-Down2</t>
  </si>
  <si>
    <t>14722011North-Left2</t>
  </si>
  <si>
    <t>14722011North-Left1</t>
  </si>
  <si>
    <t>14722011North-Right1</t>
  </si>
  <si>
    <t>14722011North-Right2</t>
  </si>
  <si>
    <t>14722011South-Left2</t>
  </si>
  <si>
    <t>14722011South-Left1</t>
  </si>
  <si>
    <t>14722011South-Right1</t>
  </si>
  <si>
    <t>14722011South-Right2</t>
  </si>
  <si>
    <t>1422322West-Up2</t>
  </si>
  <si>
    <t>1422322West-Up1</t>
  </si>
  <si>
    <t>1422322West-Down1</t>
  </si>
  <si>
    <t>1422322West-Down2</t>
  </si>
  <si>
    <t>1422322East-Up2</t>
  </si>
  <si>
    <t>1422322East-Up1</t>
  </si>
  <si>
    <t>1422322East-Down1</t>
  </si>
  <si>
    <t>1422322East-Down2</t>
  </si>
  <si>
    <t>1422322North-Left2</t>
  </si>
  <si>
    <t>1422322North-Left1</t>
  </si>
  <si>
    <t>1422322North-Right1</t>
  </si>
  <si>
    <t>1422322North-Right2</t>
  </si>
  <si>
    <t>1422322South-Left2</t>
  </si>
  <si>
    <t>1422322South-Left1</t>
  </si>
  <si>
    <t>1422322South-Right1</t>
  </si>
  <si>
    <t>1422322South-Right2</t>
  </si>
  <si>
    <t>Hackford 14-2A-4-2</t>
  </si>
  <si>
    <t>1442212West-Up2</t>
  </si>
  <si>
    <t>1442212West-Up1</t>
  </si>
  <si>
    <t>1442212West-Down1</t>
  </si>
  <si>
    <t>1442212West-Down2</t>
  </si>
  <si>
    <t>1442212East-Up2</t>
  </si>
  <si>
    <t>1442212East-Up1</t>
  </si>
  <si>
    <t>1442212East-Down1</t>
  </si>
  <si>
    <t>1442212East-Down2</t>
  </si>
  <si>
    <t>1442212North-Left2</t>
  </si>
  <si>
    <t>1442212North-Left1</t>
  </si>
  <si>
    <t>1442212North-Right1</t>
  </si>
  <si>
    <t>1442212North-Right2</t>
  </si>
  <si>
    <t>1442212South-Left2</t>
  </si>
  <si>
    <t>1442212South-Left1</t>
  </si>
  <si>
    <t>1442212South-Right1</t>
  </si>
  <si>
    <t>1442212South-Right2</t>
  </si>
  <si>
    <t>1432422West-Up2</t>
  </si>
  <si>
    <t>1432422West-Up1</t>
  </si>
  <si>
    <t>1432422West-Down1</t>
  </si>
  <si>
    <t>1432422West-Down2</t>
  </si>
  <si>
    <t>1432422East-Up2</t>
  </si>
  <si>
    <t>1432422East-Up1</t>
  </si>
  <si>
    <t>1432422East-Down1</t>
  </si>
  <si>
    <t>1432422East-Down2</t>
  </si>
  <si>
    <t>1432422North-Left2</t>
  </si>
  <si>
    <t>1432422North-Left1</t>
  </si>
  <si>
    <t>1432422North-Right1</t>
  </si>
  <si>
    <t>1432422North-Right2</t>
  </si>
  <si>
    <t>1432422South-Left2</t>
  </si>
  <si>
    <t>1432422South-Left1</t>
  </si>
  <si>
    <t>1432422South-Right1</t>
  </si>
  <si>
    <t>1432422South-Right2</t>
  </si>
  <si>
    <t>1442122West-Up2</t>
  </si>
  <si>
    <t>1442122West-Up1</t>
  </si>
  <si>
    <t>1442122West-Down1</t>
  </si>
  <si>
    <t>1442122West-Down2</t>
  </si>
  <si>
    <t>1442122East-Up2</t>
  </si>
  <si>
    <t>1442122East-Up1</t>
  </si>
  <si>
    <t>1442122East-Down1</t>
  </si>
  <si>
    <t>1442122East-Down2</t>
  </si>
  <si>
    <t>1442122North-Left2</t>
  </si>
  <si>
    <t>1442122North-Left1</t>
  </si>
  <si>
    <t>1442122North-Right1</t>
  </si>
  <si>
    <t>1442122North-Right2</t>
  </si>
  <si>
    <t>1442122South-Left2</t>
  </si>
  <si>
    <t>1442122South-Left1</t>
  </si>
  <si>
    <t>1442122South-Right1</t>
  </si>
  <si>
    <t>1442122South-Right2</t>
  </si>
  <si>
    <t>152022111West-Up2</t>
  </si>
  <si>
    <t>152022111West-Up1</t>
  </si>
  <si>
    <t>152022111West-Down1</t>
  </si>
  <si>
    <t>152022111West-Down2</t>
  </si>
  <si>
    <t>152022111East-Up2</t>
  </si>
  <si>
    <t>152022111East-Up1</t>
  </si>
  <si>
    <t>152022111East-Down1</t>
  </si>
  <si>
    <t>152022111East-Down2</t>
  </si>
  <si>
    <t>152022111North-Left2</t>
  </si>
  <si>
    <t>152022111North-Left1</t>
  </si>
  <si>
    <t>152022111North-Right1</t>
  </si>
  <si>
    <t>152022111North-Right2</t>
  </si>
  <si>
    <t>152022111South-Left2</t>
  </si>
  <si>
    <t>152022111South-Left1</t>
  </si>
  <si>
    <t>152022111South-Right1</t>
  </si>
  <si>
    <t>152022111South-Right2</t>
  </si>
  <si>
    <t>Butcher Butte 15-21H-21</t>
  </si>
  <si>
    <t>1522122West-Up2</t>
  </si>
  <si>
    <t>1522122West-Up1</t>
  </si>
  <si>
    <t>1522122West-Down1</t>
  </si>
  <si>
    <t>1522122West-Down2</t>
  </si>
  <si>
    <t>1522122East-Up2</t>
  </si>
  <si>
    <t>1522122East-Up1</t>
  </si>
  <si>
    <t>1522122East-Down1</t>
  </si>
  <si>
    <t>1522122East-Down2</t>
  </si>
  <si>
    <t>1522122North-Left2</t>
  </si>
  <si>
    <t>1522122North-Left1</t>
  </si>
  <si>
    <t>1522122North-Right1</t>
  </si>
  <si>
    <t>1522122North-Right2</t>
  </si>
  <si>
    <t>1522122South-Left2</t>
  </si>
  <si>
    <t>1522122South-Left1</t>
  </si>
  <si>
    <t>1522122South-Right1</t>
  </si>
  <si>
    <t>1522122South-Right2</t>
  </si>
  <si>
    <t>Butcher Butte 15-134EWH-23</t>
  </si>
  <si>
    <t>1522322West-Up2</t>
  </si>
  <si>
    <t>1522322West-Up1</t>
  </si>
  <si>
    <t>1522322West-Down1</t>
  </si>
  <si>
    <t>1522322West-Down2</t>
  </si>
  <si>
    <t>1522322East-Up2</t>
  </si>
  <si>
    <t>1522322East-Up1</t>
  </si>
  <si>
    <t>1522322East-Down1</t>
  </si>
  <si>
    <t>1522322East-Down2</t>
  </si>
  <si>
    <t>1522322North-Left2</t>
  </si>
  <si>
    <t>1522322North-Left1</t>
  </si>
  <si>
    <t>1522322North-Right1</t>
  </si>
  <si>
    <t>1522322North-Right2</t>
  </si>
  <si>
    <t>1522322South-Left2</t>
  </si>
  <si>
    <t>1522322South-Left1</t>
  </si>
  <si>
    <t>1522322South-Right1</t>
  </si>
  <si>
    <t>1522322South-Right2</t>
  </si>
  <si>
    <t>Bastian Tribal 2-27-34-3-1W-H2</t>
  </si>
  <si>
    <t>1532122West-Up2</t>
  </si>
  <si>
    <t>1532122West-Up1</t>
  </si>
  <si>
    <t>1532122West-Down1</t>
  </si>
  <si>
    <t>1532122West-Down2</t>
  </si>
  <si>
    <t>1532122East-Up2</t>
  </si>
  <si>
    <t>1532122East-Up1</t>
  </si>
  <si>
    <t>1532122East-Down1</t>
  </si>
  <si>
    <t>1532122East-Down2</t>
  </si>
  <si>
    <t>1532122North-Left2</t>
  </si>
  <si>
    <t>1532122North-Left1</t>
  </si>
  <si>
    <t>1532122North-Right1</t>
  </si>
  <si>
    <t>1532122North-Right2</t>
  </si>
  <si>
    <t>1532122South-Left2</t>
  </si>
  <si>
    <t>1532122South-Left1</t>
  </si>
  <si>
    <t>1532122South-Right1</t>
  </si>
  <si>
    <t>1532122South-Right2</t>
  </si>
  <si>
    <t>Snowbird 12-16-15-C5-1H</t>
  </si>
  <si>
    <t>1532522West-Up2</t>
  </si>
  <si>
    <t>1532522West-Up1</t>
  </si>
  <si>
    <t>1532522West-Down1</t>
  </si>
  <si>
    <t>1532522West-Down2</t>
  </si>
  <si>
    <t>1532522East-Up2</t>
  </si>
  <si>
    <t>1532522East-Up1</t>
  </si>
  <si>
    <t>1532522East-Down1</t>
  </si>
  <si>
    <t>1532522East-Down2</t>
  </si>
  <si>
    <t>1532522North-Left2</t>
  </si>
  <si>
    <t>1532522North-Left1</t>
  </si>
  <si>
    <t>1532522North-Right1</t>
  </si>
  <si>
    <t>1532522North-Right2</t>
  </si>
  <si>
    <t>1532522South-Left2</t>
  </si>
  <si>
    <t>1532522South-Left1</t>
  </si>
  <si>
    <t>1532522South-Right1</t>
  </si>
  <si>
    <t>1532522South-Right2</t>
  </si>
  <si>
    <t>Cox 22-03-3-1E</t>
  </si>
  <si>
    <t>1532112West-Up2</t>
  </si>
  <si>
    <t>1532112West-Up1</t>
  </si>
  <si>
    <t>1532112West-Down1</t>
  </si>
  <si>
    <t>1532112West-Down2</t>
  </si>
  <si>
    <t>1532112East-Up2</t>
  </si>
  <si>
    <t>1532112East-Up1</t>
  </si>
  <si>
    <t>1532112East-Down1</t>
  </si>
  <si>
    <t>1532112East-Down2</t>
  </si>
  <si>
    <t>1532112North-Left2</t>
  </si>
  <si>
    <t>1532112North-Left1</t>
  </si>
  <si>
    <t>1532112North-Right1</t>
  </si>
  <si>
    <t>1532112North-Right2</t>
  </si>
  <si>
    <t>1532112South-Left2</t>
  </si>
  <si>
    <t>1532112South-Left1</t>
  </si>
  <si>
    <t>1532112South-Right1</t>
  </si>
  <si>
    <t>1532112South-Right2</t>
  </si>
  <si>
    <t>CWU #1431-15D</t>
  </si>
  <si>
    <t>15922211West-Up2</t>
  </si>
  <si>
    <t>15922211West-Up1</t>
  </si>
  <si>
    <t>15922211West-Down1</t>
  </si>
  <si>
    <t>15922211West-Down2</t>
  </si>
  <si>
    <t>15922211East-Up2</t>
  </si>
  <si>
    <t>15922211East-Up1</t>
  </si>
  <si>
    <t>15922211East-Down1</t>
  </si>
  <si>
    <t>15922211East-Down2</t>
  </si>
  <si>
    <t>15922211North-Left2</t>
  </si>
  <si>
    <t>15922211North-Left1</t>
  </si>
  <si>
    <t>15922211North-Right1</t>
  </si>
  <si>
    <t>15922211North-Right2</t>
  </si>
  <si>
    <t>15922211South-Left2</t>
  </si>
  <si>
    <t>15922211South-Left1</t>
  </si>
  <si>
    <t>15922211South-Right1</t>
  </si>
  <si>
    <t>15922211South-Right2</t>
  </si>
  <si>
    <t>GV State 16-2</t>
  </si>
  <si>
    <t>162221711West-Up2</t>
  </si>
  <si>
    <t>162221711West-Up1</t>
  </si>
  <si>
    <t>162221711West-Down1</t>
  </si>
  <si>
    <t>162221711West-Down2</t>
  </si>
  <si>
    <t>162221711East-Up2</t>
  </si>
  <si>
    <t>162221711East-Up1</t>
  </si>
  <si>
    <t>162221711East-Down1</t>
  </si>
  <si>
    <t>162221711East-Down2</t>
  </si>
  <si>
    <t>162221711North-Left2</t>
  </si>
  <si>
    <t>162221711North-Left1</t>
  </si>
  <si>
    <t>162221711North-Right1</t>
  </si>
  <si>
    <t>162221711North-Right2</t>
  </si>
  <si>
    <t>162221711South-Left2</t>
  </si>
  <si>
    <t>162221711South-Left1</t>
  </si>
  <si>
    <t>162221711South-Right1</t>
  </si>
  <si>
    <t>162221711South-Right2</t>
  </si>
  <si>
    <t>Aurora Federal 21-2-7-20</t>
  </si>
  <si>
    <t>16722011West-Up2</t>
  </si>
  <si>
    <t>16722011West-Up1</t>
  </si>
  <si>
    <t>16722011West-Down1</t>
  </si>
  <si>
    <t>16722011West-Down2</t>
  </si>
  <si>
    <t>16722011East-Up2</t>
  </si>
  <si>
    <t>16722011East-Up1</t>
  </si>
  <si>
    <t>16722011East-Down1</t>
  </si>
  <si>
    <t>16722011East-Down2</t>
  </si>
  <si>
    <t>16722011North-Left2</t>
  </si>
  <si>
    <t>16722011North-Left1</t>
  </si>
  <si>
    <t>16722011North-Right1</t>
  </si>
  <si>
    <t>16722011North-Right2</t>
  </si>
  <si>
    <t>16722011South-Left2</t>
  </si>
  <si>
    <t>16722011South-Left1</t>
  </si>
  <si>
    <t>16722011South-Right1</t>
  </si>
  <si>
    <t>16722011South-Right2</t>
  </si>
  <si>
    <t>RW 2B1-16-723</t>
  </si>
  <si>
    <t>16722311West-Up2</t>
  </si>
  <si>
    <t>16722311West-Up1</t>
  </si>
  <si>
    <t>16722311West-Down1</t>
  </si>
  <si>
    <t>16722311West-Down2</t>
  </si>
  <si>
    <t>16722311East-Up2</t>
  </si>
  <si>
    <t>16722311East-Up1</t>
  </si>
  <si>
    <t>16722311East-Down1</t>
  </si>
  <si>
    <t>16722311East-Down2</t>
  </si>
  <si>
    <t>16722311North-Left2</t>
  </si>
  <si>
    <t>16722311North-Left1</t>
  </si>
  <si>
    <t>16722311North-Right1</t>
  </si>
  <si>
    <t>16722311North-Right2</t>
  </si>
  <si>
    <t>16722311South-Left2</t>
  </si>
  <si>
    <t>16722311South-Left1</t>
  </si>
  <si>
    <t>16722311South-Right1</t>
  </si>
  <si>
    <t>16722311South-Right2</t>
  </si>
  <si>
    <t>1622122West-Up2</t>
  </si>
  <si>
    <t>1622122West-Up1</t>
  </si>
  <si>
    <t>1622122West-Down1</t>
  </si>
  <si>
    <t>1622122West-Down2</t>
  </si>
  <si>
    <t>1622122East-Up2</t>
  </si>
  <si>
    <t>1622122East-Up1</t>
  </si>
  <si>
    <t>1622122East-Down1</t>
  </si>
  <si>
    <t>1622122East-Down2</t>
  </si>
  <si>
    <t>1622122North-Left2</t>
  </si>
  <si>
    <t>1622122North-Left1</t>
  </si>
  <si>
    <t>1622122North-Right1</t>
  </si>
  <si>
    <t>1622122North-Right2</t>
  </si>
  <si>
    <t>1622122South-Left2</t>
  </si>
  <si>
    <t>1622122South-Left1</t>
  </si>
  <si>
    <t>1622122South-Right1</t>
  </si>
  <si>
    <t>1622122South-Right2</t>
  </si>
  <si>
    <t>1622322West-Up2</t>
  </si>
  <si>
    <t>1622322West-Up1</t>
  </si>
  <si>
    <t>1622322West-Down1</t>
  </si>
  <si>
    <t>1622322West-Down2</t>
  </si>
  <si>
    <t>1622322East-Up2</t>
  </si>
  <si>
    <t>1622322East-Up1</t>
  </si>
  <si>
    <t>1622322East-Down1</t>
  </si>
  <si>
    <t>1622322East-Down2</t>
  </si>
  <si>
    <t>1622322North-Left2</t>
  </si>
  <si>
    <t>1622322North-Left1</t>
  </si>
  <si>
    <t>1622322North-Right1</t>
  </si>
  <si>
    <t>1622322North-Right2</t>
  </si>
  <si>
    <t>1622322South-Left2</t>
  </si>
  <si>
    <t>1622322South-Left1</t>
  </si>
  <si>
    <t>1622322South-Right1</t>
  </si>
  <si>
    <t>1622322South-Right2</t>
  </si>
  <si>
    <t>Griswold Tribal 15.5-21-16-3-1W-H1</t>
  </si>
  <si>
    <t>1632122West-Up2</t>
  </si>
  <si>
    <t>1632122West-Up1</t>
  </si>
  <si>
    <t>1632122West-Down1</t>
  </si>
  <si>
    <t>1632122West-Down2</t>
  </si>
  <si>
    <t>1632122East-Up2</t>
  </si>
  <si>
    <t>1632122East-Up1</t>
  </si>
  <si>
    <t>1632122East-Down1</t>
  </si>
  <si>
    <t>1632122East-Down2</t>
  </si>
  <si>
    <t>1632122North-Left2</t>
  </si>
  <si>
    <t>1632122North-Left1</t>
  </si>
  <si>
    <t>1632122North-Right1</t>
  </si>
  <si>
    <t>1632122North-Right2</t>
  </si>
  <si>
    <t>1632122South-Left2</t>
  </si>
  <si>
    <t>1632122South-Left1</t>
  </si>
  <si>
    <t>1632122South-Right1</t>
  </si>
  <si>
    <t>1632122South-Right2</t>
  </si>
  <si>
    <t>1632222West-Up2</t>
  </si>
  <si>
    <t>1632222West-Up1</t>
  </si>
  <si>
    <t>1632222West-Down1</t>
  </si>
  <si>
    <t>1632222West-Down2</t>
  </si>
  <si>
    <t>1632222East-Up2</t>
  </si>
  <si>
    <t>1632222East-Up1</t>
  </si>
  <si>
    <t>1632222East-Down1</t>
  </si>
  <si>
    <t>1632222East-Down2</t>
  </si>
  <si>
    <t>1632222North-Left2</t>
  </si>
  <si>
    <t>1632222North-Left1</t>
  </si>
  <si>
    <t>1632222North-Right1</t>
  </si>
  <si>
    <t>1632222North-Right2</t>
  </si>
  <si>
    <t>1632222South-Left2</t>
  </si>
  <si>
    <t>1632222South-Left1</t>
  </si>
  <si>
    <t>1632222South-Right1</t>
  </si>
  <si>
    <t>1632222South-Right2</t>
  </si>
  <si>
    <t>1632522West-Up2</t>
  </si>
  <si>
    <t>1632522West-Up1</t>
  </si>
  <si>
    <t>1632522West-Down1</t>
  </si>
  <si>
    <t>1632522West-Down2</t>
  </si>
  <si>
    <t>1632522East-Up2</t>
  </si>
  <si>
    <t>1632522East-Up1</t>
  </si>
  <si>
    <t>1632522East-Down1</t>
  </si>
  <si>
    <t>1632522East-Down2</t>
  </si>
  <si>
    <t>1632522North-Left2</t>
  </si>
  <si>
    <t>1632522North-Left1</t>
  </si>
  <si>
    <t>1632522North-Right1</t>
  </si>
  <si>
    <t>1632522North-Right2</t>
  </si>
  <si>
    <t>1632522South-Left2</t>
  </si>
  <si>
    <t>1632522South-Left1</t>
  </si>
  <si>
    <t>1632522South-Right1</t>
  </si>
  <si>
    <t>1632522South-Right2</t>
  </si>
  <si>
    <t>1642122West-Up2</t>
  </si>
  <si>
    <t>1642122West-Up1</t>
  </si>
  <si>
    <t>1642122West-Down1</t>
  </si>
  <si>
    <t>1642122West-Down2</t>
  </si>
  <si>
    <t>1642122East-Up2</t>
  </si>
  <si>
    <t>1642122East-Up1</t>
  </si>
  <si>
    <t>1642122East-Down1</t>
  </si>
  <si>
    <t>1642122East-Down2</t>
  </si>
  <si>
    <t>1642122North-Left2</t>
  </si>
  <si>
    <t>1642122North-Left1</t>
  </si>
  <si>
    <t>1642122North-Right1</t>
  </si>
  <si>
    <t>1642122North-Right2</t>
  </si>
  <si>
    <t>1642122South-Left2</t>
  </si>
  <si>
    <t>1642122South-Left1</t>
  </si>
  <si>
    <t>1642122South-Right1</t>
  </si>
  <si>
    <t>1642122South-Right2</t>
  </si>
  <si>
    <t>16922211West-Up2</t>
  </si>
  <si>
    <t>16922211West-Up1</t>
  </si>
  <si>
    <t>16922211West-Down1</t>
  </si>
  <si>
    <t>16922211West-Down2</t>
  </si>
  <si>
    <t>16922211East-Up2</t>
  </si>
  <si>
    <t>16922211East-Up1</t>
  </si>
  <si>
    <t>16922211East-Down1</t>
  </si>
  <si>
    <t>16922211East-Down2</t>
  </si>
  <si>
    <t>16922211North-Left2</t>
  </si>
  <si>
    <t>16922211North-Left1</t>
  </si>
  <si>
    <t>16922211North-Right1</t>
  </si>
  <si>
    <t>16922211North-Right2</t>
  </si>
  <si>
    <t>16922211South-Left2</t>
  </si>
  <si>
    <t>16922211South-Left1</t>
  </si>
  <si>
    <t>16922211South-Right1</t>
  </si>
  <si>
    <t>16922211South-Right2</t>
  </si>
  <si>
    <t>1632112West-Up2</t>
  </si>
  <si>
    <t>1632112West-Up1</t>
  </si>
  <si>
    <t>1632112West-Down1</t>
  </si>
  <si>
    <t>1632112West-Down2</t>
  </si>
  <si>
    <t>1632112East-Up2</t>
  </si>
  <si>
    <t>1632112East-Up1</t>
  </si>
  <si>
    <t>1632112East-Down1</t>
  </si>
  <si>
    <t>1632112East-Down2</t>
  </si>
  <si>
    <t>1632112North-Left2</t>
  </si>
  <si>
    <t>1632112North-Left1</t>
  </si>
  <si>
    <t>1632112North-Right1</t>
  </si>
  <si>
    <t>1632112North-Right2</t>
  </si>
  <si>
    <t>1632112South-Left2</t>
  </si>
  <si>
    <t>1632112South-Left1</t>
  </si>
  <si>
    <t>1632112South-Right1</t>
  </si>
  <si>
    <t>1632112South-Right2</t>
  </si>
  <si>
    <t>Aurora Federal 17-14-7-20</t>
  </si>
  <si>
    <t>17722011West-Up2</t>
  </si>
  <si>
    <t>17722011West-Up1</t>
  </si>
  <si>
    <t>17722011West-Down1</t>
  </si>
  <si>
    <t>17722011West-Down2</t>
  </si>
  <si>
    <t>17722011East-Up2</t>
  </si>
  <si>
    <t>17722011East-Up1</t>
  </si>
  <si>
    <t>17722011East-Down1</t>
  </si>
  <si>
    <t>17722011East-Down2</t>
  </si>
  <si>
    <t>17722011North-Left2</t>
  </si>
  <si>
    <t>17722011North-Left1</t>
  </si>
  <si>
    <t>17722011North-Right1</t>
  </si>
  <si>
    <t>17722011North-Right2</t>
  </si>
  <si>
    <t>17722011South-Left2</t>
  </si>
  <si>
    <t>17722011South-Left1</t>
  </si>
  <si>
    <t>17722011South-Right1</t>
  </si>
  <si>
    <t>17722011South-Right2</t>
  </si>
  <si>
    <t>Butcher Butte 17-34EWH-23</t>
  </si>
  <si>
    <t>1722322West-Up2</t>
  </si>
  <si>
    <t>1722322West-Up1</t>
  </si>
  <si>
    <t>1722322West-Down1</t>
  </si>
  <si>
    <t>1722322West-Down2</t>
  </si>
  <si>
    <t>1722322East-Up2</t>
  </si>
  <si>
    <t>1722322East-Up1</t>
  </si>
  <si>
    <t>1722322East-Down1</t>
  </si>
  <si>
    <t>1722322East-Down2</t>
  </si>
  <si>
    <t>1722322North-Left2</t>
  </si>
  <si>
    <t>1722322North-Left1</t>
  </si>
  <si>
    <t>1722322North-Right1</t>
  </si>
  <si>
    <t>1722322North-Right2</t>
  </si>
  <si>
    <t>1722322South-Left2</t>
  </si>
  <si>
    <t>1722322South-Left1</t>
  </si>
  <si>
    <t>1722322South-Right1</t>
  </si>
  <si>
    <t>1722322South-Right2</t>
  </si>
  <si>
    <t>1732222West-Up2</t>
  </si>
  <si>
    <t>1732222West-Up1</t>
  </si>
  <si>
    <t>1732222West-Down1</t>
  </si>
  <si>
    <t>1732222West-Down2</t>
  </si>
  <si>
    <t>1732222East-Up2</t>
  </si>
  <si>
    <t>1732222East-Up1</t>
  </si>
  <si>
    <t>1732222East-Down1</t>
  </si>
  <si>
    <t>1732222East-Down2</t>
  </si>
  <si>
    <t>1732222North-Left2</t>
  </si>
  <si>
    <t>1732222North-Left1</t>
  </si>
  <si>
    <t>1732222North-Right1</t>
  </si>
  <si>
    <t>1732222North-Right2</t>
  </si>
  <si>
    <t>1732222South-Left2</t>
  </si>
  <si>
    <t>1732222South-Left1</t>
  </si>
  <si>
    <t>1732222South-Right1</t>
  </si>
  <si>
    <t>1732222South-Right2</t>
  </si>
  <si>
    <t>Flying Dutchman 13-18-17-C4-1H</t>
  </si>
  <si>
    <t>1732422West-Up2</t>
  </si>
  <si>
    <t>1732422West-Up1</t>
  </si>
  <si>
    <t>1732422West-Down1</t>
  </si>
  <si>
    <t>1732422West-Down2</t>
  </si>
  <si>
    <t>1732422East-Up2</t>
  </si>
  <si>
    <t>1732422East-Up1</t>
  </si>
  <si>
    <t>1732422East-Down1</t>
  </si>
  <si>
    <t>1732422East-Down2</t>
  </si>
  <si>
    <t>1732422North-Left2</t>
  </si>
  <si>
    <t>1732422North-Left1</t>
  </si>
  <si>
    <t>1732422North-Right1</t>
  </si>
  <si>
    <t>1732422North-Right2</t>
  </si>
  <si>
    <t>1732422South-Left2</t>
  </si>
  <si>
    <t>1732422South-Left1</t>
  </si>
  <si>
    <t>1732422South-Right1</t>
  </si>
  <si>
    <t>1732422South-Right2</t>
  </si>
  <si>
    <t>Owl 3-17C5</t>
  </si>
  <si>
    <t>1732522West-Up2</t>
  </si>
  <si>
    <t>1732522West-Up1</t>
  </si>
  <si>
    <t>1732522West-Down1</t>
  </si>
  <si>
    <t>1732522West-Down2</t>
  </si>
  <si>
    <t>1732522East-Up2</t>
  </si>
  <si>
    <t>1732522East-Up1</t>
  </si>
  <si>
    <t>1732522East-Down1</t>
  </si>
  <si>
    <t>1732522East-Down2</t>
  </si>
  <si>
    <t>1732522North-Left2</t>
  </si>
  <si>
    <t>1732522North-Left1</t>
  </si>
  <si>
    <t>1732522North-Right1</t>
  </si>
  <si>
    <t>1732522North-Right2</t>
  </si>
  <si>
    <t>1732522South-Left2</t>
  </si>
  <si>
    <t>1732522South-Left1</t>
  </si>
  <si>
    <t>BBC 4-20C5</t>
  </si>
  <si>
    <t>1732522South-Right1</t>
  </si>
  <si>
    <t>1732522South-Right2</t>
  </si>
  <si>
    <t>1732112West-Up2</t>
  </si>
  <si>
    <t>1732112West-Up1</t>
  </si>
  <si>
    <t>1732112West-Down1</t>
  </si>
  <si>
    <t>1732112West-Down2</t>
  </si>
  <si>
    <t>1732112East-Up2</t>
  </si>
  <si>
    <t>1732112East-Up1</t>
  </si>
  <si>
    <t>1732112East-Down1</t>
  </si>
  <si>
    <t>1732112East-Down2</t>
  </si>
  <si>
    <t>1732112North-Left2</t>
  </si>
  <si>
    <t>1732112North-Left1</t>
  </si>
  <si>
    <t>1732112North-Right1</t>
  </si>
  <si>
    <t>1732112North-Right2</t>
  </si>
  <si>
    <t>1732112South-Left2</t>
  </si>
  <si>
    <t>1732112South-Left1</t>
  </si>
  <si>
    <t>1732112South-Right1</t>
  </si>
  <si>
    <t>1732112South-Right2</t>
  </si>
  <si>
    <t>1822321West-Up2</t>
  </si>
  <si>
    <t>1822321West-Up1</t>
  </si>
  <si>
    <t>1822321West-Down1</t>
  </si>
  <si>
    <t>1822321West-Down2</t>
  </si>
  <si>
    <t>1822321East-Up2</t>
  </si>
  <si>
    <t>1822321East-Up1</t>
  </si>
  <si>
    <t>1822321East-Down1</t>
  </si>
  <si>
    <t>1822321East-Down2</t>
  </si>
  <si>
    <t>1822321North-Left2</t>
  </si>
  <si>
    <t>1822321North-Left1</t>
  </si>
  <si>
    <t>1822321North-Right1</t>
  </si>
  <si>
    <t>1822321North-Right2</t>
  </si>
  <si>
    <t>1822321South-Left2</t>
  </si>
  <si>
    <t>1822321South-Left1</t>
  </si>
  <si>
    <t>1822321South-Right1</t>
  </si>
  <si>
    <t>1822321South-Right2</t>
  </si>
  <si>
    <t>18922111West-Up2</t>
  </si>
  <si>
    <t>18922111West-Up1</t>
  </si>
  <si>
    <t>18922111West-Down1</t>
  </si>
  <si>
    <t>18922111West-Down2</t>
  </si>
  <si>
    <t>18922111East-Up2</t>
  </si>
  <si>
    <t>18922111East-Up1</t>
  </si>
  <si>
    <t>18922111East-Down1</t>
  </si>
  <si>
    <t>18922111East-Down2</t>
  </si>
  <si>
    <t>18922111North-Left2</t>
  </si>
  <si>
    <t>18922111North-Left1</t>
  </si>
  <si>
    <t>18922111North-Right1</t>
  </si>
  <si>
    <t>18922111North-Right2</t>
  </si>
  <si>
    <t>18922111South-Left2</t>
  </si>
  <si>
    <t>18922111South-Left1</t>
  </si>
  <si>
    <t>18922111South-Right1</t>
  </si>
  <si>
    <t>18922111South-Right2</t>
  </si>
  <si>
    <t>Sage 16-19-18-2-1E-H3</t>
  </si>
  <si>
    <t>1822112West-Up2</t>
  </si>
  <si>
    <t>1822112West-Up1</t>
  </si>
  <si>
    <t>1822112West-Down1</t>
  </si>
  <si>
    <t>1822112West-Down2</t>
  </si>
  <si>
    <t>1822112East-Up2</t>
  </si>
  <si>
    <t>1822112East-Up1</t>
  </si>
  <si>
    <t>1822112East-Down1</t>
  </si>
  <si>
    <t>1822112East-Down2</t>
  </si>
  <si>
    <t>1822112North-Left2</t>
  </si>
  <si>
    <t>1822112North-Left1</t>
  </si>
  <si>
    <t>1822112North-Right1</t>
  </si>
  <si>
    <t>1822112North-Right2</t>
  </si>
  <si>
    <t>1822112South-Left2</t>
  </si>
  <si>
    <t>1822112South-Left1</t>
  </si>
  <si>
    <t>1822112South-Right1</t>
  </si>
  <si>
    <t>1822112South-Right2</t>
  </si>
  <si>
    <t>1822322West-Up2</t>
  </si>
  <si>
    <t>1822322West-Up1</t>
  </si>
  <si>
    <t>1822322West-Down1</t>
  </si>
  <si>
    <t>1822322West-Down2</t>
  </si>
  <si>
    <t>1822322East-Up2</t>
  </si>
  <si>
    <t>1822322East-Up1</t>
  </si>
  <si>
    <t>1822322East-Down1</t>
  </si>
  <si>
    <t>1822322East-Down2</t>
  </si>
  <si>
    <t>1822322North-Left2</t>
  </si>
  <si>
    <t>1822322North-Left1</t>
  </si>
  <si>
    <t>1822322North-Right1</t>
  </si>
  <si>
    <t>1822322North-Right2</t>
  </si>
  <si>
    <t>1822322South-Left2</t>
  </si>
  <si>
    <t>1822322South-Left1</t>
  </si>
  <si>
    <t>1822322South-Right1</t>
  </si>
  <si>
    <t>1822322South-Right2</t>
  </si>
  <si>
    <t>Ute Tribal 16-19-18-3-1E-H3</t>
  </si>
  <si>
    <t>1832112West-Up2</t>
  </si>
  <si>
    <t>1832112West-Up1</t>
  </si>
  <si>
    <t>1832112West-Down1</t>
  </si>
  <si>
    <t>1832112West-Down2</t>
  </si>
  <si>
    <t>1832112East-Up2</t>
  </si>
  <si>
    <t>1832112East-Up1</t>
  </si>
  <si>
    <t>1832112East-Down1</t>
  </si>
  <si>
    <t>1832112East-Down2</t>
  </si>
  <si>
    <t>1832112North-Left2</t>
  </si>
  <si>
    <t>1832112North-Left1</t>
  </si>
  <si>
    <t>1832112North-Right1</t>
  </si>
  <si>
    <t>1832112North-Right2</t>
  </si>
  <si>
    <t>1832112South-Left2</t>
  </si>
  <si>
    <t>1832112South-Left1</t>
  </si>
  <si>
    <t>1832112South-Right1</t>
  </si>
  <si>
    <t>1832112South-Right2</t>
  </si>
  <si>
    <t>1832422West-Up2</t>
  </si>
  <si>
    <t>1832422West-Up1</t>
  </si>
  <si>
    <t>1832422West-Down1</t>
  </si>
  <si>
    <t>1832422West-Down2</t>
  </si>
  <si>
    <t>1832422East-Up2</t>
  </si>
  <si>
    <t>1832422East-Up1</t>
  </si>
  <si>
    <t>1832422East-Down1</t>
  </si>
  <si>
    <t>1832422East-Down2</t>
  </si>
  <si>
    <t>1832422North-Left2</t>
  </si>
  <si>
    <t>1832422North-Left1</t>
  </si>
  <si>
    <t>1832422North-Right1</t>
  </si>
  <si>
    <t>1832422North-Right2</t>
  </si>
  <si>
    <t>1832422South-Left2</t>
  </si>
  <si>
    <t>1832422South-Left1</t>
  </si>
  <si>
    <t>1832422South-Right1</t>
  </si>
  <si>
    <t>1832422South-Right2</t>
  </si>
  <si>
    <t>Butcher Butte 19-134H-22</t>
  </si>
  <si>
    <t>1822222West-Up2</t>
  </si>
  <si>
    <t>Butcher Butte 19-134H-23</t>
  </si>
  <si>
    <t>1822222West-Up1</t>
  </si>
  <si>
    <t>Butcher Butte 19-134H-24</t>
  </si>
  <si>
    <t>1822222West-Down1</t>
  </si>
  <si>
    <t>Butcher Butte 19-134H-25</t>
  </si>
  <si>
    <t>1822222West-Down2</t>
  </si>
  <si>
    <t>Butcher Butte 19-134H-26</t>
  </si>
  <si>
    <t>1822222East-Up2</t>
  </si>
  <si>
    <t>Butcher Butte 19-134H-27</t>
  </si>
  <si>
    <t>1822222East-Up1</t>
  </si>
  <si>
    <t>Butcher Butte 19-134H-28</t>
  </si>
  <si>
    <t>1822222East-Down1</t>
  </si>
  <si>
    <t>Butcher Butte 19-134H-29</t>
  </si>
  <si>
    <t>1822222East-Down2</t>
  </si>
  <si>
    <t>Butcher Butte 19-134H-30</t>
  </si>
  <si>
    <t>1822222North-Left2</t>
  </si>
  <si>
    <t>Butcher Butte 19-134H-31</t>
  </si>
  <si>
    <t>1822222North-Left1</t>
  </si>
  <si>
    <t>Butcher Butte 19-134H-32</t>
  </si>
  <si>
    <t>1822222North-Right1</t>
  </si>
  <si>
    <t>Butcher Butte 19-134H-33</t>
  </si>
  <si>
    <t>1822222North-Right2</t>
  </si>
  <si>
    <t>Butcher Butte 19-134H-34</t>
  </si>
  <si>
    <t>1822222South-Left2</t>
  </si>
  <si>
    <t>Butcher Butte 19-134H-35</t>
  </si>
  <si>
    <t>1822222South-Left1</t>
  </si>
  <si>
    <t>Butcher Butte 19-134H-36</t>
  </si>
  <si>
    <t>1822222South-Right1</t>
  </si>
  <si>
    <t>Butcher Butte 19-134H-37</t>
  </si>
  <si>
    <t>1822222South-Right2</t>
  </si>
  <si>
    <t>UT 13-7 3-1-18-19-5H</t>
  </si>
  <si>
    <t>1832122West-Up2</t>
  </si>
  <si>
    <t>1832122West-Up1</t>
  </si>
  <si>
    <t>1832122West-Down1</t>
  </si>
  <si>
    <t>1832122West-Down2</t>
  </si>
  <si>
    <t>1832122East-Up2</t>
  </si>
  <si>
    <t>1832122East-Up1</t>
  </si>
  <si>
    <t>1832122East-Down1</t>
  </si>
  <si>
    <t>1832122East-Down2</t>
  </si>
  <si>
    <t>1832122North-Left2</t>
  </si>
  <si>
    <t>1832122North-Left1</t>
  </si>
  <si>
    <t>1832122North-Right1</t>
  </si>
  <si>
    <t>1832122North-Right2</t>
  </si>
  <si>
    <t>1832122South-Left2</t>
  </si>
  <si>
    <t>1832122South-Left1</t>
  </si>
  <si>
    <t>1832122South-Right1</t>
  </si>
  <si>
    <t>1832122South-Right2</t>
  </si>
  <si>
    <t>19922111West-Up2</t>
  </si>
  <si>
    <t>19922111West-Up1</t>
  </si>
  <si>
    <t>19922111West-Down1</t>
  </si>
  <si>
    <t>19922111West-Down2</t>
  </si>
  <si>
    <t>19922111East-Up2</t>
  </si>
  <si>
    <t>19922111East-Up1</t>
  </si>
  <si>
    <t>19922111East-Down1</t>
  </si>
  <si>
    <t>19922111East-Down2</t>
  </si>
  <si>
    <t>19922111North-Left2</t>
  </si>
  <si>
    <t>19922111North-Left1</t>
  </si>
  <si>
    <t>19922111North-Right1</t>
  </si>
  <si>
    <t>19922111North-Right2</t>
  </si>
  <si>
    <t>19922111South-Left2</t>
  </si>
  <si>
    <t>19922111South-Left1</t>
  </si>
  <si>
    <t>19922111South-Right1</t>
  </si>
  <si>
    <t>19922111South-Right2</t>
  </si>
  <si>
    <t>1922112West-Up2</t>
  </si>
  <si>
    <t>1922112West-Up1</t>
  </si>
  <si>
    <t>1922112West-Down1</t>
  </si>
  <si>
    <t>1922112West-Down2</t>
  </si>
  <si>
    <t>1922112East-Up2</t>
  </si>
  <si>
    <t>1922112East-Up1</t>
  </si>
  <si>
    <t>1922112East-Down1</t>
  </si>
  <si>
    <t>1922112East-Down2</t>
  </si>
  <si>
    <t>1922112North-Left2</t>
  </si>
  <si>
    <t>1922112North-Left1</t>
  </si>
  <si>
    <t>1922112North-Right1</t>
  </si>
  <si>
    <t>1922112North-Right2</t>
  </si>
  <si>
    <t>1922112South-Left2</t>
  </si>
  <si>
    <t>1922112South-Left1</t>
  </si>
  <si>
    <t>1922112South-Right1</t>
  </si>
  <si>
    <t>1922112South-Right2</t>
  </si>
  <si>
    <t>Butcher Butte 20-74EWH-23</t>
  </si>
  <si>
    <t>1922322West-Up2</t>
  </si>
  <si>
    <t>1922322West-Up1</t>
  </si>
  <si>
    <t>1922322West-Down1</t>
  </si>
  <si>
    <t>1922322West-Down2</t>
  </si>
  <si>
    <t>1922322East-Up2</t>
  </si>
  <si>
    <t>1922322East-Up1</t>
  </si>
  <si>
    <t>1922322East-Down1</t>
  </si>
  <si>
    <t>1922322East-Down2</t>
  </si>
  <si>
    <t>1922322North-Left2</t>
  </si>
  <si>
    <t>1922322North-Left1</t>
  </si>
  <si>
    <t>1922322North-Right1</t>
  </si>
  <si>
    <t>1922322North-Right2</t>
  </si>
  <si>
    <t>1922322South-Left2</t>
  </si>
  <si>
    <t>1922322South-Left1</t>
  </si>
  <si>
    <t>1922322South-Right1</t>
  </si>
  <si>
    <t>1922322South-Right2</t>
  </si>
  <si>
    <t>1932112West-Up2</t>
  </si>
  <si>
    <t>1932112West-Up1</t>
  </si>
  <si>
    <t>1932112West-Down1</t>
  </si>
  <si>
    <t>1932112West-Down2</t>
  </si>
  <si>
    <t>1932112East-Up2</t>
  </si>
  <si>
    <t>1932112East-Up1</t>
  </si>
  <si>
    <t>1932112East-Down1</t>
  </si>
  <si>
    <t>1932112East-Down2</t>
  </si>
  <si>
    <t>1932112North-Left2</t>
  </si>
  <si>
    <t>1932112North-Left1</t>
  </si>
  <si>
    <t>1932112North-Right1</t>
  </si>
  <si>
    <t>1932112North-Right2</t>
  </si>
  <si>
    <t>1932112South-Left2</t>
  </si>
  <si>
    <t>1932112South-Left1</t>
  </si>
  <si>
    <t>1932112South-Right1</t>
  </si>
  <si>
    <t>1932112South-Right2</t>
  </si>
  <si>
    <t>Deep Creek Tribal 19-08A-3-2E</t>
  </si>
  <si>
    <t>1932212West-Up2</t>
  </si>
  <si>
    <t>1932212West-Up1</t>
  </si>
  <si>
    <t>1932212West-Down1</t>
  </si>
  <si>
    <t>1932212West-Down2</t>
  </si>
  <si>
    <t>1932212East-Up2</t>
  </si>
  <si>
    <t>1932212East-Up1</t>
  </si>
  <si>
    <t>1932212East-Down1</t>
  </si>
  <si>
    <t>1932212East-Down2</t>
  </si>
  <si>
    <t>1932212North-Left2</t>
  </si>
  <si>
    <t>1932212North-Left1</t>
  </si>
  <si>
    <t>1932212North-Right1</t>
  </si>
  <si>
    <t>1932212North-Right2</t>
  </si>
  <si>
    <t>1932212South-Left2</t>
  </si>
  <si>
    <t>1932212South-Left1</t>
  </si>
  <si>
    <t>1932212South-Right1</t>
  </si>
  <si>
    <t>1932212South-Right2</t>
  </si>
  <si>
    <t>Lamb 1-19-3-1</t>
  </si>
  <si>
    <t>1932122West-Up2</t>
  </si>
  <si>
    <t>1932122West-Up1</t>
  </si>
  <si>
    <t>1932122West-Down1</t>
  </si>
  <si>
    <t>1932122West-Down2</t>
  </si>
  <si>
    <t>1932122East-Up2</t>
  </si>
  <si>
    <t>1932122East-Up1</t>
  </si>
  <si>
    <t>1932122East-Down1</t>
  </si>
  <si>
    <t>1932122East-Down2</t>
  </si>
  <si>
    <t>1932122North-Left2</t>
  </si>
  <si>
    <t>1932122North-Left1</t>
  </si>
  <si>
    <t>1932122North-Right1</t>
  </si>
  <si>
    <t>1932122North-Right2</t>
  </si>
  <si>
    <t>1932122South-Left2</t>
  </si>
  <si>
    <t>1932122South-Left1</t>
  </si>
  <si>
    <t>1932122South-Right1</t>
  </si>
  <si>
    <t>1932122South-Right2</t>
  </si>
  <si>
    <t>1922222West-Up2</t>
  </si>
  <si>
    <t>1922222West-Up1</t>
  </si>
  <si>
    <t>1922222West-Down1</t>
  </si>
  <si>
    <t>1922222West-Down2</t>
  </si>
  <si>
    <t>1922222East-Up2</t>
  </si>
  <si>
    <t>1922222East-Up1</t>
  </si>
  <si>
    <t>1922222East-Down1</t>
  </si>
  <si>
    <t>1922222East-Down2</t>
  </si>
  <si>
    <t>1922222North-Left2</t>
  </si>
  <si>
    <t>1922222North-Left1</t>
  </si>
  <si>
    <t>1922222North-Right1</t>
  </si>
  <si>
    <t>1922222North-Right2</t>
  </si>
  <si>
    <t>1922222South-Left2</t>
  </si>
  <si>
    <t>1922222South-Left1</t>
  </si>
  <si>
    <t>1922222South-Right1</t>
  </si>
  <si>
    <t>1922222South-Right2</t>
  </si>
  <si>
    <t>Bagley 4-19C4</t>
  </si>
  <si>
    <t>1932422West-Up2</t>
  </si>
  <si>
    <t>1932422West-Up1</t>
  </si>
  <si>
    <t>1932422West-Down1</t>
  </si>
  <si>
    <t>1932422West-Down2</t>
  </si>
  <si>
    <t>1932422East-Up2</t>
  </si>
  <si>
    <t>1932422East-Up1</t>
  </si>
  <si>
    <t>1932422East-Down1</t>
  </si>
  <si>
    <t>1932422East-Down2</t>
  </si>
  <si>
    <t>1932422North-Left2</t>
  </si>
  <si>
    <t>1932422North-Left1</t>
  </si>
  <si>
    <t>1932422North-Right1</t>
  </si>
  <si>
    <t>1932422North-Right2</t>
  </si>
  <si>
    <t>1932422South-Left2</t>
  </si>
  <si>
    <t>1932422South-Left1</t>
  </si>
  <si>
    <t>1932422South-Right1</t>
  </si>
  <si>
    <t>20722011West-Up2</t>
  </si>
  <si>
    <t>20722011West-Up1</t>
  </si>
  <si>
    <t>20722011West-Down1</t>
  </si>
  <si>
    <t>20722011West-Down2</t>
  </si>
  <si>
    <t>20722011East-Up2</t>
  </si>
  <si>
    <t>20722011East-Up1</t>
  </si>
  <si>
    <t>20722011East-Down1</t>
  </si>
  <si>
    <t>20722011East-Down2</t>
  </si>
  <si>
    <t>20722011North-Left2</t>
  </si>
  <si>
    <t>20722011North-Left1</t>
  </si>
  <si>
    <t>20722011North-Right1</t>
  </si>
  <si>
    <t>20722011North-Right2</t>
  </si>
  <si>
    <t>20722011South-Left2</t>
  </si>
  <si>
    <t>20722011South-Left1</t>
  </si>
  <si>
    <t>20722011South-Right1</t>
  </si>
  <si>
    <t>20722011South-Right2</t>
  </si>
  <si>
    <t>2022322West-Up2</t>
  </si>
  <si>
    <t>2022322West-Up1</t>
  </si>
  <si>
    <t>2022322West-Down1</t>
  </si>
  <si>
    <t>2022322West-Down2</t>
  </si>
  <si>
    <t>2022322East-Up2</t>
  </si>
  <si>
    <t>2022322East-Up1</t>
  </si>
  <si>
    <t>2022322East-Down1</t>
  </si>
  <si>
    <t>2022322East-Down2</t>
  </si>
  <si>
    <t>2022322North-Left2</t>
  </si>
  <si>
    <t>2022322North-Left1</t>
  </si>
  <si>
    <t>2022322North-Right1</t>
  </si>
  <si>
    <t>2022322North-Right2</t>
  </si>
  <si>
    <t>2022322South-Left2</t>
  </si>
  <si>
    <t>2022322South-Left1</t>
  </si>
  <si>
    <t>2022322South-Right1</t>
  </si>
  <si>
    <t>2022322South-Right2</t>
  </si>
  <si>
    <t>RD TRIBAL 17S-31E-H7UB</t>
  </si>
  <si>
    <t>2032112West-Up2</t>
  </si>
  <si>
    <t>2032112West-Up1</t>
  </si>
  <si>
    <t>2032112West-Down1</t>
  </si>
  <si>
    <t>2032112West-Down2</t>
  </si>
  <si>
    <t>2032112East-Up2</t>
  </si>
  <si>
    <t>2032112East-Up1</t>
  </si>
  <si>
    <t>2032112East-Down1</t>
  </si>
  <si>
    <t>2032112East-Down2</t>
  </si>
  <si>
    <t>2032112North-Left2</t>
  </si>
  <si>
    <t>2032112North-Left1</t>
  </si>
  <si>
    <t>2032112North-Right1</t>
  </si>
  <si>
    <t>2032112North-Right2</t>
  </si>
  <si>
    <t>2032112South-Left2</t>
  </si>
  <si>
    <t>2032112South-Left1</t>
  </si>
  <si>
    <t>2032112South-Right1</t>
  </si>
  <si>
    <t>2032112South-Right2</t>
  </si>
  <si>
    <t>2032222West-Up2</t>
  </si>
  <si>
    <t>2032222West-Up1</t>
  </si>
  <si>
    <t>2032222West-Down1</t>
  </si>
  <si>
    <t>2032222West-Down2</t>
  </si>
  <si>
    <t>2032222East-Up2</t>
  </si>
  <si>
    <t>2032222East-Up1</t>
  </si>
  <si>
    <t>2032222East-Down1</t>
  </si>
  <si>
    <t>2032222East-Down2</t>
  </si>
  <si>
    <t>2032222North-Left2</t>
  </si>
  <si>
    <t>2032222North-Left1</t>
  </si>
  <si>
    <t>2032222North-Right1</t>
  </si>
  <si>
    <t>2032222North-Right2</t>
  </si>
  <si>
    <t>2032222South-Left2</t>
  </si>
  <si>
    <t>2032222South-Left1</t>
  </si>
  <si>
    <t>2032222South-Right1</t>
  </si>
  <si>
    <t>2032222South-Right2</t>
  </si>
  <si>
    <t>2022112West-Up2</t>
  </si>
  <si>
    <t>2022112West-Up1</t>
  </si>
  <si>
    <t>2022112West-Down1</t>
  </si>
  <si>
    <t>2022112West-Down2</t>
  </si>
  <si>
    <t>2022112East-Up2</t>
  </si>
  <si>
    <t>2022112East-Up1</t>
  </si>
  <si>
    <t>2022112East-Down1</t>
  </si>
  <si>
    <t>2022112East-Down2</t>
  </si>
  <si>
    <t>2022112North-Left2</t>
  </si>
  <si>
    <t>2022112North-Left1</t>
  </si>
  <si>
    <t>2022112North-Right1</t>
  </si>
  <si>
    <t>2022112North-Right2</t>
  </si>
  <si>
    <t>2022112South-Left2</t>
  </si>
  <si>
    <t>2022112South-Left1</t>
  </si>
  <si>
    <t>2022112South-Right1</t>
  </si>
  <si>
    <t>2022112South-Right2</t>
  </si>
  <si>
    <t>21722011West-Up2</t>
  </si>
  <si>
    <t>21722011West-Up1</t>
  </si>
  <si>
    <t>21722011West-Down1</t>
  </si>
  <si>
    <t>21722011West-Down2</t>
  </si>
  <si>
    <t>21722011East-Up2</t>
  </si>
  <si>
    <t>21722011East-Up1</t>
  </si>
  <si>
    <t>21722011East-Down1</t>
  </si>
  <si>
    <t>21722011East-Down2</t>
  </si>
  <si>
    <t xml:space="preserve">  </t>
  </si>
  <si>
    <t>21722011North-Left2</t>
  </si>
  <si>
    <t>21722011North-Left1</t>
  </si>
  <si>
    <t>21722011North-Right1</t>
  </si>
  <si>
    <t>21722011North-Right2</t>
  </si>
  <si>
    <t>21722011South-Left2</t>
  </si>
  <si>
    <t>21722011South-Left1</t>
  </si>
  <si>
    <t>21722011South-Right1</t>
  </si>
  <si>
    <t>21722011South-Right2</t>
  </si>
  <si>
    <t>Baeser Federal 21-13-7-21</t>
  </si>
  <si>
    <t>21722111West-Up2</t>
  </si>
  <si>
    <t>21722111West-Up1</t>
  </si>
  <si>
    <t>21722111West-Down1</t>
  </si>
  <si>
    <t>21722111West-Down2</t>
  </si>
  <si>
    <t>21722111East-Up2</t>
  </si>
  <si>
    <t>21722111East-Up1</t>
  </si>
  <si>
    <t>21722111East-Down1</t>
  </si>
  <si>
    <t>21722111East-Down2</t>
  </si>
  <si>
    <t>21722111North-Left2</t>
  </si>
  <si>
    <t>21722111North-Left1</t>
  </si>
  <si>
    <t>21722111North-Right1</t>
  </si>
  <si>
    <t>21722111North-Right2</t>
  </si>
  <si>
    <t>21722111South-Left2</t>
  </si>
  <si>
    <t>21722111South-Left1</t>
  </si>
  <si>
    <t>21722111South-Right1</t>
  </si>
  <si>
    <t>21722111South-Right2</t>
  </si>
  <si>
    <t>Butcher Butte 16-101H-21</t>
  </si>
  <si>
    <t>2122122West-Up2</t>
  </si>
  <si>
    <t>2122122West-Up1</t>
  </si>
  <si>
    <t>2122122West-Down1</t>
  </si>
  <si>
    <t>2122122West-Down2</t>
  </si>
  <si>
    <t>2122122East-Up2</t>
  </si>
  <si>
    <t>2122122East-Up1</t>
  </si>
  <si>
    <t>2122122East-Down1</t>
  </si>
  <si>
    <t>2122122East-Down2</t>
  </si>
  <si>
    <t>2122122North-Left2</t>
  </si>
  <si>
    <t>2122122North-Left1</t>
  </si>
  <si>
    <t>2122122North-Right1</t>
  </si>
  <si>
    <t>2122122North-Right2</t>
  </si>
  <si>
    <t>2122122South-Left2</t>
  </si>
  <si>
    <t>2122122South-Left1</t>
  </si>
  <si>
    <t>2122122South-Right1</t>
  </si>
  <si>
    <t>2122122South-Right2</t>
  </si>
  <si>
    <t>Butcher Butte 22-54EWH-23</t>
  </si>
  <si>
    <t>2122322West-Up2</t>
  </si>
  <si>
    <t>2122322West-Up1</t>
  </si>
  <si>
    <t>2122322West-Down1</t>
  </si>
  <si>
    <t>2122322West-Down2</t>
  </si>
  <si>
    <t>2122322East-Up2</t>
  </si>
  <si>
    <t>2122322East-Up1</t>
  </si>
  <si>
    <t>2122322East-Down1</t>
  </si>
  <si>
    <t>2122322East-Down2</t>
  </si>
  <si>
    <t>2122322North-Left2</t>
  </si>
  <si>
    <t>2122322North-Left1</t>
  </si>
  <si>
    <t>2122322North-Right1</t>
  </si>
  <si>
    <t>2122322North-Right2</t>
  </si>
  <si>
    <t>2122322South-Left2</t>
  </si>
  <si>
    <t>2122322South-Left1</t>
  </si>
  <si>
    <t>2122322South-Right1</t>
  </si>
  <si>
    <t>2122322South-Right2</t>
  </si>
  <si>
    <t>2132122West-Up2</t>
  </si>
  <si>
    <t>2132122West-Up1</t>
  </si>
  <si>
    <t>2132122West-Down1</t>
  </si>
  <si>
    <t>2132122West-Down2</t>
  </si>
  <si>
    <t>2132122East-Up2</t>
  </si>
  <si>
    <t>2132122East-Up1</t>
  </si>
  <si>
    <t>2132122East-Down1</t>
  </si>
  <si>
    <t>2132122East-Down2</t>
  </si>
  <si>
    <t>2132122North-Left2</t>
  </si>
  <si>
    <t>2132122North-Left1</t>
  </si>
  <si>
    <t>2132122North-Right1</t>
  </si>
  <si>
    <t>2132122North-Right2</t>
  </si>
  <si>
    <t>2132122South-Left2</t>
  </si>
  <si>
    <t>2132122South-Left1</t>
  </si>
  <si>
    <t>2132122South-Right1</t>
  </si>
  <si>
    <t>2132122South-Right2</t>
  </si>
  <si>
    <t>2132222West-Up2</t>
  </si>
  <si>
    <t>2132222West-Up1</t>
  </si>
  <si>
    <t>2132222West-Down1</t>
  </si>
  <si>
    <t>2132222West-Down2</t>
  </si>
  <si>
    <t>2132222East-Up2</t>
  </si>
  <si>
    <t>2132222East-Up1</t>
  </si>
  <si>
    <t>2132222East-Down1</t>
  </si>
  <si>
    <t>2132222East-Down2</t>
  </si>
  <si>
    <t>2132222North-Left2</t>
  </si>
  <si>
    <t>2132222North-Left1</t>
  </si>
  <si>
    <t>2132222North-Right1</t>
  </si>
  <si>
    <t>2132222North-Right2</t>
  </si>
  <si>
    <t>2132222South-Left2</t>
  </si>
  <si>
    <t>2132222South-Left1</t>
  </si>
  <si>
    <t>2132222South-Right1</t>
  </si>
  <si>
    <t>2132222South-Right2</t>
  </si>
  <si>
    <t>EP Energy 8-22-21-C4-3H</t>
  </si>
  <si>
    <t>2132422West-Up2</t>
  </si>
  <si>
    <t>2132422West-Up1</t>
  </si>
  <si>
    <t>2132422West-Down1</t>
  </si>
  <si>
    <t>2132422West-Down2</t>
  </si>
  <si>
    <t>2132422East-Up2</t>
  </si>
  <si>
    <t>2132422East-Up1</t>
  </si>
  <si>
    <t>2132422East-Down1</t>
  </si>
  <si>
    <t>2132422East-Down2</t>
  </si>
  <si>
    <t>2132422North-Left2</t>
  </si>
  <si>
    <t>2132422North-Left1</t>
  </si>
  <si>
    <t>2132422North-Right1</t>
  </si>
  <si>
    <t>2132422North-Right2</t>
  </si>
  <si>
    <t>2132422South-Left2</t>
  </si>
  <si>
    <t>2132422South-Left1</t>
  </si>
  <si>
    <t>2132422South-Right1</t>
  </si>
  <si>
    <t>2132422South-Right2</t>
  </si>
  <si>
    <t>Hutchins-Chiodo 12-21-22-C5-3H</t>
  </si>
  <si>
    <t>2132522West-Up2</t>
  </si>
  <si>
    <t>2132522West-Up1</t>
  </si>
  <si>
    <t>2132522West-Down1</t>
  </si>
  <si>
    <t>2132522West-Down2</t>
  </si>
  <si>
    <t>2132522East-Up2</t>
  </si>
  <si>
    <t>2132522East-Up1</t>
  </si>
  <si>
    <t>2132522East-Down1</t>
  </si>
  <si>
    <t>2132522East-Down2</t>
  </si>
  <si>
    <t>2132522North-Left2</t>
  </si>
  <si>
    <t>2132522North-Left1</t>
  </si>
  <si>
    <t>2132522North-Right1</t>
  </si>
  <si>
    <t>2132522North-Right2</t>
  </si>
  <si>
    <t>2132522South-Left2</t>
  </si>
  <si>
    <t>2132522South-Left1</t>
  </si>
  <si>
    <t>2132522South-Right1</t>
  </si>
  <si>
    <t>2132522South-Right2</t>
  </si>
  <si>
    <t>2132112West-Up2</t>
  </si>
  <si>
    <t>2132112West-Up1</t>
  </si>
  <si>
    <t>2132112West-Down1</t>
  </si>
  <si>
    <t>2132112West-Down2</t>
  </si>
  <si>
    <t>2132112East-Up2</t>
  </si>
  <si>
    <t>2132112East-Up1</t>
  </si>
  <si>
    <t>2132112East-Down1</t>
  </si>
  <si>
    <t>2132112East-Down2</t>
  </si>
  <si>
    <t>2132112North-Left2</t>
  </si>
  <si>
    <t>2132112North-Left1</t>
  </si>
  <si>
    <t>2132112North-Right1</t>
  </si>
  <si>
    <t>2132112North-Right2</t>
  </si>
  <si>
    <t>2132112South-Left2</t>
  </si>
  <si>
    <t>2132112South-Left1</t>
  </si>
  <si>
    <t>2132112South-Right1</t>
  </si>
  <si>
    <t>2132112South-Right2</t>
  </si>
  <si>
    <t>2222122West-Up2</t>
  </si>
  <si>
    <t>2222122West-Up1</t>
  </si>
  <si>
    <t>2222122West-Down1</t>
  </si>
  <si>
    <t>2222122West-Down2</t>
  </si>
  <si>
    <t>2222122East-Up2</t>
  </si>
  <si>
    <t>2222122East-Up1</t>
  </si>
  <si>
    <t>2222122East-Down1</t>
  </si>
  <si>
    <t>2222122East-Down2</t>
  </si>
  <si>
    <t>2222122North-Left2</t>
  </si>
  <si>
    <t>2222122North-Left1</t>
  </si>
  <si>
    <t>2222122North-Right1</t>
  </si>
  <si>
    <t>2222122North-Right2</t>
  </si>
  <si>
    <t>2222122South-Left2</t>
  </si>
  <si>
    <t>2222122South-Left1</t>
  </si>
  <si>
    <t>2222122South-Right1</t>
  </si>
  <si>
    <t>2222122South-Right2</t>
  </si>
  <si>
    <t>Butcher Butte 23-61EWH-23</t>
  </si>
  <si>
    <t>2222322West-Up2</t>
  </si>
  <si>
    <t>2222322West-Up1</t>
  </si>
  <si>
    <t>2222322West-Down1</t>
  </si>
  <si>
    <t>2222322West-Down2</t>
  </si>
  <si>
    <t>2222322East-Up2</t>
  </si>
  <si>
    <t>2222322East-Up1</t>
  </si>
  <si>
    <t>2222322East-Down1</t>
  </si>
  <si>
    <t>2222322East-Down2</t>
  </si>
  <si>
    <t>2222322North-Left2</t>
  </si>
  <si>
    <t>2222322North-Left1</t>
  </si>
  <si>
    <t>2222322North-Right1</t>
  </si>
  <si>
    <t>2222322North-Right2</t>
  </si>
  <si>
    <t>2222322South-Left2</t>
  </si>
  <si>
    <t>2222322South-Left1</t>
  </si>
  <si>
    <t>2222322South-Right1</t>
  </si>
  <si>
    <t>2222322South-Right2</t>
  </si>
  <si>
    <t>2232122West-Up2</t>
  </si>
  <si>
    <t>2232122West-Up1</t>
  </si>
  <si>
    <t>2232122West-Down1</t>
  </si>
  <si>
    <t>2232122West-Down2</t>
  </si>
  <si>
    <t>2232122East-Up2</t>
  </si>
  <si>
    <t>2232122East-Up1</t>
  </si>
  <si>
    <t>2232122East-Down1</t>
  </si>
  <si>
    <t>2232122East-Down2</t>
  </si>
  <si>
    <t>2232122North-Left2</t>
  </si>
  <si>
    <t>2232122North-Left1</t>
  </si>
  <si>
    <t>2232122North-Right1</t>
  </si>
  <si>
    <t>2232122North-Right2</t>
  </si>
  <si>
    <t>2232122South-Left2</t>
  </si>
  <si>
    <t>2232122South-Left1</t>
  </si>
  <si>
    <t>2232122South-Right1</t>
  </si>
  <si>
    <t>2232122South-Right2</t>
  </si>
  <si>
    <t>2232422West-Up2</t>
  </si>
  <si>
    <t>2232422West-Up1</t>
  </si>
  <si>
    <t>2232422West-Down1</t>
  </si>
  <si>
    <t>2232422West-Down2</t>
  </si>
  <si>
    <t>2232422East-Up2</t>
  </si>
  <si>
    <t>2232422East-Up1</t>
  </si>
  <si>
    <t>2232422East-Down1</t>
  </si>
  <si>
    <t>2232422East-Down2</t>
  </si>
  <si>
    <t>2232422North-Left2</t>
  </si>
  <si>
    <t>2232422North-Left1</t>
  </si>
  <si>
    <t>2232422North-Right1</t>
  </si>
  <si>
    <t>2232422North-Right2</t>
  </si>
  <si>
    <t>2232422South-Left2</t>
  </si>
  <si>
    <t>2232422South-Left1</t>
  </si>
  <si>
    <t>2232422South-Right1</t>
  </si>
  <si>
    <t>2232422South-Right2</t>
  </si>
  <si>
    <t>2232522West-Up2</t>
  </si>
  <si>
    <t>2232522West-Up1</t>
  </si>
  <si>
    <t>2232522West-Down1</t>
  </si>
  <si>
    <t>2232522West-Down2</t>
  </si>
  <si>
    <t>2232522East-Up2</t>
  </si>
  <si>
    <t>2232522East-Up1</t>
  </si>
  <si>
    <t>2232522East-Down1</t>
  </si>
  <si>
    <t>2232522East-Down2</t>
  </si>
  <si>
    <t>2232522North-Left2</t>
  </si>
  <si>
    <t>2232522North-Left1</t>
  </si>
  <si>
    <t>2232522North-Right1</t>
  </si>
  <si>
    <t>2232522North-Right2</t>
  </si>
  <si>
    <t>2232522South-Left2</t>
  </si>
  <si>
    <t>2232522South-Left1</t>
  </si>
  <si>
    <t>2232522South-Right1</t>
  </si>
  <si>
    <t>2232522South-Right2</t>
  </si>
  <si>
    <t>2232112West-Up2</t>
  </si>
  <si>
    <t>2232112West-Up1</t>
  </si>
  <si>
    <t>2232112West-Down1</t>
  </si>
  <si>
    <t>2232112West-Down2</t>
  </si>
  <si>
    <t>2232112East-Up2</t>
  </si>
  <si>
    <t>2232112East-Up1</t>
  </si>
  <si>
    <t>2232112East-Down1</t>
  </si>
  <si>
    <t>2232112East-Down2</t>
  </si>
  <si>
    <t>2232112North-Left2</t>
  </si>
  <si>
    <t>2232112North-Left1</t>
  </si>
  <si>
    <t>2232112North-Right1</t>
  </si>
  <si>
    <t>2232112North-Right2</t>
  </si>
  <si>
    <t>2232112South-Left2</t>
  </si>
  <si>
    <t>2232112South-Left1</t>
  </si>
  <si>
    <t>2232112South-Right1</t>
  </si>
  <si>
    <t>2232112South-Right2</t>
  </si>
  <si>
    <t>Rainbow 11-24-31-23</t>
  </si>
  <si>
    <t>231122411West-Up2</t>
  </si>
  <si>
    <t>231122411West-Up1</t>
  </si>
  <si>
    <t>231122411West-Down1</t>
  </si>
  <si>
    <t>231122411West-Down2</t>
  </si>
  <si>
    <t>231122411East-Up2</t>
  </si>
  <si>
    <t>231122411East-Up1</t>
  </si>
  <si>
    <t>231122411East-Down1</t>
  </si>
  <si>
    <t>231122411East-Down2</t>
  </si>
  <si>
    <t>231122411North-Left2</t>
  </si>
  <si>
    <t>231122411North-Left1</t>
  </si>
  <si>
    <t>231122411North-Right1</t>
  </si>
  <si>
    <t>231122411North-Right2</t>
  </si>
  <si>
    <t>231122411South-Left2</t>
  </si>
  <si>
    <t>231122411South-Left1</t>
  </si>
  <si>
    <t>231122411South-Right1</t>
  </si>
  <si>
    <t>231122411South-Right2</t>
  </si>
  <si>
    <t>23722011West-Up2</t>
  </si>
  <si>
    <t>23722011West-Up1</t>
  </si>
  <si>
    <t>23722011West-Down1</t>
  </si>
  <si>
    <t>23722011West-Down2</t>
  </si>
  <si>
    <t>23722011East-Up2</t>
  </si>
  <si>
    <t>23722011East-Up1</t>
  </si>
  <si>
    <t>23722011East-Down1</t>
  </si>
  <si>
    <t>23722011East-Down2</t>
  </si>
  <si>
    <t>23722011North-Left2</t>
  </si>
  <si>
    <t>23722011North-Left1</t>
  </si>
  <si>
    <t>23722011North-Right1</t>
  </si>
  <si>
    <t>23722011North-Right2</t>
  </si>
  <si>
    <t>23722011South-Left2</t>
  </si>
  <si>
    <t>23722011South-Left1</t>
  </si>
  <si>
    <t>23722011South-Right1</t>
  </si>
  <si>
    <t>23722011South-Right2</t>
  </si>
  <si>
    <t>2322322West-Up2</t>
  </si>
  <si>
    <t>2322322West-Up1</t>
  </si>
  <si>
    <t>2322322West-Down1</t>
  </si>
  <si>
    <t>2322322West-Down2</t>
  </si>
  <si>
    <t>2322322East-Up2</t>
  </si>
  <si>
    <t>2322322East-Up1</t>
  </si>
  <si>
    <t>2322322East-Down1</t>
  </si>
  <si>
    <t>2322322East-Down2</t>
  </si>
  <si>
    <t>2322322North-Left2</t>
  </si>
  <si>
    <t>2322322North-Left1</t>
  </si>
  <si>
    <t>2322322North-Right1</t>
  </si>
  <si>
    <t>2322322North-Right2</t>
  </si>
  <si>
    <t>2322322South-Left2</t>
  </si>
  <si>
    <t>2322322South-Left1</t>
  </si>
  <si>
    <t>2322322South-Right1</t>
  </si>
  <si>
    <t>2322322South-Right2</t>
  </si>
  <si>
    <t>Myton City UT 16-23 3-2-26-35-1H</t>
  </si>
  <si>
    <t>2332222West-Up2</t>
  </si>
  <si>
    <t>2332222West-Up1</t>
  </si>
  <si>
    <t>2332222West-Down1</t>
  </si>
  <si>
    <t>2332222West-Down2</t>
  </si>
  <si>
    <t>2332222East-Up2</t>
  </si>
  <si>
    <t>2332222East-Up1</t>
  </si>
  <si>
    <t>2332222East-Down1</t>
  </si>
  <si>
    <t>2332222East-Down2</t>
  </si>
  <si>
    <t>2332222North-Left2</t>
  </si>
  <si>
    <t>2332222North-Left1</t>
  </si>
  <si>
    <t>2332222North-Right1</t>
  </si>
  <si>
    <t>2332222North-Right2</t>
  </si>
  <si>
    <t>2332222South-Left2</t>
  </si>
  <si>
    <t>2332222South-Left1</t>
  </si>
  <si>
    <t>2332222South-Right1</t>
  </si>
  <si>
    <t>2332222South-Right2</t>
  </si>
  <si>
    <t>2332422West-Up2</t>
  </si>
  <si>
    <t>2332422West-Up1</t>
  </si>
  <si>
    <t>2332422West-Down1</t>
  </si>
  <si>
    <t>2332422West-Down2</t>
  </si>
  <si>
    <t>2332422East-Up2</t>
  </si>
  <si>
    <t>2332422East-Up1</t>
  </si>
  <si>
    <t>2332422East-Down1</t>
  </si>
  <si>
    <t>2332422East-Down2</t>
  </si>
  <si>
    <t>2332422North-Left2</t>
  </si>
  <si>
    <t>2332422North-Left1</t>
  </si>
  <si>
    <t>2332422North-Right1</t>
  </si>
  <si>
    <t>2332422North-Right2</t>
  </si>
  <si>
    <t>2332422South-Left2</t>
  </si>
  <si>
    <t>2332422South-Left1</t>
  </si>
  <si>
    <t>2332422South-Right1</t>
  </si>
  <si>
    <t>2332422South-Right2</t>
  </si>
  <si>
    <t>MOOSE HOLLOW 9-24-23-C5-6H</t>
  </si>
  <si>
    <t>2332522West-Up2</t>
  </si>
  <si>
    <t>2332522West-Up1</t>
  </si>
  <si>
    <t>2332522West-Down1</t>
  </si>
  <si>
    <t>2332522West-Down2</t>
  </si>
  <si>
    <t>2332522East-Up2</t>
  </si>
  <si>
    <t>2332522East-Up1</t>
  </si>
  <si>
    <t>2332522East-Down1</t>
  </si>
  <si>
    <t>2332522East-Down2</t>
  </si>
  <si>
    <t>2332522North-Left2</t>
  </si>
  <si>
    <t>2332522North-Left1</t>
  </si>
  <si>
    <t>2332522North-Right1</t>
  </si>
  <si>
    <t>2332522North-Right2</t>
  </si>
  <si>
    <t>2332522South-Left2</t>
  </si>
  <si>
    <t>2332522South-Left1</t>
  </si>
  <si>
    <t>2332522South-Right1</t>
  </si>
  <si>
    <t>2332522South-Right2</t>
  </si>
  <si>
    <t>GILDED LADY 55-2635-21S</t>
  </si>
  <si>
    <t>2322122West-Up2</t>
  </si>
  <si>
    <t>2322122West-Up1</t>
  </si>
  <si>
    <t>2322122West-Down1</t>
  </si>
  <si>
    <t>2322122West-Down2</t>
  </si>
  <si>
    <t>2322122East-Up2</t>
  </si>
  <si>
    <t>2322122East-Up1</t>
  </si>
  <si>
    <t>2322122East-Down1</t>
  </si>
  <si>
    <t>2322122East-Down2</t>
  </si>
  <si>
    <t>2322122North-Left2</t>
  </si>
  <si>
    <t>2322122North-Left1</t>
  </si>
  <si>
    <t>2322122North-Right1</t>
  </si>
  <si>
    <t>2322122North-Right2</t>
  </si>
  <si>
    <t>2322122South-Left2</t>
  </si>
  <si>
    <t>2322122South-Left1</t>
  </si>
  <si>
    <t>2322122South-Right1</t>
  </si>
  <si>
    <t>2322122South-Right2</t>
  </si>
  <si>
    <t>Gooseneck Tribal 23-02-4-2E</t>
  </si>
  <si>
    <t>2342212West-Up2</t>
  </si>
  <si>
    <t>2342212West-Up1</t>
  </si>
  <si>
    <t>2342212West-Down1</t>
  </si>
  <si>
    <t>2342212West-Down2</t>
  </si>
  <si>
    <t>2342212East-Up2</t>
  </si>
  <si>
    <t>2342212East-Up1</t>
  </si>
  <si>
    <t>2342212East-Down1</t>
  </si>
  <si>
    <t>2342212East-Down2</t>
  </si>
  <si>
    <t>2342212North-Left2</t>
  </si>
  <si>
    <t>2342212North-Left1</t>
  </si>
  <si>
    <t>2342212North-Right1</t>
  </si>
  <si>
    <t>2342212North-Right2</t>
  </si>
  <si>
    <t>2342212South-Left2</t>
  </si>
  <si>
    <t>2342212South-Left1</t>
  </si>
  <si>
    <t>2342212South-Right1</t>
  </si>
  <si>
    <t>2342212South-Right2</t>
  </si>
  <si>
    <t>2422322West-Up2</t>
  </si>
  <si>
    <t>2422322West-Up1</t>
  </si>
  <si>
    <t>2422322West-Down1</t>
  </si>
  <si>
    <t>2422322West-Down2</t>
  </si>
  <si>
    <t>2422322East-Up2</t>
  </si>
  <si>
    <t>2422322East-Up1</t>
  </si>
  <si>
    <t>2422322East-Down1</t>
  </si>
  <si>
    <t>2422322East-Down2</t>
  </si>
  <si>
    <t>2422322North-Left2</t>
  </si>
  <si>
    <t>2422322North-Left1</t>
  </si>
  <si>
    <t>2422322North-Right1</t>
  </si>
  <si>
    <t>2422322North-Right2</t>
  </si>
  <si>
    <t>2422322South-Left2</t>
  </si>
  <si>
    <t>2422322South-Left1</t>
  </si>
  <si>
    <t>2422322South-Right1</t>
  </si>
  <si>
    <t>2422322South-Right2</t>
  </si>
  <si>
    <t>Meacham Tribal 14-24-13-3-1W-H1</t>
  </si>
  <si>
    <t>2432122West-Up2</t>
  </si>
  <si>
    <t>2432122West-Up1</t>
  </si>
  <si>
    <t>2432122West-Down1</t>
  </si>
  <si>
    <t>2432122West-Down2</t>
  </si>
  <si>
    <t>2432122East-Up2</t>
  </si>
  <si>
    <t>2432122East-Up1</t>
  </si>
  <si>
    <t>2432122East-Down1</t>
  </si>
  <si>
    <t>2432122East-Down2</t>
  </si>
  <si>
    <t>2432122North-Left2</t>
  </si>
  <si>
    <t>2432122North-Left1</t>
  </si>
  <si>
    <t>2432122North-Right1</t>
  </si>
  <si>
    <t>2432122North-Right2</t>
  </si>
  <si>
    <t>2432122South-Left2</t>
  </si>
  <si>
    <t>2432122South-Left1</t>
  </si>
  <si>
    <t>2432122South-Right1</t>
  </si>
  <si>
    <t>2432122South-Right2</t>
  </si>
  <si>
    <t>Myton City UT 16-23 3-2-25-36-7H</t>
  </si>
  <si>
    <t>2432222West-Up2</t>
  </si>
  <si>
    <t>2432222West-Up1</t>
  </si>
  <si>
    <t>2432222West-Down1</t>
  </si>
  <si>
    <t>2432222West-Down2</t>
  </si>
  <si>
    <t>2432222East-Up2</t>
  </si>
  <si>
    <t>2432222East-Up1</t>
  </si>
  <si>
    <t>2432222East-Down1</t>
  </si>
  <si>
    <t>2432222East-Down2</t>
  </si>
  <si>
    <t>2432222North-Left2</t>
  </si>
  <si>
    <t>2432222North-Left1</t>
  </si>
  <si>
    <t>2432222North-Right1</t>
  </si>
  <si>
    <t>2432222North-Right2</t>
  </si>
  <si>
    <t>2432222South-Left2</t>
  </si>
  <si>
    <t>2432222South-Left1</t>
  </si>
  <si>
    <t>2432222South-Right1</t>
  </si>
  <si>
    <t>2432222South-Right2</t>
  </si>
  <si>
    <t>Lee UT 1-25 4-4-25-36-1H</t>
  </si>
  <si>
    <t>2442422West-Up2</t>
  </si>
  <si>
    <t>2442422West-Up1</t>
  </si>
  <si>
    <t>2442422West-Down1</t>
  </si>
  <si>
    <t>2442422West-Down2</t>
  </si>
  <si>
    <t>2442422East-Up2</t>
  </si>
  <si>
    <t>2442422East-Up1</t>
  </si>
  <si>
    <t>2442422East-Down1</t>
  </si>
  <si>
    <t>2442422East-Down2</t>
  </si>
  <si>
    <t>2442422North-Left2</t>
  </si>
  <si>
    <t>2442422North-Left1</t>
  </si>
  <si>
    <t>2442422North-Right1</t>
  </si>
  <si>
    <t>2442422North-Right2</t>
  </si>
  <si>
    <t>2442422South-Left2</t>
  </si>
  <si>
    <t>2442422South-Left1</t>
  </si>
  <si>
    <t>2442422South-Right1</t>
  </si>
  <si>
    <t>2442422South-Right2</t>
  </si>
  <si>
    <t>2442122West-Up2</t>
  </si>
  <si>
    <t>2442122West-Up1</t>
  </si>
  <si>
    <t>2442122West-Down1</t>
  </si>
  <si>
    <t>2442122West-Down2</t>
  </si>
  <si>
    <t>2442122East-Up2</t>
  </si>
  <si>
    <t>2442122East-Up1</t>
  </si>
  <si>
    <t>2442122East-Down1</t>
  </si>
  <si>
    <t>2442122East-Down2</t>
  </si>
  <si>
    <t>2442122North-Left2</t>
  </si>
  <si>
    <t>2442122North-Left1</t>
  </si>
  <si>
    <t>2442122North-Right1</t>
  </si>
  <si>
    <t>2442122North-Right2</t>
  </si>
  <si>
    <t>2442122South-Left2</t>
  </si>
  <si>
    <t>2442122South-Left1</t>
  </si>
  <si>
    <t>2442122South-Right1</t>
  </si>
  <si>
    <t>2442122South-Right2</t>
  </si>
  <si>
    <t>2432522West-Up2</t>
  </si>
  <si>
    <t>2432522West-Up1</t>
  </si>
  <si>
    <t>2432522West-Down1</t>
  </si>
  <si>
    <t>2432522West-Down2</t>
  </si>
  <si>
    <t>2432522East-Up2</t>
  </si>
  <si>
    <t>2432522East-Up1</t>
  </si>
  <si>
    <t>2432522East-Down1</t>
  </si>
  <si>
    <t>2432522East-Down2</t>
  </si>
  <si>
    <t>2432522North-Left2</t>
  </si>
  <si>
    <t>2432522North-Left1</t>
  </si>
  <si>
    <t>2432522North-Right1</t>
  </si>
  <si>
    <t>2432522North-Right2</t>
  </si>
  <si>
    <t>2432522South-Left2</t>
  </si>
  <si>
    <t>2432522South-Left1</t>
  </si>
  <si>
    <t>2432522South-Right1</t>
  </si>
  <si>
    <t>2432522South-Right2</t>
  </si>
  <si>
    <t>Gooseneck 24-04-4-2E</t>
  </si>
  <si>
    <t>2442212West-Up2</t>
  </si>
  <si>
    <t>2442212West-Up1</t>
  </si>
  <si>
    <t>2442212West-Down1</t>
  </si>
  <si>
    <t>2442212West-Down2</t>
  </si>
  <si>
    <t>2442212East-Up2</t>
  </si>
  <si>
    <t>2442212East-Up1</t>
  </si>
  <si>
    <t>2442212East-Down1</t>
  </si>
  <si>
    <t>2442212East-Down2</t>
  </si>
  <si>
    <t>2442212North-Left2</t>
  </si>
  <si>
    <t>2442212North-Left1</t>
  </si>
  <si>
    <t>2442212North-Right1</t>
  </si>
  <si>
    <t>2442212North-Right2</t>
  </si>
  <si>
    <t>2442212South-Left2</t>
  </si>
  <si>
    <t>2442212South-Left1</t>
  </si>
  <si>
    <t>2442212South-Right1</t>
  </si>
  <si>
    <t>2442212South-Right2</t>
  </si>
  <si>
    <t>FD State 36-4-6-19</t>
  </si>
  <si>
    <t>25621911West-Up2</t>
  </si>
  <si>
    <t>25621911West-Up1</t>
  </si>
  <si>
    <t>25621911West-Down1</t>
  </si>
  <si>
    <t>25621911West-Down2</t>
  </si>
  <si>
    <t>25621911East-Up2</t>
  </si>
  <si>
    <t>25621911East-Up1</t>
  </si>
  <si>
    <t>25621911East-Down1</t>
  </si>
  <si>
    <t>25621911East-Down2</t>
  </si>
  <si>
    <t>25621911North-Left2</t>
  </si>
  <si>
    <t>25621911North-Left1</t>
  </si>
  <si>
    <t>25621911North-Right1</t>
  </si>
  <si>
    <t>25621911North-Right2</t>
  </si>
  <si>
    <t>25621911South-Left2</t>
  </si>
  <si>
    <t>25621911South-Left1</t>
  </si>
  <si>
    <t>25621911South-Right1</t>
  </si>
  <si>
    <t>25621911South-Right2</t>
  </si>
  <si>
    <t>Duncan 13.5-36-25-2-1W-H1</t>
  </si>
  <si>
    <t>2522122West-Up2</t>
  </si>
  <si>
    <t>Duncan 13.5-36-25-2-1W-H2</t>
  </si>
  <si>
    <t>2522122West-Up1</t>
  </si>
  <si>
    <t>Duncan 13.5-36-25-2-1W-H3</t>
  </si>
  <si>
    <t>2522122West-Down1</t>
  </si>
  <si>
    <t>Duncan 13.5-36-25-2-1W-H4</t>
  </si>
  <si>
    <t>2522122West-Down2</t>
  </si>
  <si>
    <t>Duncan 13.5-36-25-2-1W-H5</t>
  </si>
  <si>
    <t>2522122East-Up2</t>
  </si>
  <si>
    <t>Duncan 13.5-36-25-2-1W-H6</t>
  </si>
  <si>
    <t>2522122East-Up1</t>
  </si>
  <si>
    <t>Duncan 13.5-36-25-2-1W-H7</t>
  </si>
  <si>
    <t>2522122East-Down1</t>
  </si>
  <si>
    <t>Duncan 13.5-36-25-2-1W-H8</t>
  </si>
  <si>
    <t>2522122East-Down2</t>
  </si>
  <si>
    <t>Duncan 13.5-36-25-2-1W-H9</t>
  </si>
  <si>
    <t>2522122North-Left2</t>
  </si>
  <si>
    <t>Duncan 13.5-36-25-2-1W-H10</t>
  </si>
  <si>
    <t>2522122North-Left1</t>
  </si>
  <si>
    <t>Duncan 13.5-36-25-2-1W-H11</t>
  </si>
  <si>
    <t>2522122North-Right1</t>
  </si>
  <si>
    <t>Duncan 13.5-36-25-2-1W-H12</t>
  </si>
  <si>
    <t>2522122North-Right2</t>
  </si>
  <si>
    <t>Duncan 13.5-36-25-2-1W-H13</t>
  </si>
  <si>
    <t>2522122South-Left2</t>
  </si>
  <si>
    <t>Duncan 13.5-36-25-2-1W-H14</t>
  </si>
  <si>
    <t>2522122South-Left1</t>
  </si>
  <si>
    <t>Duncan 13.5-36-25-2-1W-H15</t>
  </si>
  <si>
    <t>2522122South-Right1</t>
  </si>
  <si>
    <t>Duncan 13.5-36-25-2-1W-H16</t>
  </si>
  <si>
    <t>2522122South-Right2</t>
  </si>
  <si>
    <t>2522222West-Up2</t>
  </si>
  <si>
    <t>2522222West-Up1</t>
  </si>
  <si>
    <t>2522222West-Down1</t>
  </si>
  <si>
    <t>2522222West-Down2</t>
  </si>
  <si>
    <t>2522222East-Up2</t>
  </si>
  <si>
    <t>2522222East-Up1</t>
  </si>
  <si>
    <t>2522222East-Down1</t>
  </si>
  <si>
    <t>2522222East-Down2</t>
  </si>
  <si>
    <t>2522222North-Left2</t>
  </si>
  <si>
    <t>2522222North-Left1</t>
  </si>
  <si>
    <t>2522222North-Right1</t>
  </si>
  <si>
    <t>2522222North-Right2</t>
  </si>
  <si>
    <t>2522222South-Left2</t>
  </si>
  <si>
    <t>2522222South-Left1</t>
  </si>
  <si>
    <t>2522222South-Right1</t>
  </si>
  <si>
    <t>2522222South-Right2</t>
  </si>
  <si>
    <t>Butcher Butte 26-31EWH-2-23</t>
  </si>
  <si>
    <t>2522322West-Up2</t>
  </si>
  <si>
    <t>2522322West-Up1</t>
  </si>
  <si>
    <t>2522322West-Down1</t>
  </si>
  <si>
    <t>2522322West-Down2</t>
  </si>
  <si>
    <t>2522322East-Up2</t>
  </si>
  <si>
    <t>2522322East-Up1</t>
  </si>
  <si>
    <t>2522322East-Down1</t>
  </si>
  <si>
    <t>2522322East-Down2</t>
  </si>
  <si>
    <t>2522322North-Left2</t>
  </si>
  <si>
    <t>2522322North-Left1</t>
  </si>
  <si>
    <t>2522322North-Right1</t>
  </si>
  <si>
    <t>2522322North-Right2</t>
  </si>
  <si>
    <t>2522322South-Left2</t>
  </si>
  <si>
    <t>2522322South-Left1</t>
  </si>
  <si>
    <t>2522322South-Right1</t>
  </si>
  <si>
    <t>2522322South-Right2</t>
  </si>
  <si>
    <t>Lake Fork Ranch 5-26-25-B4-3H</t>
  </si>
  <si>
    <t>2522422West-Up2</t>
  </si>
  <si>
    <t>2522422West-Up1</t>
  </si>
  <si>
    <t>2522422West-Down1</t>
  </si>
  <si>
    <t>2522422West-Down2</t>
  </si>
  <si>
    <t>2522422East-Up2</t>
  </si>
  <si>
    <t>2522422East-Up1</t>
  </si>
  <si>
    <t>2522422East-Down1</t>
  </si>
  <si>
    <t>2522422East-Down2</t>
  </si>
  <si>
    <t>2522422North-Left2</t>
  </si>
  <si>
    <t>2522422North-Left1</t>
  </si>
  <si>
    <t>2522422North-Right1</t>
  </si>
  <si>
    <t>2522422North-Right2</t>
  </si>
  <si>
    <t>2522422South-Left2</t>
  </si>
  <si>
    <t>2522422South-Left1</t>
  </si>
  <si>
    <t>2522422South-Right1</t>
  </si>
  <si>
    <t>2522422South-Right2</t>
  </si>
  <si>
    <t>Lion Tribal 1-25-36-3-1W-H3</t>
  </si>
  <si>
    <t>2532122West-Up2</t>
  </si>
  <si>
    <t>2532122West-Up1</t>
  </si>
  <si>
    <t>2532122West-Down1</t>
  </si>
  <si>
    <t>2532122West-Down2</t>
  </si>
  <si>
    <t>2532122East-Up2</t>
  </si>
  <si>
    <t>2532122East-Up1</t>
  </si>
  <si>
    <t>2532122East-Down1</t>
  </si>
  <si>
    <t>2532122East-Down2</t>
  </si>
  <si>
    <t>2532122North-Left2</t>
  </si>
  <si>
    <t>2532122North-Left1</t>
  </si>
  <si>
    <t>2532122North-Right1</t>
  </si>
  <si>
    <t>2532122North-Right2</t>
  </si>
  <si>
    <t>2532122South-Left2</t>
  </si>
  <si>
    <t>2532122South-Left1</t>
  </si>
  <si>
    <t>2532122South-Right1</t>
  </si>
  <si>
    <t>2532122South-Right2</t>
  </si>
  <si>
    <t>2532222West-Up2</t>
  </si>
  <si>
    <t>2532222West-Up1</t>
  </si>
  <si>
    <t>2532222West-Down1</t>
  </si>
  <si>
    <t>2532222West-Down2</t>
  </si>
  <si>
    <t>2532222East-Up2</t>
  </si>
  <si>
    <t>2532222East-Up1</t>
  </si>
  <si>
    <t>2532222East-Down1</t>
  </si>
  <si>
    <t>2532222East-Down2</t>
  </si>
  <si>
    <t>2532222North-Left2</t>
  </si>
  <si>
    <t>2532222North-Left1</t>
  </si>
  <si>
    <t>2532222North-Right1</t>
  </si>
  <si>
    <t>2532222North-Right2</t>
  </si>
  <si>
    <t>2532222South-Left2</t>
  </si>
  <si>
    <t>2532222South-Left1</t>
  </si>
  <si>
    <t>2532222South-Right1</t>
  </si>
  <si>
    <t>2532222South-Right2</t>
  </si>
  <si>
    <t>Lee UT 1-25-4-4-25-36-1H</t>
  </si>
  <si>
    <t>2542422West-Up2</t>
  </si>
  <si>
    <t>2542422West-Up1</t>
  </si>
  <si>
    <t>2542422West-Down1</t>
  </si>
  <si>
    <t>2542422West-Down2</t>
  </si>
  <si>
    <t>2542422East-Up2</t>
  </si>
  <si>
    <t>2542422East-Up1</t>
  </si>
  <si>
    <t>2542422East-Down1</t>
  </si>
  <si>
    <t>2542422East-Down2</t>
  </si>
  <si>
    <t>2542422North-Left2</t>
  </si>
  <si>
    <t>2542422North-Left1</t>
  </si>
  <si>
    <t>2542422North-Right1</t>
  </si>
  <si>
    <t>2542422North-Right2</t>
  </si>
  <si>
    <t>2542422South-Left2</t>
  </si>
  <si>
    <t>2542422South-Left1</t>
  </si>
  <si>
    <t>2542422South-Right1</t>
  </si>
  <si>
    <t>2542422South-Right2</t>
  </si>
  <si>
    <t>Aurora Federal 26-16-7-20</t>
  </si>
  <si>
    <t>26722011West-Up2</t>
  </si>
  <si>
    <t>26722011West-Up1</t>
  </si>
  <si>
    <t>26722011West-Down1</t>
  </si>
  <si>
    <t>26722011West-Down2</t>
  </si>
  <si>
    <t>26722011East-Up2</t>
  </si>
  <si>
    <t>26722011East-Up1</t>
  </si>
  <si>
    <t>26722011East-Down1</t>
  </si>
  <si>
    <t>26722011East-Down2</t>
  </si>
  <si>
    <t>26722011North-Left2</t>
  </si>
  <si>
    <t>26722011North-Left1</t>
  </si>
  <si>
    <t>26722011North-Right1</t>
  </si>
  <si>
    <t>26722011North-Right2</t>
  </si>
  <si>
    <t>26722011South-Left2</t>
  </si>
  <si>
    <t>26722011South-Left1</t>
  </si>
  <si>
    <t>26722011South-Right1</t>
  </si>
  <si>
    <t>26722011South-Right2</t>
  </si>
  <si>
    <t>26822211West-Up2</t>
  </si>
  <si>
    <t>26822211West-Up1</t>
  </si>
  <si>
    <t>26822211West-Down1</t>
  </si>
  <si>
    <t>26822211West-Down2</t>
  </si>
  <si>
    <t>26822211East-Up2</t>
  </si>
  <si>
    <t>26822211East-Up1</t>
  </si>
  <si>
    <t>26822211East-Down1</t>
  </si>
  <si>
    <t>26822211East-Down2</t>
  </si>
  <si>
    <t>26822211North-Left2</t>
  </si>
  <si>
    <t>26822211North-Left1</t>
  </si>
  <si>
    <t>26822211North-Right1</t>
  </si>
  <si>
    <t>26822211North-Right2</t>
  </si>
  <si>
    <t>26822211South-Left2</t>
  </si>
  <si>
    <t>26822211South-Left1</t>
  </si>
  <si>
    <t>26822211South-Right1</t>
  </si>
  <si>
    <t>26822211South-Right2</t>
  </si>
  <si>
    <t>2622322West-Up2</t>
  </si>
  <si>
    <t>2622322West-Up1</t>
  </si>
  <si>
    <t>2622322West-Down1</t>
  </si>
  <si>
    <t>2622322West-Down2</t>
  </si>
  <si>
    <t>2622322East-Up2</t>
  </si>
  <si>
    <t>2622322East-Up1</t>
  </si>
  <si>
    <t>2622322East-Down1</t>
  </si>
  <si>
    <t>2622322East-Down2</t>
  </si>
  <si>
    <t>2622322North-Left2</t>
  </si>
  <si>
    <t>2622322North-Left1</t>
  </si>
  <si>
    <t>2622322North-Right1</t>
  </si>
  <si>
    <t>2622322North-Right2</t>
  </si>
  <si>
    <t>2622322South-Left2</t>
  </si>
  <si>
    <t>2622322South-Left1</t>
  </si>
  <si>
    <t>2622322South-Right1</t>
  </si>
  <si>
    <t>2622322South-Right2</t>
  </si>
  <si>
    <t>2622422West-Up2</t>
  </si>
  <si>
    <t>2622422West-Up1</t>
  </si>
  <si>
    <t>2622422West-Down1</t>
  </si>
  <si>
    <t>2622422West-Down2</t>
  </si>
  <si>
    <t>2622422East-Up2</t>
  </si>
  <si>
    <t>2622422East-Up1</t>
  </si>
  <si>
    <t>2622422East-Down1</t>
  </si>
  <si>
    <t>2622422East-Down2</t>
  </si>
  <si>
    <t>2622422North-Left2</t>
  </si>
  <si>
    <t>2622422North-Left1</t>
  </si>
  <si>
    <t>2622422North-Right1</t>
  </si>
  <si>
    <t>2622422North-Right2</t>
  </si>
  <si>
    <t>2622422South-Left2</t>
  </si>
  <si>
    <t>2622422South-Left1</t>
  </si>
  <si>
    <t>2622422South-Right1</t>
  </si>
  <si>
    <t>2622422South-Right2</t>
  </si>
  <si>
    <t>2632222West-Up2</t>
  </si>
  <si>
    <t>2632222West-Up1</t>
  </si>
  <si>
    <t>2632222West-Down1</t>
  </si>
  <si>
    <t>2632222West-Down2</t>
  </si>
  <si>
    <t>2632222East-Up2</t>
  </si>
  <si>
    <t>2632222East-Up1</t>
  </si>
  <si>
    <t>2632222East-Down1</t>
  </si>
  <si>
    <t>2632222East-Down2</t>
  </si>
  <si>
    <t>2632222North-Left2</t>
  </si>
  <si>
    <t>2632222North-Left1</t>
  </si>
  <si>
    <t>2632222North-Right1</t>
  </si>
  <si>
    <t>2632222North-Right2</t>
  </si>
  <si>
    <t>2632222South-Left2</t>
  </si>
  <si>
    <t>2632222South-Left1</t>
  </si>
  <si>
    <t>2632222South-Right1</t>
  </si>
  <si>
    <t>2632222South-Right2</t>
  </si>
  <si>
    <t>Remund 8-27-28-C4-6H</t>
  </si>
  <si>
    <t>2632422West-Up2</t>
  </si>
  <si>
    <t>2632422West-Up1</t>
  </si>
  <si>
    <t>2632422West-Down1</t>
  </si>
  <si>
    <t>2632422West-Down2</t>
  </si>
  <si>
    <t>2632422East-Up2</t>
  </si>
  <si>
    <t>2632422East-Up1</t>
  </si>
  <si>
    <t>2632422East-Down1</t>
  </si>
  <si>
    <t>2632422East-Down2</t>
  </si>
  <si>
    <t>2632422North-Left2</t>
  </si>
  <si>
    <t>2632422North-Left1</t>
  </si>
  <si>
    <t>2632422North-Right1</t>
  </si>
  <si>
    <t>2632422North-Right2</t>
  </si>
  <si>
    <t>2632422South-Left2</t>
  </si>
  <si>
    <t>2632422South-Left1</t>
  </si>
  <si>
    <t>2632422South-Right1</t>
  </si>
  <si>
    <t>2632422South-Right2</t>
  </si>
  <si>
    <t>2622122West-Up2</t>
  </si>
  <si>
    <t>2622122West-Up1</t>
  </si>
  <si>
    <t>2622122West-Down1</t>
  </si>
  <si>
    <t>2622122West-Down2</t>
  </si>
  <si>
    <t>2622122East-Up2</t>
  </si>
  <si>
    <t>2622122East-Up1</t>
  </si>
  <si>
    <t>2622122East-Down1</t>
  </si>
  <si>
    <t>2622122East-Down2</t>
  </si>
  <si>
    <t>2622122North-Left2</t>
  </si>
  <si>
    <t>2622122North-Left1</t>
  </si>
  <si>
    <t>2622122North-Right1</t>
  </si>
  <si>
    <t>2622122North-Right2</t>
  </si>
  <si>
    <t>2622122South-Left2</t>
  </si>
  <si>
    <t>2622122South-Left1</t>
  </si>
  <si>
    <t>2622122South-Right1</t>
  </si>
  <si>
    <t>2622122South-Right2</t>
  </si>
  <si>
    <t>Deep Creek Tribal 27-09-4-2E</t>
  </si>
  <si>
    <t>2642212West-Up2</t>
  </si>
  <si>
    <t>2642212West-Up1</t>
  </si>
  <si>
    <t>2642212West-Down1</t>
  </si>
  <si>
    <t>2642212West-Down2</t>
  </si>
  <si>
    <t>2642212East-Up2</t>
  </si>
  <si>
    <t>2642212East-Up1</t>
  </si>
  <si>
    <t>2642212East-Down1</t>
  </si>
  <si>
    <t>2642212East-Down2</t>
  </si>
  <si>
    <t>2642212North-Left2</t>
  </si>
  <si>
    <t>2642212North-Left1</t>
  </si>
  <si>
    <t>2642212North-Right1</t>
  </si>
  <si>
    <t>2642212North-Right2</t>
  </si>
  <si>
    <t>2642212South-Left2</t>
  </si>
  <si>
    <t>2642212South-Left1</t>
  </si>
  <si>
    <t>2642212South-Right1</t>
  </si>
  <si>
    <t>2642212South-Right2</t>
  </si>
  <si>
    <t xml:space="preserve">MILES 10A4-27-722 </t>
  </si>
  <si>
    <t>27722211West-Up2</t>
  </si>
  <si>
    <t>27722211West-Up1</t>
  </si>
  <si>
    <t>27722211West-Down1</t>
  </si>
  <si>
    <t>27722211West-Down2</t>
  </si>
  <si>
    <t>27722211East-Up2</t>
  </si>
  <si>
    <t>27722211East-Up1</t>
  </si>
  <si>
    <t>27722211East-Down1</t>
  </si>
  <si>
    <t>27722211East-Down2</t>
  </si>
  <si>
    <t>27722211North-Left2</t>
  </si>
  <si>
    <t>27722211North-Left1</t>
  </si>
  <si>
    <t>27722211North-Right1</t>
  </si>
  <si>
    <t>27722211North-Right2</t>
  </si>
  <si>
    <t>27722211South-Left2</t>
  </si>
  <si>
    <t>27722211South-Left1</t>
  </si>
  <si>
    <t>27722211South-Right1</t>
  </si>
  <si>
    <t>27722211South-Right2</t>
  </si>
  <si>
    <t>Butcher Butte 27-21H-2-22</t>
  </si>
  <si>
    <t>2722222West-Up2</t>
  </si>
  <si>
    <t>2722222West-Up1</t>
  </si>
  <si>
    <t>2722222West-Down1</t>
  </si>
  <si>
    <t>2722222West-Down2</t>
  </si>
  <si>
    <t>2722222East-Up2</t>
  </si>
  <si>
    <t>2722222East-Up1</t>
  </si>
  <si>
    <t>2722222East-Down1</t>
  </si>
  <si>
    <t>2722222East-Down2</t>
  </si>
  <si>
    <t>2722222North-Left2</t>
  </si>
  <si>
    <t>2722222North-Left1</t>
  </si>
  <si>
    <t>2722222North-Right1</t>
  </si>
  <si>
    <t>2722222North-Right2</t>
  </si>
  <si>
    <t>2722222South-Left2</t>
  </si>
  <si>
    <t>2722222South-Left1</t>
  </si>
  <si>
    <t>2722222South-Right1</t>
  </si>
  <si>
    <t>2722222South-Right2</t>
  </si>
  <si>
    <t>2722322West-Up2</t>
  </si>
  <si>
    <t>2722322West-Up1</t>
  </si>
  <si>
    <t>2722322West-Down1</t>
  </si>
  <si>
    <t>2722322West-Down2</t>
  </si>
  <si>
    <t>2722322East-Up2</t>
  </si>
  <si>
    <t>2722322East-Up1</t>
  </si>
  <si>
    <t>2722322East-Down1</t>
  </si>
  <si>
    <t>2722322East-Down2</t>
  </si>
  <si>
    <t>2722322North-Left2</t>
  </si>
  <si>
    <t>2722322North-Left1</t>
  </si>
  <si>
    <t>2722322North-Right1</t>
  </si>
  <si>
    <t>2722322North-Right2</t>
  </si>
  <si>
    <t>2722322South-Left2</t>
  </si>
  <si>
    <t>2722322South-Left1</t>
  </si>
  <si>
    <t>2722322South-Right1</t>
  </si>
  <si>
    <t>2722322South-Right2</t>
  </si>
  <si>
    <t>Ferrarini 3-27B4</t>
  </si>
  <si>
    <t>2722422West-Up2</t>
  </si>
  <si>
    <t>2722422West-Up1</t>
  </si>
  <si>
    <t>2722422West-Down1</t>
  </si>
  <si>
    <t>2722422West-Down2</t>
  </si>
  <si>
    <t>2722422East-Up2</t>
  </si>
  <si>
    <t>2722422East-Up1</t>
  </si>
  <si>
    <t>2722422East-Down1</t>
  </si>
  <si>
    <t>2722422East-Down2</t>
  </si>
  <si>
    <t>2722422North-Left2</t>
  </si>
  <si>
    <t>2722422North-Left1</t>
  </si>
  <si>
    <t>2722422North-Right1</t>
  </si>
  <si>
    <t>2722422North-Right2</t>
  </si>
  <si>
    <t>2722422South-Left2</t>
  </si>
  <si>
    <t>2722422South-Left1</t>
  </si>
  <si>
    <t>2722422South-Right1</t>
  </si>
  <si>
    <t>2722422South-Right2</t>
  </si>
  <si>
    <t>2732122West-Up2</t>
  </si>
  <si>
    <t>2732122West-Up1</t>
  </si>
  <si>
    <t>2732122West-Down1</t>
  </si>
  <si>
    <t>2732122West-Down2</t>
  </si>
  <si>
    <t>2732122East-Up2</t>
  </si>
  <si>
    <t>2732122East-Up1</t>
  </si>
  <si>
    <t>2732122East-Down1</t>
  </si>
  <si>
    <t>2732122East-Down2</t>
  </si>
  <si>
    <t>2732122North-Left2</t>
  </si>
  <si>
    <t>2732122North-Left1</t>
  </si>
  <si>
    <t>2732122North-Right1</t>
  </si>
  <si>
    <t>2732122North-Right2</t>
  </si>
  <si>
    <t>2732122South-Left2</t>
  </si>
  <si>
    <t>2732122South-Left1</t>
  </si>
  <si>
    <t>2732122South-Right1</t>
  </si>
  <si>
    <t>2732122South-Right2</t>
  </si>
  <si>
    <t>2732422West-Up2</t>
  </si>
  <si>
    <t>2732422West-Up1</t>
  </si>
  <si>
    <t>2732422West-Down1</t>
  </si>
  <si>
    <t>2732422West-Down2</t>
  </si>
  <si>
    <t>2732422East-Up2</t>
  </si>
  <si>
    <t>2732422East-Up1</t>
  </si>
  <si>
    <t>2732422East-Down1</t>
  </si>
  <si>
    <t>2732422East-Down2</t>
  </si>
  <si>
    <t>2732422North-Left2</t>
  </si>
  <si>
    <t>2732422North-Left1</t>
  </si>
  <si>
    <t>2732422North-Right1</t>
  </si>
  <si>
    <t>2732422North-Right2</t>
  </si>
  <si>
    <t>2732422South-Left2</t>
  </si>
  <si>
    <t>2732422South-Left1</t>
  </si>
  <si>
    <t>2732422South-Right1</t>
  </si>
  <si>
    <t>2732422South-Right2</t>
  </si>
  <si>
    <t>2742212West-Up2</t>
  </si>
  <si>
    <t>2742212West-Up1</t>
  </si>
  <si>
    <t>2742212West-Down1</t>
  </si>
  <si>
    <t>2742212West-Down2</t>
  </si>
  <si>
    <t>2742212East-Up2</t>
  </si>
  <si>
    <t>2742212East-Up1</t>
  </si>
  <si>
    <t>2742212East-Down1</t>
  </si>
  <si>
    <t>2742212East-Down2</t>
  </si>
  <si>
    <t>2742212North-Left2</t>
  </si>
  <si>
    <t>2742212North-Left1</t>
  </si>
  <si>
    <t>2742212North-Right1</t>
  </si>
  <si>
    <t>2742212North-Right2</t>
  </si>
  <si>
    <t>2742212South-Left2</t>
  </si>
  <si>
    <t>2742212South-Left1</t>
  </si>
  <si>
    <t>2742212South-Right1</t>
  </si>
  <si>
    <t>2742212South-Right2</t>
  </si>
  <si>
    <t>Pelican 16-21-28-7S-20E-2H3</t>
  </si>
  <si>
    <t>28722011West-Up2</t>
  </si>
  <si>
    <t>28722011West-Up1</t>
  </si>
  <si>
    <t>28722011West-Down1</t>
  </si>
  <si>
    <t>28722011West-Down2</t>
  </si>
  <si>
    <t>28722011East-Up2</t>
  </si>
  <si>
    <t>28722011East-Up1</t>
  </si>
  <si>
    <t>28722011East-Down1</t>
  </si>
  <si>
    <t>28722011East-Down2</t>
  </si>
  <si>
    <t>28722011North-Left2</t>
  </si>
  <si>
    <t>28722011North-Left1</t>
  </si>
  <si>
    <t>28722011North-Right1</t>
  </si>
  <si>
    <t>28722011North-Right2</t>
  </si>
  <si>
    <t>28722011South-Left2</t>
  </si>
  <si>
    <t>28722011South-Left1</t>
  </si>
  <si>
    <t>28722011South-Right1</t>
  </si>
  <si>
    <t>28722011South-Right2</t>
  </si>
  <si>
    <t>Butcher Butte 28-71H-22</t>
  </si>
  <si>
    <t>2822222West-Up2</t>
  </si>
  <si>
    <t>2822222West-Up1</t>
  </si>
  <si>
    <t>2822222West-Down1</t>
  </si>
  <si>
    <t>2822222West-Down2</t>
  </si>
  <si>
    <t>2822222East-Up2</t>
  </si>
  <si>
    <t>2822222East-Up1</t>
  </si>
  <si>
    <t>2822222East-Down1</t>
  </si>
  <si>
    <t>2822222East-Down2</t>
  </si>
  <si>
    <t>2822222North-Left2</t>
  </si>
  <si>
    <t>2822222North-Left1</t>
  </si>
  <si>
    <t>2822222North-Right1</t>
  </si>
  <si>
    <t>2822222North-Right2</t>
  </si>
  <si>
    <t>2822222South-Left2</t>
  </si>
  <si>
    <t>2822222South-Left1</t>
  </si>
  <si>
    <t>2822222South-Right1</t>
  </si>
  <si>
    <t>2822222South-Right2</t>
  </si>
  <si>
    <t>Butcher Butte 27-74EWH-23</t>
  </si>
  <si>
    <t>2822322West-Up2</t>
  </si>
  <si>
    <t>2822322West-Up1</t>
  </si>
  <si>
    <t>2822322West-Down1</t>
  </si>
  <si>
    <t>2822322West-Down2</t>
  </si>
  <si>
    <t>2822322East-Up2</t>
  </si>
  <si>
    <t>2822322East-Up1</t>
  </si>
  <si>
    <t>2822322East-Down1</t>
  </si>
  <si>
    <t>2822322East-Down2</t>
  </si>
  <si>
    <t>2822322North-Left2</t>
  </si>
  <si>
    <t>2822322North-Left1</t>
  </si>
  <si>
    <t>2822322North-Right1</t>
  </si>
  <si>
    <t>2822322North-Right2</t>
  </si>
  <si>
    <t>2822322South-Left2</t>
  </si>
  <si>
    <t>2822322South-Left1</t>
  </si>
  <si>
    <t>2822322South-Right1</t>
  </si>
  <si>
    <t>2822322South-Right2</t>
  </si>
  <si>
    <t>Pekev Ut 2-29 3-1-28-33-7H</t>
  </si>
  <si>
    <t>2832122West-Up2</t>
  </si>
  <si>
    <t>2832122West-Up1</t>
  </si>
  <si>
    <t>2832122West-Down1</t>
  </si>
  <si>
    <t>2832122West-Down2</t>
  </si>
  <si>
    <t>2832122East-Up2</t>
  </si>
  <si>
    <t>2832122East-Up1</t>
  </si>
  <si>
    <t>2832122East-Down1</t>
  </si>
  <si>
    <t>2832122East-Down2</t>
  </si>
  <si>
    <t>2832122North-Left2</t>
  </si>
  <si>
    <t>2832122North-Left1</t>
  </si>
  <si>
    <t>2832122North-Right1</t>
  </si>
  <si>
    <t>2832122North-Right2</t>
  </si>
  <si>
    <t>2832122South-Left2</t>
  </si>
  <si>
    <t>2832122South-Left1</t>
  </si>
  <si>
    <t>2832122South-Right1</t>
  </si>
  <si>
    <t>2832122South-Right2</t>
  </si>
  <si>
    <t>2832422West-Up2</t>
  </si>
  <si>
    <t>2832422West-Up1</t>
  </si>
  <si>
    <t>2832422West-Down1</t>
  </si>
  <si>
    <t>2832422West-Down2</t>
  </si>
  <si>
    <t>2832422East-Up2</t>
  </si>
  <si>
    <t>2832422East-Up1</t>
  </si>
  <si>
    <t>2832422East-Down1</t>
  </si>
  <si>
    <t>2832422East-Down2</t>
  </si>
  <si>
    <t>2832422North-Left2</t>
  </si>
  <si>
    <t>2832422North-Left1</t>
  </si>
  <si>
    <t>2832422North-Right1</t>
  </si>
  <si>
    <t>2832422North-Right2</t>
  </si>
  <si>
    <t>2832422South-Left2</t>
  </si>
  <si>
    <t>2832422South-Left1</t>
  </si>
  <si>
    <t>2832422South-Right1</t>
  </si>
  <si>
    <t>2832422South-Right2</t>
  </si>
  <si>
    <t>LAKE FORK
RANCH 8-27-28-B4-4H</t>
  </si>
  <si>
    <t>2822422West-Up2</t>
  </si>
  <si>
    <t>2822422West-Up1</t>
  </si>
  <si>
    <t>2822422West-Down1</t>
  </si>
  <si>
    <t>2822422West-Down2</t>
  </si>
  <si>
    <t>2822422East-Up2</t>
  </si>
  <si>
    <t>2822422East-Up1</t>
  </si>
  <si>
    <t>2822422East-Down1</t>
  </si>
  <si>
    <t>2822422East-Down2</t>
  </si>
  <si>
    <t>2822422North-Left2</t>
  </si>
  <si>
    <t>2822422North-Left1</t>
  </si>
  <si>
    <t>2822422North-Right1</t>
  </si>
  <si>
    <t>2822422North-Right2</t>
  </si>
  <si>
    <t>2822422South-Left2</t>
  </si>
  <si>
    <t>2822422South-Left1</t>
  </si>
  <si>
    <t>2822422South-Right1</t>
  </si>
  <si>
    <t>2822422South-Right2</t>
  </si>
  <si>
    <t>Butcher Butte 32-84H-21E</t>
  </si>
  <si>
    <t>2922112West-Up2</t>
  </si>
  <si>
    <t>2922112West-Up1</t>
  </si>
  <si>
    <t>2922112West-Down1</t>
  </si>
  <si>
    <t>2922112West-Down2</t>
  </si>
  <si>
    <t>2922112East-Up2</t>
  </si>
  <si>
    <t>2922112East-Up1</t>
  </si>
  <si>
    <t>2922112East-Down1</t>
  </si>
  <si>
    <t>2922112East-Down2</t>
  </si>
  <si>
    <t>2922112North-Left2</t>
  </si>
  <si>
    <t>2922112North-Left1</t>
  </si>
  <si>
    <t>2922112North-Right1</t>
  </si>
  <si>
    <t>2922112North-Right2</t>
  </si>
  <si>
    <t>2922112South-Left2</t>
  </si>
  <si>
    <t>2922112South-Left1</t>
  </si>
  <si>
    <t>2922112South-Right1</t>
  </si>
  <si>
    <t>2922112South-Right2</t>
  </si>
  <si>
    <t>Myrin Ranch 1-29B3</t>
  </si>
  <si>
    <t>2922322West-Up2</t>
  </si>
  <si>
    <t>2922322West-Up1</t>
  </si>
  <si>
    <t>2922322West-Down1</t>
  </si>
  <si>
    <t>2922322West-Down2</t>
  </si>
  <si>
    <t>2922322East-Up2</t>
  </si>
  <si>
    <t>2922322East-Up1</t>
  </si>
  <si>
    <t>2922322East-Down1</t>
  </si>
  <si>
    <t>2922322East-Down2</t>
  </si>
  <si>
    <t>2922322North-Left2</t>
  </si>
  <si>
    <t>2922322North-Left1</t>
  </si>
  <si>
    <t>2922322North-Right1</t>
  </si>
  <si>
    <t>2922322North-Right2</t>
  </si>
  <si>
    <t>2922322South-Left2</t>
  </si>
  <si>
    <t>2922322South-Left1</t>
  </si>
  <si>
    <t>2922322South-Right1</t>
  </si>
  <si>
    <t>2922322South-Right2</t>
  </si>
  <si>
    <t>Coleman Tribal 13-29-20-3-1E-H3</t>
  </si>
  <si>
    <t>2932112West-Up2</t>
  </si>
  <si>
    <t>2932112West-Up1</t>
  </si>
  <si>
    <t>2932112West-Down1</t>
  </si>
  <si>
    <t>2932112West-Down2</t>
  </si>
  <si>
    <t>2932112East-Up2</t>
  </si>
  <si>
    <t>2932112East-Up1</t>
  </si>
  <si>
    <t>2932112East-Down1</t>
  </si>
  <si>
    <t>2932112East-Down2</t>
  </si>
  <si>
    <t>2932112North-Left2</t>
  </si>
  <si>
    <t>2932112North-Left1</t>
  </si>
  <si>
    <t>2932112North-Right1</t>
  </si>
  <si>
    <t>2932112North-Right2</t>
  </si>
  <si>
    <t>2932112South-Left2</t>
  </si>
  <si>
    <t>2932112South-Left1</t>
  </si>
  <si>
    <t>2932112South-Right1</t>
  </si>
  <si>
    <t>2932112South-Right2</t>
  </si>
  <si>
    <t>DEEP CREEK 30-01A-3-2E</t>
  </si>
  <si>
    <t>2932212West-Up2</t>
  </si>
  <si>
    <t>4.29.2021</t>
  </si>
  <si>
    <t>2932212West-Up1</t>
  </si>
  <si>
    <t>2932212West-Down1</t>
  </si>
  <si>
    <t>2932212West-Down2</t>
  </si>
  <si>
    <t>2932212East-Up2</t>
  </si>
  <si>
    <t>2932212East-Up1</t>
  </si>
  <si>
    <t>2932212East-Down1</t>
  </si>
  <si>
    <t>2932212East-Down2</t>
  </si>
  <si>
    <t>2932212North-Left2</t>
  </si>
  <si>
    <t>2932212North-Left1</t>
  </si>
  <si>
    <t>2932212North-Right1</t>
  </si>
  <si>
    <t>2932212North-Right2</t>
  </si>
  <si>
    <t>2932212South-Left2</t>
  </si>
  <si>
    <t>2932212South-Left1</t>
  </si>
  <si>
    <t>2932212South-Right1</t>
  </si>
  <si>
    <t>2932212South-Right2</t>
  </si>
  <si>
    <t>Moonshadow Ranches 3-31-2-1E-H1</t>
  </si>
  <si>
    <t>3022112West-Up2</t>
  </si>
  <si>
    <t>3022112West-Up1</t>
  </si>
  <si>
    <t>3022112West-Down1</t>
  </si>
  <si>
    <t>3022112West-Down2</t>
  </si>
  <si>
    <t>3022112East-Up2</t>
  </si>
  <si>
    <t>3022112East-Up1</t>
  </si>
  <si>
    <t>3022112East-Down1</t>
  </si>
  <si>
    <t>3022112East-Down2</t>
  </si>
  <si>
    <t>3022112North-Left2</t>
  </si>
  <si>
    <t>3022112North-Left1</t>
  </si>
  <si>
    <t>3022112North-Right1</t>
  </si>
  <si>
    <t>3022112North-Right2</t>
  </si>
  <si>
    <t>3022112South-Left2</t>
  </si>
  <si>
    <t>3022112South-Left1</t>
  </si>
  <si>
    <t>3022112South-Right1</t>
  </si>
  <si>
    <t>3022112South-Right2</t>
  </si>
  <si>
    <t>Butcher Butte 31-144H-21</t>
  </si>
  <si>
    <t>3022122West-Up2</t>
  </si>
  <si>
    <t>3022122West-Up1</t>
  </si>
  <si>
    <t>3022122West-Down1</t>
  </si>
  <si>
    <t>3022122West-Down2</t>
  </si>
  <si>
    <t>3022122East-Up2</t>
  </si>
  <si>
    <t>3022122East-Up1</t>
  </si>
  <si>
    <t>3022122East-Down1</t>
  </si>
  <si>
    <t>3022122East-Down2</t>
  </si>
  <si>
    <t>3022122North-Left2</t>
  </si>
  <si>
    <t>3022122North-Left1</t>
  </si>
  <si>
    <t>3022122North-Right1</t>
  </si>
  <si>
    <t>3022122North-Right2</t>
  </si>
  <si>
    <t>3022122South-Left2</t>
  </si>
  <si>
    <t>3022122South-Left1</t>
  </si>
  <si>
    <t>3022122South-Right1</t>
  </si>
  <si>
    <t>3022122South-Right2</t>
  </si>
  <si>
    <t>Lake Fork Ranch 2-30B3</t>
  </si>
  <si>
    <t>3022322West-Up2</t>
  </si>
  <si>
    <t>3022322West-Up1</t>
  </si>
  <si>
    <t>3022322West-Down1</t>
  </si>
  <si>
    <t>3022322West-Down2</t>
  </si>
  <si>
    <t>3022322East-Up2</t>
  </si>
  <si>
    <t>3022322East-Up1</t>
  </si>
  <si>
    <t>3022322East-Down1</t>
  </si>
  <si>
    <t>3022322East-Down2</t>
  </si>
  <si>
    <t>3022322North-Left2</t>
  </si>
  <si>
    <t>3022322North-Left1</t>
  </si>
  <si>
    <t>3022322North-Right1</t>
  </si>
  <si>
    <t>3022322North-Right2</t>
  </si>
  <si>
    <t>3022322South-Left2</t>
  </si>
  <si>
    <t>3022322South-Left1</t>
  </si>
  <si>
    <t>3022322South-Right1</t>
  </si>
  <si>
    <t>3022322South-Right2</t>
  </si>
  <si>
    <t>Ute Tribal 1-30-31-3-1E-H2</t>
  </si>
  <si>
    <t>3032112West-Up2</t>
  </si>
  <si>
    <t>3032112West-Up1</t>
  </si>
  <si>
    <t>3032112West-Down1</t>
  </si>
  <si>
    <t>3032112West-Down2</t>
  </si>
  <si>
    <t>3032112East-Up2</t>
  </si>
  <si>
    <t>3032112East-Up1</t>
  </si>
  <si>
    <t>3032112East-Down1</t>
  </si>
  <si>
    <t>3032112East-Down2</t>
  </si>
  <si>
    <t>3032112North-Left2</t>
  </si>
  <si>
    <t>3032112North-Left1</t>
  </si>
  <si>
    <t>3032112North-Right1</t>
  </si>
  <si>
    <t>3032112North-Right2</t>
  </si>
  <si>
    <t>3032112South-Left2</t>
  </si>
  <si>
    <t>3032112South-Left1</t>
  </si>
  <si>
    <t>3032112South-Right1</t>
  </si>
  <si>
    <t>3032112South-Right2</t>
  </si>
  <si>
    <t>30722011West-Up2</t>
  </si>
  <si>
    <t>30722011West-Up1</t>
  </si>
  <si>
    <t>30722011West-Down1</t>
  </si>
  <si>
    <t>30722011West-Down2</t>
  </si>
  <si>
    <t>30722011East-Up2</t>
  </si>
  <si>
    <t>30722011East-Up1</t>
  </si>
  <si>
    <t>30722011East-Down1</t>
  </si>
  <si>
    <t>30722011East-Down2</t>
  </si>
  <si>
    <t>30722011North-Left2</t>
  </si>
  <si>
    <t>30722011North-Left1</t>
  </si>
  <si>
    <t>30722011North-Right1</t>
  </si>
  <si>
    <t>30722011North-Right2</t>
  </si>
  <si>
    <t>30722011South-Left2</t>
  </si>
  <si>
    <t>30722011South-Left1</t>
  </si>
  <si>
    <t>30722011South-Right1</t>
  </si>
  <si>
    <t>30722011South-Right2</t>
  </si>
  <si>
    <t>Moonlight 58-3031-22P</t>
  </si>
  <si>
    <t>3022222West-Up2</t>
  </si>
  <si>
    <t>4.26.2021</t>
  </si>
  <si>
    <t>3022222West-Up1</t>
  </si>
  <si>
    <t>3022222West-Down1</t>
  </si>
  <si>
    <t>3022222West-Down2</t>
  </si>
  <si>
    <t>3022222East-Up2</t>
  </si>
  <si>
    <t>3022222East-Up1</t>
  </si>
  <si>
    <t>3022222East-Down1</t>
  </si>
  <si>
    <t>3022222East-Down2</t>
  </si>
  <si>
    <t>3022222North-Left2</t>
  </si>
  <si>
    <t>3022222North-Left1</t>
  </si>
  <si>
    <t>3022222North-Right1</t>
  </si>
  <si>
    <t>3022222North-Right2</t>
  </si>
  <si>
    <t>3022222South-Left2</t>
  </si>
  <si>
    <t>3022222South-Left1</t>
  </si>
  <si>
    <t>3022222South-Right1</t>
  </si>
  <si>
    <t>3022222South-Right2</t>
  </si>
  <si>
    <t>3032212West-Up2</t>
  </si>
  <si>
    <t>3032212West-Up1</t>
  </si>
  <si>
    <t>3032212West-Down1</t>
  </si>
  <si>
    <t>3032212West-Down2</t>
  </si>
  <si>
    <t>3032212East-Up2</t>
  </si>
  <si>
    <t>3032212East-Up1</t>
  </si>
  <si>
    <t>3032212East-Down1</t>
  </si>
  <si>
    <t>3032212East-Down2</t>
  </si>
  <si>
    <t>3032212North-Left2</t>
  </si>
  <si>
    <t>3032212North-Left1</t>
  </si>
  <si>
    <t>3032212North-Right1</t>
  </si>
  <si>
    <t>3032212North-Right2</t>
  </si>
  <si>
    <t>3032212South-Left2</t>
  </si>
  <si>
    <t>3032212South-Left1</t>
  </si>
  <si>
    <t>3032212South-Right1</t>
  </si>
  <si>
    <t>3032212South-Right2</t>
  </si>
  <si>
    <t>Anderton Trust 3-31A1</t>
  </si>
  <si>
    <t>3112122West-Up2</t>
  </si>
  <si>
    <t>3112122West-Up1</t>
  </si>
  <si>
    <t>3112122West-Down1</t>
  </si>
  <si>
    <t>3112122West-Down2</t>
  </si>
  <si>
    <t>3112122East-Up2</t>
  </si>
  <si>
    <t>3112122East-Up1</t>
  </si>
  <si>
    <t>3112122East-Down1</t>
  </si>
  <si>
    <t>3112122East-Down2</t>
  </si>
  <si>
    <t>3112122North-Left2</t>
  </si>
  <si>
    <t>3112122North-Left1</t>
  </si>
  <si>
    <t>3112122North-Right1</t>
  </si>
  <si>
    <t>3112122North-Right2</t>
  </si>
  <si>
    <t>3112122South-Left2</t>
  </si>
  <si>
    <t>3112122South-Left1</t>
  </si>
  <si>
    <t>3112122South-Right1</t>
  </si>
  <si>
    <t>3112122South-Right2</t>
  </si>
  <si>
    <t>3122112West-Up2</t>
  </si>
  <si>
    <t>3122112West-Up1</t>
  </si>
  <si>
    <t>3122112West-Down1</t>
  </si>
  <si>
    <t>3122112West-Down2</t>
  </si>
  <si>
    <t>3122112East-Up2</t>
  </si>
  <si>
    <t>3122112East-Up1</t>
  </si>
  <si>
    <t>3122112East-Down1</t>
  </si>
  <si>
    <t>3122112East-Down2</t>
  </si>
  <si>
    <t>3122112North-Left2</t>
  </si>
  <si>
    <t>3122112North-Left1</t>
  </si>
  <si>
    <t>3122112North-Right1</t>
  </si>
  <si>
    <t>3122112North-Right2</t>
  </si>
  <si>
    <t>3122112South-Left2</t>
  </si>
  <si>
    <t>3122112South-Left1</t>
  </si>
  <si>
    <t>3122112South-Right1</t>
  </si>
  <si>
    <t>3122112South-Right2</t>
  </si>
  <si>
    <t>3122122West-Up2</t>
  </si>
  <si>
    <t>3122122West-Up1</t>
  </si>
  <si>
    <t>3122122West-Down1</t>
  </si>
  <si>
    <t>3122122West-Down2</t>
  </si>
  <si>
    <t>3122122East-Up2</t>
  </si>
  <si>
    <t>3122122East-Up1</t>
  </si>
  <si>
    <t>3122122East-Down1</t>
  </si>
  <si>
    <t>3122122East-Down2</t>
  </si>
  <si>
    <t>3122122North-Left2</t>
  </si>
  <si>
    <t>3122122North-Left1</t>
  </si>
  <si>
    <t>3122122North-Right1</t>
  </si>
  <si>
    <t>3122122North-Right2</t>
  </si>
  <si>
    <t>3122122South-Left2</t>
  </si>
  <si>
    <t>3122122South-Left1</t>
  </si>
  <si>
    <t>3122122South-Right1</t>
  </si>
  <si>
    <t>3122122South-Right2</t>
  </si>
  <si>
    <t>3132112West-Up2</t>
  </si>
  <si>
    <t>3132112West-Up1</t>
  </si>
  <si>
    <t>3132112West-Down1</t>
  </si>
  <si>
    <t>3132112West-Down2</t>
  </si>
  <si>
    <t>3132112East-Up2</t>
  </si>
  <si>
    <t>3132112East-Up1</t>
  </si>
  <si>
    <t>3132112East-Down1</t>
  </si>
  <si>
    <t>3132112East-Down2</t>
  </si>
  <si>
    <t>3132112North-Left2</t>
  </si>
  <si>
    <t>3132112North-Left1</t>
  </si>
  <si>
    <t>3132112North-Right1</t>
  </si>
  <si>
    <t>3132112North-Right2</t>
  </si>
  <si>
    <t>3132112South-Left2</t>
  </si>
  <si>
    <t>3132112South-Left1</t>
  </si>
  <si>
    <t>3132112South-Right1</t>
  </si>
  <si>
    <t>3132112South-Right2</t>
  </si>
  <si>
    <t>3132422West-Up2</t>
  </si>
  <si>
    <t>3132422West-Up1</t>
  </si>
  <si>
    <t>3132422West-Down1</t>
  </si>
  <si>
    <t>3132422West-Down2</t>
  </si>
  <si>
    <t>3132422East-Up2</t>
  </si>
  <si>
    <t>3132422East-Up1</t>
  </si>
  <si>
    <t>3132422East-Down1</t>
  </si>
  <si>
    <t>3132422East-Down2</t>
  </si>
  <si>
    <t>3132422North-Left2</t>
  </si>
  <si>
    <t>3132422North-Left1</t>
  </si>
  <si>
    <t>3132422North-Right1</t>
  </si>
  <si>
    <t>3132422North-Right2</t>
  </si>
  <si>
    <t>3132422South-Left2</t>
  </si>
  <si>
    <t>3132422South-Left1</t>
  </si>
  <si>
    <t>3132422South-Right1</t>
  </si>
  <si>
    <t>3132422South-Right2</t>
  </si>
  <si>
    <t>3122222West-Up2</t>
  </si>
  <si>
    <t>3122222West-Up1</t>
  </si>
  <si>
    <t>3122222West-Down1</t>
  </si>
  <si>
    <t>3122222West-Down2</t>
  </si>
  <si>
    <t>3122222East-Up2</t>
  </si>
  <si>
    <t>3122222East-Up1</t>
  </si>
  <si>
    <t>3122222East-Down1</t>
  </si>
  <si>
    <t>3122222East-Down2</t>
  </si>
  <si>
    <t>3122222North-Left2</t>
  </si>
  <si>
    <t>3122222North-Left1</t>
  </si>
  <si>
    <t>3122222North-Right1</t>
  </si>
  <si>
    <t>3122222North-Right2</t>
  </si>
  <si>
    <t>3122222South-Left2</t>
  </si>
  <si>
    <t>3122222South-Left1</t>
  </si>
  <si>
    <t>3122222South-Right1</t>
  </si>
  <si>
    <t>3122222South-Right2</t>
  </si>
  <si>
    <t>DEEP CREEK 31-05A-3-2E</t>
  </si>
  <si>
    <t>3132212West-Up2</t>
  </si>
  <si>
    <t>3132212West-Up1</t>
  </si>
  <si>
    <t>3132212West-Down1</t>
  </si>
  <si>
    <t>3132212West-Down2</t>
  </si>
  <si>
    <t>3132212East-Up2</t>
  </si>
  <si>
    <t>3132212East-Up1</t>
  </si>
  <si>
    <t>3132212East-Down1</t>
  </si>
  <si>
    <t>3132212East-Down2</t>
  </si>
  <si>
    <t>3132212North-Left2</t>
  </si>
  <si>
    <t>3132212North-Left1</t>
  </si>
  <si>
    <t>3132212North-Right1</t>
  </si>
  <si>
    <t>3132212North-Right2</t>
  </si>
  <si>
    <t>3132212South-Left2</t>
  </si>
  <si>
    <t>3132212South-Left1</t>
  </si>
  <si>
    <t>3132212South-Right1</t>
  </si>
  <si>
    <t>3132212South-Right2</t>
  </si>
  <si>
    <t>Torreys State 1124-32-4</t>
  </si>
  <si>
    <t>321122411West-Up2</t>
  </si>
  <si>
    <t>321122411West-Up1</t>
  </si>
  <si>
    <t>321122411West-Down1</t>
  </si>
  <si>
    <t>321122411West-Down2</t>
  </si>
  <si>
    <t>321122411East-Up2</t>
  </si>
  <si>
    <t>321122411East-Up1</t>
  </si>
  <si>
    <t>321122411East-Down1</t>
  </si>
  <si>
    <t>321122411East-Down2</t>
  </si>
  <si>
    <t>321122411North-Left2</t>
  </si>
  <si>
    <t>321122411North-Left1</t>
  </si>
  <si>
    <t>321122411North-Right1</t>
  </si>
  <si>
    <t>321122411North-Right2</t>
  </si>
  <si>
    <t>321122411South-Left2</t>
  </si>
  <si>
    <t>321122411South-Left1</t>
  </si>
  <si>
    <t>321122411South-Right1</t>
  </si>
  <si>
    <t>321122411South-Right2</t>
  </si>
  <si>
    <t>Three Rivers 32-32T-720</t>
  </si>
  <si>
    <t>32722011West-Up2</t>
  </si>
  <si>
    <t>32722011West-Up1</t>
  </si>
  <si>
    <t>32722011West-Down1</t>
  </si>
  <si>
    <t>32722011West-Down2</t>
  </si>
  <si>
    <t>32722011East-Up2</t>
  </si>
  <si>
    <t>32722011East-Up1</t>
  </si>
  <si>
    <t>32722011East-Down1</t>
  </si>
  <si>
    <t>32722011East-Down2</t>
  </si>
  <si>
    <t>32722011North-Left2</t>
  </si>
  <si>
    <t>32722011North-Left1</t>
  </si>
  <si>
    <t>32722011North-Right1</t>
  </si>
  <si>
    <t>32722011North-Right2</t>
  </si>
  <si>
    <t>32722011South-Left2</t>
  </si>
  <si>
    <t>32722011South-Left1</t>
  </si>
  <si>
    <t>32722011South-Right1</t>
  </si>
  <si>
    <t>32722011South-Right2</t>
  </si>
  <si>
    <t>Murphy Ridge 9-32A</t>
  </si>
  <si>
    <t>3281811West-Up2</t>
  </si>
  <si>
    <t>3281811West-Up1</t>
  </si>
  <si>
    <t>3281811West-Down1</t>
  </si>
  <si>
    <t>3281811West-Down2</t>
  </si>
  <si>
    <t>3281811East-Up2</t>
  </si>
  <si>
    <t>3281811East-Up1</t>
  </si>
  <si>
    <t>3281811East-Down1</t>
  </si>
  <si>
    <t>3281811East-Down2</t>
  </si>
  <si>
    <t>3281811North-Left2</t>
  </si>
  <si>
    <t>3281811North-Left1</t>
  </si>
  <si>
    <t>3281811North-Right1</t>
  </si>
  <si>
    <t>3281811North-Right2</t>
  </si>
  <si>
    <t>3281811South-Left2</t>
  </si>
  <si>
    <t>3281811South-Left1</t>
  </si>
  <si>
    <t>3281811South-Right1</t>
  </si>
  <si>
    <t>3281811South-Right2</t>
  </si>
  <si>
    <t>3222112West-Up2</t>
  </si>
  <si>
    <t>3222112West-Up1</t>
  </si>
  <si>
    <t>3222112West-Down1</t>
  </si>
  <si>
    <t>3222112West-Down2</t>
  </si>
  <si>
    <t>3222112East-Up2</t>
  </si>
  <si>
    <t>3222112East-Up1</t>
  </si>
  <si>
    <t>3222112East-Down1</t>
  </si>
  <si>
    <t>3222112East-Down2</t>
  </si>
  <si>
    <t>3222112North-Left2</t>
  </si>
  <si>
    <t>3222112North-Left1</t>
  </si>
  <si>
    <t>3222112North-Right1</t>
  </si>
  <si>
    <t>3222112North-Right2</t>
  </si>
  <si>
    <t>3222112South-Left2</t>
  </si>
  <si>
    <t>3222112South-Left1</t>
  </si>
  <si>
    <t>3222112South-Right1</t>
  </si>
  <si>
    <t>3222112South-Right2</t>
  </si>
  <si>
    <t>3232112West-Up2</t>
  </si>
  <si>
    <t>3232112West-Up1</t>
  </si>
  <si>
    <t>3232112West-Down1</t>
  </si>
  <si>
    <t>3232112West-Down2</t>
  </si>
  <si>
    <t>3232112East-Up2</t>
  </si>
  <si>
    <t>3232112East-Up1</t>
  </si>
  <si>
    <t>3232112East-Down1</t>
  </si>
  <si>
    <t>3232112East-Down2</t>
  </si>
  <si>
    <t>3232112North-Left2</t>
  </si>
  <si>
    <t>3232112North-Left1</t>
  </si>
  <si>
    <t>3232112North-Right1</t>
  </si>
  <si>
    <t>3232112North-Right2</t>
  </si>
  <si>
    <t>3232112South-Left2</t>
  </si>
  <si>
    <t>3232112South-Left1</t>
  </si>
  <si>
    <t>3232112South-Right1</t>
  </si>
  <si>
    <t>3232112South-Right2</t>
  </si>
  <si>
    <t>3322222West-Up2</t>
  </si>
  <si>
    <t>3322222West-Up1</t>
  </si>
  <si>
    <t>3322222West-Down1</t>
  </si>
  <si>
    <t>3322222West-Down2</t>
  </si>
  <si>
    <t>3322222East-Up2</t>
  </si>
  <si>
    <t>3322222East-Up1</t>
  </si>
  <si>
    <t>3322222East-Down1</t>
  </si>
  <si>
    <t>3322222East-Down2</t>
  </si>
  <si>
    <t>3322222North-Left2</t>
  </si>
  <si>
    <t>3322222North-Left1</t>
  </si>
  <si>
    <t>3322222North-Right1</t>
  </si>
  <si>
    <t>3322222North-Right2</t>
  </si>
  <si>
    <t>3322222South-Left2</t>
  </si>
  <si>
    <t>3322222South-Left1</t>
  </si>
  <si>
    <t>3322222South-Right1</t>
  </si>
  <si>
    <t>3322222South-Right2</t>
  </si>
  <si>
    <t>3322422West-Up2</t>
  </si>
  <si>
    <t>3322422West-Up1</t>
  </si>
  <si>
    <t>3322422West-Down1</t>
  </si>
  <si>
    <t>3322422West-Down2</t>
  </si>
  <si>
    <t>3322422East-Up2</t>
  </si>
  <si>
    <t>3322422East-Up1</t>
  </si>
  <si>
    <t>3322422East-Down1</t>
  </si>
  <si>
    <t>3322422East-Down2</t>
  </si>
  <si>
    <t>3322422North-Left2</t>
  </si>
  <si>
    <t>3322422North-Left1</t>
  </si>
  <si>
    <t>3322422North-Right1</t>
  </si>
  <si>
    <t>3322422North-Right2</t>
  </si>
  <si>
    <t>3322422South-Left2</t>
  </si>
  <si>
    <t>3322422South-Left1</t>
  </si>
  <si>
    <t>3322422South-Right1</t>
  </si>
  <si>
    <t>3322422South-Right2</t>
  </si>
  <si>
    <t>Three Rivers FED 34-11-720</t>
  </si>
  <si>
    <t>34722011West-Up2</t>
  </si>
  <si>
    <t>34722011West-Up1</t>
  </si>
  <si>
    <t>34722011West-Down1</t>
  </si>
  <si>
    <t>34722011West-Down2</t>
  </si>
  <si>
    <t>34722011East-Up2</t>
  </si>
  <si>
    <t>34722011East-Up1</t>
  </si>
  <si>
    <t>34722011East-Down1</t>
  </si>
  <si>
    <t>34722011East-Down2</t>
  </si>
  <si>
    <t>34722011North-Left2</t>
  </si>
  <si>
    <t>34722011North-Left1</t>
  </si>
  <si>
    <t>34722011North-Right1</t>
  </si>
  <si>
    <t>34722011North-Right2</t>
  </si>
  <si>
    <t>34722011South-Left2</t>
  </si>
  <si>
    <t>34722011South-Left1</t>
  </si>
  <si>
    <t>34722011South-Right1</t>
  </si>
  <si>
    <t>34722011South-Right2</t>
  </si>
  <si>
    <t>3422222West-Up2</t>
  </si>
  <si>
    <t>3422222West-Up1</t>
  </si>
  <si>
    <t>3422222West-Down1</t>
  </si>
  <si>
    <t>3422222West-Down2</t>
  </si>
  <si>
    <t>3422222East-Up2</t>
  </si>
  <si>
    <t>3422222East-Up1</t>
  </si>
  <si>
    <t>3422222East-Down1</t>
  </si>
  <si>
    <t>3422222East-Down2</t>
  </si>
  <si>
    <t>3422222North-Left2</t>
  </si>
  <si>
    <t>3422222North-Left1</t>
  </si>
  <si>
    <t>3422222North-Right1</t>
  </si>
  <si>
    <t>3422222North-Right2</t>
  </si>
  <si>
    <t>3422222South-Left2</t>
  </si>
  <si>
    <t>3422222South-Left1</t>
  </si>
  <si>
    <t>3422222South-Right1</t>
  </si>
  <si>
    <t>3422222South-Right2</t>
  </si>
  <si>
    <t>3432122West-Up2</t>
  </si>
  <si>
    <t>3432122West-Up1</t>
  </si>
  <si>
    <t>3432122West-Down1</t>
  </si>
  <si>
    <t>3432122West-Down2</t>
  </si>
  <si>
    <t>3432122East-Up2</t>
  </si>
  <si>
    <t>3432122East-Up1</t>
  </si>
  <si>
    <t>3432122East-Down1</t>
  </si>
  <si>
    <t>3432122East-Down2</t>
  </si>
  <si>
    <t>3432122North-Left2</t>
  </si>
  <si>
    <t>3432122North-Left1</t>
  </si>
  <si>
    <t>3432122North-Right1</t>
  </si>
  <si>
    <t>3432122North-Right2</t>
  </si>
  <si>
    <t>3432122South-Left2</t>
  </si>
  <si>
    <t>3432122South-Left1</t>
  </si>
  <si>
    <t>3432122South-Right1</t>
  </si>
  <si>
    <t>3432122South-Right2</t>
  </si>
  <si>
    <t>3422422West-Up2</t>
  </si>
  <si>
    <t>3422422West-Up1</t>
  </si>
  <si>
    <t>3422422West-Down1</t>
  </si>
  <si>
    <t>3422422West-Down2</t>
  </si>
  <si>
    <t>3422422East-Up2</t>
  </si>
  <si>
    <t>3422422East-Up1</t>
  </si>
  <si>
    <t>3422422East-Down1</t>
  </si>
  <si>
    <t>3422422East-Down2</t>
  </si>
  <si>
    <t>3422422North-Left2</t>
  </si>
  <si>
    <t>3422422North-Left1</t>
  </si>
  <si>
    <t>3422422North-Right1</t>
  </si>
  <si>
    <t>3422422North-Right2</t>
  </si>
  <si>
    <t>3422422South-Left2</t>
  </si>
  <si>
    <t>3422422South-Left1</t>
  </si>
  <si>
    <t>3422422South-Right1</t>
  </si>
  <si>
    <t>3422422South-Right2</t>
  </si>
  <si>
    <t>3532222West-Up2</t>
  </si>
  <si>
    <t>3532222West-Up1</t>
  </si>
  <si>
    <t>3532222West-Down1</t>
  </si>
  <si>
    <t>3532222West-Down2</t>
  </si>
  <si>
    <t>3532222East-Up2</t>
  </si>
  <si>
    <t>3532222East-Up1</t>
  </si>
  <si>
    <t>3532222East-Down1</t>
  </si>
  <si>
    <t>3532222East-Down2</t>
  </si>
  <si>
    <t>3532222North-Left2</t>
  </si>
  <si>
    <t>3532222North-Left1</t>
  </si>
  <si>
    <t>3532222North-Right1</t>
  </si>
  <si>
    <t>3532222North-Right2</t>
  </si>
  <si>
    <t>3532222South-Left2</t>
  </si>
  <si>
    <t>3532222South-Left1</t>
  </si>
  <si>
    <t>3532222South-Right1</t>
  </si>
  <si>
    <t>3532222South-Right2</t>
  </si>
  <si>
    <t>3522422West-Up2</t>
  </si>
  <si>
    <t>3522422West-Up1</t>
  </si>
  <si>
    <t>3522422West-Down1</t>
  </si>
  <si>
    <t>3522422West-Down2</t>
  </si>
  <si>
    <t>3522422East-Up2</t>
  </si>
  <si>
    <t>3522422East-Up1</t>
  </si>
  <si>
    <t>3522422East-Down1</t>
  </si>
  <si>
    <t>3522422East-Down2</t>
  </si>
  <si>
    <t>3522422North-Left2</t>
  </si>
  <si>
    <t>3522422North-Left1</t>
  </si>
  <si>
    <t>3522422North-Right1</t>
  </si>
  <si>
    <t>3522422North-Right2</t>
  </si>
  <si>
    <t>3522422South-Left2</t>
  </si>
  <si>
    <t>3522422South-Left1</t>
  </si>
  <si>
    <t>3522422South-Right1</t>
  </si>
  <si>
    <t>3522422South-Right2</t>
  </si>
  <si>
    <t>3532522West-Up2</t>
  </si>
  <si>
    <t>3532522West-Up1</t>
  </si>
  <si>
    <t>3532522West-Down1</t>
  </si>
  <si>
    <t>3532522West-Down2</t>
  </si>
  <si>
    <t>3532522East-Up2</t>
  </si>
  <si>
    <t>3532522East-Up1</t>
  </si>
  <si>
    <t>3532522East-Down1</t>
  </si>
  <si>
    <t>3532522East-Down2</t>
  </si>
  <si>
    <t>3532522North-Left2</t>
  </si>
  <si>
    <t>3532522North-Left1</t>
  </si>
  <si>
    <t>3532522North-Right1</t>
  </si>
  <si>
    <t>3532522North-Right2</t>
  </si>
  <si>
    <t>3532522South-Left2</t>
  </si>
  <si>
    <t>3532522South-Left1</t>
  </si>
  <si>
    <t>3532522South-Right1</t>
  </si>
  <si>
    <t>3532522South-Right2</t>
  </si>
  <si>
    <t>3522222West-Up2</t>
  </si>
  <si>
    <t>3522222West-Up1</t>
  </si>
  <si>
    <t>3522222West-Down1</t>
  </si>
  <si>
    <t>3522222West-Down2</t>
  </si>
  <si>
    <t>3522222East-Up2</t>
  </si>
  <si>
    <t>3522222East-Up1</t>
  </si>
  <si>
    <t>3522222East-Down1</t>
  </si>
  <si>
    <t>3522222East-Down2</t>
  </si>
  <si>
    <t>3522222North-Left2</t>
  </si>
  <si>
    <t>3522222North-Left1</t>
  </si>
  <si>
    <t>3522222North-Right1</t>
  </si>
  <si>
    <t>3522222North-Right2</t>
  </si>
  <si>
    <t>3522222South-Left2</t>
  </si>
  <si>
    <t>3522222South-Left1</t>
  </si>
  <si>
    <t>3522222South-Right1</t>
  </si>
  <si>
    <t>3522222South-Right2</t>
  </si>
  <si>
    <t>3522122West-Up2</t>
  </si>
  <si>
    <t>3522122West-Up1</t>
  </si>
  <si>
    <t>3522122West-Down1</t>
  </si>
  <si>
    <t>3522122West-Down2</t>
  </si>
  <si>
    <t>3522122East-Up2</t>
  </si>
  <si>
    <t>3522122East-Up1</t>
  </si>
  <si>
    <t>3522122East-Down1</t>
  </si>
  <si>
    <t>3522122East-Down2</t>
  </si>
  <si>
    <t>3522122North-Left2</t>
  </si>
  <si>
    <t>3522122North-Left1</t>
  </si>
  <si>
    <t>3522122North-Right1</t>
  </si>
  <si>
    <t>3522122North-Right2</t>
  </si>
  <si>
    <t>3522122South-Left2</t>
  </si>
  <si>
    <t>3522122South-Left1</t>
  </si>
  <si>
    <t>3522122South-Right1</t>
  </si>
  <si>
    <t>3522122South-Right2</t>
  </si>
  <si>
    <t>Deep Creek Tribal 35-10-4-2E</t>
  </si>
  <si>
    <t>3542212West-Up2</t>
  </si>
  <si>
    <t>3542212West-Up1</t>
  </si>
  <si>
    <t>3542212West-Down1</t>
  </si>
  <si>
    <t>3542212West-Down2</t>
  </si>
  <si>
    <t>3542212East-Up2</t>
  </si>
  <si>
    <t>3542212East-Up1</t>
  </si>
  <si>
    <t>3542212East-Down1</t>
  </si>
  <si>
    <t>3542212East-Down2</t>
  </si>
  <si>
    <t>3542212North-Left2</t>
  </si>
  <si>
    <t>3542212North-Left1</t>
  </si>
  <si>
    <t>3542212North-Right1</t>
  </si>
  <si>
    <t>3542212North-Right2</t>
  </si>
  <si>
    <t>3542212South-Left2</t>
  </si>
  <si>
    <t>3542212South-Left1</t>
  </si>
  <si>
    <t>3542212South-Right1</t>
  </si>
  <si>
    <t>3542212South-Right2</t>
  </si>
  <si>
    <t>36621911West-Up2</t>
  </si>
  <si>
    <t>36621911West-Up1</t>
  </si>
  <si>
    <t>36621911West-Down1</t>
  </si>
  <si>
    <t>36621911West-Down2</t>
  </si>
  <si>
    <t>36621911East-Up2</t>
  </si>
  <si>
    <t>36621911East-Up1</t>
  </si>
  <si>
    <t>36621911East-Down1</t>
  </si>
  <si>
    <t>36621911East-Down2</t>
  </si>
  <si>
    <t>36621911North-Left2</t>
  </si>
  <si>
    <t>36621911North-Left1</t>
  </si>
  <si>
    <t>36621911North-Right1</t>
  </si>
  <si>
    <t>36621911North-Right2</t>
  </si>
  <si>
    <t>36621911South-Left2</t>
  </si>
  <si>
    <t>36621911South-Left1</t>
  </si>
  <si>
    <t>36621911South-Right1</t>
  </si>
  <si>
    <t>36621911South-Right2</t>
  </si>
  <si>
    <t>Fed State 36-4A-9-19</t>
  </si>
  <si>
    <t>36921911West-Up2</t>
  </si>
  <si>
    <t>36921911West-Up1</t>
  </si>
  <si>
    <t>36921911West-Down1</t>
  </si>
  <si>
    <t>36921911West-Down2</t>
  </si>
  <si>
    <t>36921911East-Up2</t>
  </si>
  <si>
    <t>36921911East-Up1</t>
  </si>
  <si>
    <t>36921911East-Down1</t>
  </si>
  <si>
    <t>36921911East-Down2</t>
  </si>
  <si>
    <t>36921911North-Left2</t>
  </si>
  <si>
    <t>36921911North-Left1</t>
  </si>
  <si>
    <t>36921911North-Right1</t>
  </si>
  <si>
    <t>36921911North-Right2</t>
  </si>
  <si>
    <t>36921911South-Left2</t>
  </si>
  <si>
    <t>36921911South-Left1</t>
  </si>
  <si>
    <t>36921911South-Right1</t>
  </si>
  <si>
    <t>36921911South-Right2</t>
  </si>
  <si>
    <t>3622122West-Up2</t>
  </si>
  <si>
    <t>3622122West-Up1</t>
  </si>
  <si>
    <t>3622122West-Down1</t>
  </si>
  <si>
    <t>3622122West-Down2</t>
  </si>
  <si>
    <t>3622122East-Up2</t>
  </si>
  <si>
    <t>3622122East-Up1</t>
  </si>
  <si>
    <t>3622122East-Down1</t>
  </si>
  <si>
    <t>3622122East-Down2</t>
  </si>
  <si>
    <t>3622122North-Left2</t>
  </si>
  <si>
    <t>3622122North-Left1</t>
  </si>
  <si>
    <t>3622122North-Right1</t>
  </si>
  <si>
    <t>3622122North-Right2</t>
  </si>
  <si>
    <t>3622122South-Left2</t>
  </si>
  <si>
    <t>3622122South-Left1</t>
  </si>
  <si>
    <t>3622122South-Right1</t>
  </si>
  <si>
    <t>3622122South-Right2</t>
  </si>
  <si>
    <t>3622222West-Up2</t>
  </si>
  <si>
    <t>3622222West-Up1</t>
  </si>
  <si>
    <t>3622222West-Down1</t>
  </si>
  <si>
    <t>3622222West-Down2</t>
  </si>
  <si>
    <t>3622222East-Up2</t>
  </si>
  <si>
    <t>3622222East-Up1</t>
  </si>
  <si>
    <t>3622222East-Down1</t>
  </si>
  <si>
    <t>3622222East-Down2</t>
  </si>
  <si>
    <t>3622222North-Left2</t>
  </si>
  <si>
    <t>3622222North-Left1</t>
  </si>
  <si>
    <t>3622222North-Right1</t>
  </si>
  <si>
    <t>3622222North-Right2</t>
  </si>
  <si>
    <t>3622222South-Left2</t>
  </si>
  <si>
    <t>3622222South-Left1</t>
  </si>
  <si>
    <t>3622222South-Right1</t>
  </si>
  <si>
    <t>3622222South-Right2</t>
  </si>
  <si>
    <t>3632122West-Up2</t>
  </si>
  <si>
    <t>3632122West-Up1</t>
  </si>
  <si>
    <t>3632122West-Down1</t>
  </si>
  <si>
    <t>3632122West-Down2</t>
  </si>
  <si>
    <t>3632122East-Up2</t>
  </si>
  <si>
    <t>3632122East-Up1</t>
  </si>
  <si>
    <t>3632122East-Down1</t>
  </si>
  <si>
    <t>3632122East-Down2</t>
  </si>
  <si>
    <t>3632122North-Left2</t>
  </si>
  <si>
    <t>3632122North-Left1</t>
  </si>
  <si>
    <t>3632122North-Right1</t>
  </si>
  <si>
    <t>3632122North-Right2</t>
  </si>
  <si>
    <t>3632122South-Left2</t>
  </si>
  <si>
    <t>3632122South-Left1</t>
  </si>
  <si>
    <t>3632122South-Right1</t>
  </si>
  <si>
    <t>3632122South-Right2</t>
  </si>
  <si>
    <t>3632222West-Up2</t>
  </si>
  <si>
    <t>3632222West-Up1</t>
  </si>
  <si>
    <t>3632222West-Down1</t>
  </si>
  <si>
    <t>3632222West-Down2</t>
  </si>
  <si>
    <t>3632222East-Up2</t>
  </si>
  <si>
    <t>3632222East-Up1</t>
  </si>
  <si>
    <t>3632222East-Down1</t>
  </si>
  <si>
    <t>3632222East-Down2</t>
  </si>
  <si>
    <t>3632222North-Left2</t>
  </si>
  <si>
    <t>3632222North-Left1</t>
  </si>
  <si>
    <t>3632222North-Right1</t>
  </si>
  <si>
    <t>3632222North-Right2</t>
  </si>
  <si>
    <t>3632222South-Left2</t>
  </si>
  <si>
    <t>3632222South-Left1</t>
  </si>
  <si>
    <t>3632222South-Right1</t>
  </si>
  <si>
    <t>3632222South-Right2</t>
  </si>
  <si>
    <t>3642422West-Up2</t>
  </si>
  <si>
    <t>3642422West-Up1</t>
  </si>
  <si>
    <t>3642422West-Down1</t>
  </si>
  <si>
    <t>3642422West-Down2</t>
  </si>
  <si>
    <t>3642422East-Up2</t>
  </si>
  <si>
    <t>3642422East-Up1</t>
  </si>
  <si>
    <t>3642422East-Down1</t>
  </si>
  <si>
    <t>3642422East-Down2</t>
  </si>
  <si>
    <t>3642422North-Left2</t>
  </si>
  <si>
    <t>3642422North-Left1</t>
  </si>
  <si>
    <t>3642422North-Right1</t>
  </si>
  <si>
    <t>3642422North-Right2</t>
  </si>
  <si>
    <t>3642422South-Left2</t>
  </si>
  <si>
    <t>3642422South-Left1</t>
  </si>
  <si>
    <t>3642422South-Right1</t>
  </si>
  <si>
    <t>3642422South-Right2</t>
  </si>
  <si>
    <t>LC Fee 11-36D-56</t>
  </si>
  <si>
    <t>3652622West-Up2</t>
  </si>
  <si>
    <t>3652622West-Up1</t>
  </si>
  <si>
    <t>3652622West-Down1</t>
  </si>
  <si>
    <t>3652622West-Down2</t>
  </si>
  <si>
    <t>3652622East-Up2</t>
  </si>
  <si>
    <t>3652622East-Up1</t>
  </si>
  <si>
    <t>3652622East-Down1</t>
  </si>
  <si>
    <t>3652622East-Down2</t>
  </si>
  <si>
    <t>3652622North-Left2</t>
  </si>
  <si>
    <t>3652622North-Left1</t>
  </si>
  <si>
    <t>3652622North-Right1</t>
  </si>
  <si>
    <t>3652622North-Right2</t>
  </si>
  <si>
    <t>3652622South-Left2</t>
  </si>
  <si>
    <t>3652622South-Left1</t>
  </si>
  <si>
    <t>3652622South-Right1</t>
  </si>
  <si>
    <t>3652622South-Right2</t>
  </si>
  <si>
    <t>3632522West-Up2</t>
  </si>
  <si>
    <t>3632522West-Up1</t>
  </si>
  <si>
    <t>3632522West-Down1</t>
  </si>
  <si>
    <t>3632522West-Down2</t>
  </si>
  <si>
    <t>3632522East-Up2</t>
  </si>
  <si>
    <t>3632522East-Up1</t>
  </si>
  <si>
    <t>3632522East-Down1</t>
  </si>
  <si>
    <t>3632522East-Down2</t>
  </si>
  <si>
    <t>3632522North-Left2</t>
  </si>
  <si>
    <t>3632522North-Left1</t>
  </si>
  <si>
    <t>3632522North-Right1</t>
  </si>
  <si>
    <t>3632522North-Right2</t>
  </si>
  <si>
    <t>3632522South-Left2</t>
  </si>
  <si>
    <t>3632522South-Left1</t>
  </si>
  <si>
    <t>3632522South-Right1</t>
  </si>
  <si>
    <t>3632522South-Right2</t>
  </si>
  <si>
    <t>DEEP CREEK 36-08A-3-1E</t>
  </si>
  <si>
    <t>3632112West-Up2</t>
  </si>
  <si>
    <t>3632112West-Up1</t>
  </si>
  <si>
    <t>3632112West-Down1</t>
  </si>
  <si>
    <t>3632112West-Down2</t>
  </si>
  <si>
    <t>3632112East-Up2</t>
  </si>
  <si>
    <t>3632112East-Up1</t>
  </si>
  <si>
    <t>3632112East-Down1</t>
  </si>
  <si>
    <t>3632112East-Down2</t>
  </si>
  <si>
    <t>3632112North-Left2</t>
  </si>
  <si>
    <t>3632112North-Left1</t>
  </si>
  <si>
    <t>3632112North-Right1</t>
  </si>
  <si>
    <t>3632112North-Right2</t>
  </si>
  <si>
    <t>3632112South-Left2</t>
  </si>
  <si>
    <t>3632112South-Left1</t>
  </si>
  <si>
    <t>3632112South-Right1</t>
  </si>
  <si>
    <t>3632112South-Right2</t>
  </si>
  <si>
    <t>KAREN 68-3130-22V</t>
  </si>
  <si>
    <t>3132222West-Up2</t>
  </si>
  <si>
    <t>4.28.2021</t>
  </si>
  <si>
    <t>3132222West-Up1</t>
  </si>
  <si>
    <t>3132222West-Down1</t>
  </si>
  <si>
    <t>3132222West-Down2</t>
  </si>
  <si>
    <t>3132222East-Up2</t>
  </si>
  <si>
    <t>3132222East-Up1</t>
  </si>
  <si>
    <t>3132222East-Down1</t>
  </si>
  <si>
    <t>3132222East-Down2</t>
  </si>
  <si>
    <t>3132222North-Left2</t>
  </si>
  <si>
    <t>3132222North-Left1</t>
  </si>
  <si>
    <t>3132222North-Right1</t>
  </si>
  <si>
    <t>3132222North-Right2</t>
  </si>
  <si>
    <t>3132222South-Left2</t>
  </si>
  <si>
    <t>3132222South-Left1</t>
  </si>
  <si>
    <t>3132222South-Right1</t>
  </si>
  <si>
    <t>3132222South-Right2</t>
  </si>
  <si>
    <t>3032222West-Up2</t>
  </si>
  <si>
    <t>3032222West-Up1</t>
  </si>
  <si>
    <t>3032222West-Down1</t>
  </si>
  <si>
    <t>3032222West-Down2</t>
  </si>
  <si>
    <t>3032222East-Up2</t>
  </si>
  <si>
    <t>3032222East-Up1</t>
  </si>
  <si>
    <t>3032222East-Down1</t>
  </si>
  <si>
    <t>3032222East-Down2</t>
  </si>
  <si>
    <t>3032222North-Left2</t>
  </si>
  <si>
    <t>3032222North-Left1</t>
  </si>
  <si>
    <t>3032222North-Right1</t>
  </si>
  <si>
    <t>3032222North-Right2</t>
  </si>
  <si>
    <t>3032222South-Left2</t>
  </si>
  <si>
    <t>3032222South-Left1</t>
  </si>
  <si>
    <t>3032222South-Right1</t>
  </si>
  <si>
    <t>3032222South-Right2</t>
  </si>
  <si>
    <t>Todd 3-2B1</t>
  </si>
  <si>
    <t>Deep Creek 36-08!-3-1E</t>
  </si>
  <si>
    <t>BHL Location</t>
  </si>
  <si>
    <t>SHL Section</t>
  </si>
  <si>
    <t>BHL Section 1</t>
  </si>
  <si>
    <t>BHL Section 2</t>
  </si>
  <si>
    <t>BHL Section 3</t>
  </si>
  <si>
    <t>BHL Section 4</t>
  </si>
  <si>
    <t>Xcoord</t>
  </si>
  <si>
    <t>Ycoord</t>
  </si>
  <si>
    <t>0 0</t>
  </si>
  <si>
    <t>0 1</t>
  </si>
  <si>
    <t>0 2</t>
  </si>
  <si>
    <t>0 3</t>
  </si>
  <si>
    <t>0 4</t>
  </si>
  <si>
    <t>1 0</t>
  </si>
  <si>
    <t>1 1</t>
  </si>
  <si>
    <t>1 2</t>
  </si>
  <si>
    <t>1 3</t>
  </si>
  <si>
    <t>1 4</t>
  </si>
  <si>
    <t xml:space="preserve">2 0 </t>
  </si>
  <si>
    <t>2 1</t>
  </si>
  <si>
    <t>2 2</t>
  </si>
  <si>
    <t>2 3</t>
  </si>
  <si>
    <t>2 4</t>
  </si>
  <si>
    <t>3 0</t>
  </si>
  <si>
    <t>3 1</t>
  </si>
  <si>
    <t>3 2</t>
  </si>
  <si>
    <t>3 3</t>
  </si>
  <si>
    <t>3 4</t>
  </si>
  <si>
    <t>X</t>
  </si>
  <si>
    <t>Y</t>
  </si>
  <si>
    <t>CalcMD</t>
  </si>
  <si>
    <t>GiveMD</t>
  </si>
  <si>
    <t>5.5.2021</t>
  </si>
  <si>
    <t>RD Tribal 17S-31E-H7UB</t>
  </si>
  <si>
    <t>RD Tribal 18S-31E-H1UB</t>
  </si>
  <si>
    <t>5.05.2021</t>
  </si>
  <si>
    <t>Kendall 3.5-17-3-1E-H2</t>
  </si>
  <si>
    <t>7.16.2021</t>
  </si>
  <si>
    <t>Butcher Butte 14-81EWH-23</t>
  </si>
  <si>
    <t>1522321West-Up2</t>
  </si>
  <si>
    <t>8.6.2021</t>
  </si>
  <si>
    <t>1522321West-Up1</t>
  </si>
  <si>
    <t>1522321West-Down1</t>
  </si>
  <si>
    <t>1522321West-Down2</t>
  </si>
  <si>
    <t>1522321East-Up2</t>
  </si>
  <si>
    <t>1522321East-Up1</t>
  </si>
  <si>
    <t>1522321East-Down1</t>
  </si>
  <si>
    <t>1522321East-Down2</t>
  </si>
  <si>
    <t>1522321North-Left2</t>
  </si>
  <si>
    <t>1522321North-Left1</t>
  </si>
  <si>
    <t>1522321North-Right1</t>
  </si>
  <si>
    <t>1522321North-Right2</t>
  </si>
  <si>
    <t>1522321South-Left2</t>
  </si>
  <si>
    <t>1522321South-Left1</t>
  </si>
  <si>
    <t>1522321South-Right1</t>
  </si>
  <si>
    <t>1522321South-Right2</t>
  </si>
  <si>
    <t>1422321West-Up2</t>
  </si>
  <si>
    <t>1422321West-Up1</t>
  </si>
  <si>
    <t>1422321West-Down1</t>
  </si>
  <si>
    <t>1422321West-Down2</t>
  </si>
  <si>
    <t>1422321East-Up2</t>
  </si>
  <si>
    <t>1422321East-Up1</t>
  </si>
  <si>
    <t>1422321East-Down1</t>
  </si>
  <si>
    <t>1422321East-Down2</t>
  </si>
  <si>
    <t>1422321North-Left2</t>
  </si>
  <si>
    <t>1422321North-Left1</t>
  </si>
  <si>
    <t>1422321North-Right1</t>
  </si>
  <si>
    <t>1422321North-Right2</t>
  </si>
  <si>
    <t>1422321South-Left2</t>
  </si>
  <si>
    <t>1422321South-Left1</t>
  </si>
  <si>
    <t>1422321South-Right1</t>
  </si>
  <si>
    <t>1422321South-Right2</t>
  </si>
  <si>
    <t>1322321West-Up2</t>
  </si>
  <si>
    <t>1322321West-Up1</t>
  </si>
  <si>
    <t>1322321West-Down1</t>
  </si>
  <si>
    <t>1322321West-Down2</t>
  </si>
  <si>
    <t>1322321East-Up2</t>
  </si>
  <si>
    <t>1322321East-Up1</t>
  </si>
  <si>
    <t>1322321East-Down1</t>
  </si>
  <si>
    <t>1322321East-Down2</t>
  </si>
  <si>
    <t>1322321North-Left2</t>
  </si>
  <si>
    <t>1322321North-Left1</t>
  </si>
  <si>
    <t>1322321North-Right1</t>
  </si>
  <si>
    <t>1322321North-Right2</t>
  </si>
  <si>
    <t>1322321South-Left2</t>
  </si>
  <si>
    <t>1322321South-Left1</t>
  </si>
  <si>
    <t>1322321South-Right1</t>
  </si>
  <si>
    <t>1322321South-Right2</t>
  </si>
  <si>
    <t>Red Mountain H1W-11-4-2S-1W</t>
  </si>
  <si>
    <t>8.16.2021</t>
  </si>
  <si>
    <t>Winterton 14-20-17-2-1W-H1</t>
  </si>
  <si>
    <t>Galloway West H1W-11-14-2S-2W</t>
  </si>
  <si>
    <t>9.14.2021</t>
  </si>
  <si>
    <t>Aurora 12-3-7-19</t>
  </si>
  <si>
    <t>9.16.2021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</si>
</sst>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0;[Red]0.00"/>
    <numFmt numFmtId="167" formatCode="0.00000"/>
    <numFmt numFmtId="168" formatCode="0.0"/>
    <numFmt numFmtId="169" formatCode="0.000"/>
  </numFmts>
  <fonts count="124" x14ac:knownFonts="1">
    <font>
      <sz val="11"/>
      <color theme="1"/>
      <name val="Calibri"/>
      <family val="2"/>
      <scheme val="minor"/>
    </font>
    <font>
      <sz val="9.9"/>
      <color theme="1"/>
      <name val="Arial Narrow"/>
      <family val="2"/>
    </font>
    <font>
      <b/>
      <sz val="9.9"/>
      <color rgb="FFFFFFFF"/>
      <name val="Arial Narrow"/>
      <family val="2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i/>
      <u/>
      <sz val="7"/>
      <name val="Arial"/>
      <family val="2"/>
    </font>
    <font>
      <b/>
      <sz val="8"/>
      <name val="Arial"/>
      <family val="2"/>
    </font>
    <font>
      <b/>
      <u/>
      <sz val="10"/>
      <color rgb="FF000080"/>
      <name val="Arial"/>
      <family val="2"/>
    </font>
    <font>
      <b/>
      <sz val="9"/>
      <color rgb="FFFFFFFF"/>
      <name val="Arial"/>
      <family val="2"/>
    </font>
    <font>
      <b/>
      <sz val="10"/>
      <color rgb="FFFFFFFF"/>
      <name val="Arial"/>
      <family val="2"/>
    </font>
    <font>
      <b/>
      <u/>
      <sz val="9"/>
      <color rgb="FF800000"/>
      <name val="Arial"/>
      <family val="2"/>
    </font>
    <font>
      <b/>
      <i/>
      <sz val="8"/>
      <color rgb="FF800000"/>
      <name val="Arial"/>
      <family val="2"/>
    </font>
    <font>
      <sz val="10"/>
      <color rgb="FF800000"/>
      <name val="Arial"/>
      <family val="2"/>
    </font>
    <font>
      <sz val="9"/>
      <color rgb="FFFF0000"/>
      <name val="Arial"/>
      <family val="2"/>
    </font>
    <font>
      <sz val="10"/>
      <color rgb="FF000080"/>
      <name val="Arial"/>
      <family val="2"/>
    </font>
    <font>
      <sz val="9"/>
      <color rgb="FF993300"/>
      <name val="Arial"/>
      <family val="2"/>
    </font>
    <font>
      <sz val="10"/>
      <color rgb="FF993300"/>
      <name val="Arial"/>
      <family val="2"/>
    </font>
    <font>
      <sz val="9"/>
      <color rgb="FF000000"/>
      <name val="Arial"/>
      <family val="2"/>
    </font>
    <font>
      <sz val="8"/>
      <color rgb="FF993300"/>
      <name val="Arial"/>
      <family val="2"/>
    </font>
    <font>
      <b/>
      <i/>
      <sz val="7"/>
      <color rgb="FFFF0000"/>
      <name val="Arial"/>
      <family val="2"/>
    </font>
    <font>
      <b/>
      <u/>
      <sz val="7"/>
      <color rgb="FFFF0000"/>
      <name val="Arial"/>
      <family val="2"/>
    </font>
    <font>
      <b/>
      <sz val="9"/>
      <color rgb="FF808080"/>
      <name val="Arial"/>
      <family val="2"/>
    </font>
    <font>
      <sz val="9"/>
      <color rgb="FF808080"/>
      <name val="Arial"/>
      <family val="2"/>
    </font>
    <font>
      <b/>
      <u/>
      <sz val="9"/>
      <color rgb="FF808080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b/>
      <i/>
      <u/>
      <sz val="7.2"/>
      <color rgb="FF000080"/>
      <name val="Arial"/>
      <family val="2"/>
    </font>
    <font>
      <b/>
      <sz val="10"/>
      <color rgb="FF333333"/>
      <name val="Arial"/>
      <family val="2"/>
    </font>
    <font>
      <b/>
      <u/>
      <sz val="9"/>
      <color rgb="FF666699"/>
      <name val="Arial"/>
      <family val="2"/>
    </font>
    <font>
      <b/>
      <sz val="9"/>
      <color rgb="FF008000"/>
      <name val="Arial"/>
      <family val="2"/>
    </font>
    <font>
      <sz val="9"/>
      <color rgb="FF008000"/>
      <name val="Arial"/>
      <family val="2"/>
    </font>
    <font>
      <b/>
      <i/>
      <sz val="8"/>
      <color rgb="FFFF0000"/>
      <name val="Arial"/>
      <family val="2"/>
    </font>
    <font>
      <b/>
      <u/>
      <sz val="9"/>
      <color rgb="FF0000FF"/>
      <name val="Arial"/>
      <family val="2"/>
    </font>
    <font>
      <b/>
      <i/>
      <sz val="9"/>
      <color rgb="FF000080"/>
      <name val="Arial"/>
      <family val="2"/>
    </font>
    <font>
      <b/>
      <u/>
      <sz val="9"/>
      <color rgb="FF800000"/>
      <name val="Arial"/>
      <family val="2"/>
    </font>
    <font>
      <b/>
      <i/>
      <sz val="9"/>
      <color rgb="FFFF0000"/>
      <name val="Arial"/>
      <family val="2"/>
    </font>
    <font>
      <b/>
      <sz val="10"/>
      <color rgb="FF0000FF"/>
      <name val="Arial"/>
      <family val="2"/>
    </font>
    <font>
      <i/>
      <sz val="8"/>
      <color rgb="FF993300"/>
      <name val="Arial"/>
      <family val="2"/>
    </font>
    <font>
      <b/>
      <sz val="9"/>
      <color rgb="FF800000"/>
      <name val="Arial"/>
      <family val="2"/>
    </font>
    <font>
      <sz val="9"/>
      <color rgb="FF800000"/>
      <name val="Arial"/>
      <family val="2"/>
    </font>
    <font>
      <sz val="8"/>
      <color rgb="FF000000"/>
      <name val="Arial"/>
      <family val="2"/>
    </font>
    <font>
      <b/>
      <sz val="9"/>
      <color rgb="FF993366"/>
      <name val="Arial"/>
      <family val="2"/>
    </font>
    <font>
      <u/>
      <sz val="9"/>
      <color rgb="FF993366"/>
      <name val="Arial"/>
      <family val="2"/>
    </font>
    <font>
      <sz val="9"/>
      <color rgb="FF993366"/>
      <name val="Arial"/>
      <family val="2"/>
    </font>
    <font>
      <sz val="9"/>
      <color rgb="FF993366"/>
      <name val="Arial"/>
      <family val="2"/>
    </font>
    <font>
      <sz val="10"/>
      <color rgb="FF993366"/>
      <name val="Arial"/>
      <family val="2"/>
    </font>
    <font>
      <b/>
      <i/>
      <u/>
      <sz val="8"/>
      <color rgb="FF008000"/>
      <name val="Arial"/>
      <family val="2"/>
    </font>
    <font>
      <sz val="9"/>
      <color rgb="FF993300"/>
      <name val="Arial"/>
      <family val="2"/>
    </font>
    <font>
      <b/>
      <i/>
      <sz val="8"/>
      <color rgb="FF008000"/>
      <name val="Arial"/>
      <family val="2"/>
    </font>
    <font>
      <b/>
      <sz val="9"/>
      <color rgb="FF333333"/>
      <name val="Arial"/>
      <family val="2"/>
    </font>
    <font>
      <b/>
      <u/>
      <sz val="9"/>
      <color rgb="FF969696"/>
      <name val="Arial"/>
      <family val="2"/>
    </font>
    <font>
      <b/>
      <sz val="9"/>
      <color rgb="FFFF0000"/>
      <name val="Arial"/>
      <family val="2"/>
    </font>
    <font>
      <b/>
      <i/>
      <u/>
      <sz val="8"/>
      <color rgb="FF800000"/>
      <name val="Arial"/>
      <family val="2"/>
    </font>
    <font>
      <sz val="10"/>
      <color rgb="FF000000"/>
      <name val="Arial"/>
      <family val="2"/>
    </font>
    <font>
      <b/>
      <i/>
      <sz val="9"/>
      <color rgb="FF3366FF"/>
      <name val="Arial"/>
      <family val="2"/>
    </font>
    <font>
      <b/>
      <sz val="10"/>
      <color rgb="FF000000"/>
      <name val="Arial"/>
      <family val="2"/>
    </font>
    <font>
      <u/>
      <sz val="9"/>
      <color rgb="FF800000"/>
      <name val="Arial"/>
      <family val="2"/>
    </font>
    <font>
      <b/>
      <sz val="9"/>
      <color rgb="FF0000FF"/>
      <name val="Arial"/>
      <family val="2"/>
    </font>
    <font>
      <b/>
      <i/>
      <sz val="8"/>
      <color rgb="FF000080"/>
      <name val="Arial"/>
      <family val="2"/>
    </font>
    <font>
      <b/>
      <i/>
      <sz val="7.2"/>
      <color rgb="FFFF0000"/>
      <name val="Arial"/>
      <family val="2"/>
    </font>
    <font>
      <b/>
      <sz val="9"/>
      <color rgb="FF666699"/>
      <name val="Arial"/>
      <family val="2"/>
    </font>
    <font>
      <sz val="9"/>
      <color rgb="FF666699"/>
      <name val="Arial"/>
      <family val="2"/>
    </font>
    <font>
      <b/>
      <i/>
      <sz val="10"/>
      <color rgb="FFFFFFFF"/>
      <name val="Arial"/>
      <family val="2"/>
    </font>
    <font>
      <b/>
      <i/>
      <u/>
      <sz val="9"/>
      <color rgb="FFFF00FF"/>
      <name val="Arial"/>
      <family val="2"/>
    </font>
    <font>
      <sz val="9"/>
      <color rgb="FF0000FF"/>
      <name val="Arial"/>
      <family val="2"/>
    </font>
    <font>
      <b/>
      <u/>
      <sz val="10"/>
      <color rgb="FFFF0000"/>
      <name val="Arial"/>
      <family val="2"/>
    </font>
    <font>
      <b/>
      <i/>
      <u/>
      <sz val="9"/>
      <color rgb="FF008000"/>
      <name val="Arial"/>
      <family val="2"/>
    </font>
    <font>
      <b/>
      <sz val="8"/>
      <color rgb="FFFF0000"/>
      <name val="Arial"/>
      <family val="2"/>
    </font>
    <font>
      <b/>
      <i/>
      <u/>
      <sz val="9"/>
      <color rgb="FF3366FF"/>
      <name val="Arial"/>
      <family val="2"/>
    </font>
    <font>
      <b/>
      <i/>
      <u/>
      <sz val="9"/>
      <color rgb="FF000000"/>
      <name val="Arial"/>
      <family val="2"/>
    </font>
    <font>
      <sz val="9"/>
      <color rgb="FF000080"/>
      <name val="Arial"/>
      <family val="2"/>
    </font>
    <font>
      <b/>
      <i/>
      <u/>
      <sz val="7"/>
      <color rgb="FF000080"/>
      <name val="Arial"/>
      <family val="2"/>
    </font>
    <font>
      <b/>
      <i/>
      <u/>
      <sz val="9"/>
      <color rgb="FF000080"/>
      <name val="Arial"/>
      <family val="2"/>
    </font>
    <font>
      <b/>
      <i/>
      <u/>
      <sz val="9"/>
      <color rgb="FFFF0000"/>
      <name val="Arial"/>
      <family val="2"/>
    </font>
    <font>
      <sz val="9"/>
      <color rgb="FF800000"/>
      <name val="Arial"/>
      <family val="2"/>
    </font>
    <font>
      <b/>
      <sz val="9"/>
      <color rgb="FF339966"/>
      <name val="Arial"/>
      <family val="2"/>
    </font>
    <font>
      <i/>
      <sz val="9"/>
      <color rgb="FF00008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rgb="FF800000"/>
      <name val="Verdana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sz val="10"/>
      <color indexed="17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Narrow"/>
      <family val="2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  <charset val="1"/>
    </font>
    <font>
      <sz val="10"/>
      <color theme="4" tint="-0.499984740745262"/>
      <name val="Arial"/>
      <family val="2"/>
    </font>
    <font>
      <sz val="11"/>
      <color theme="4" tint="-0.499984740745262"/>
      <name val="Calibri"/>
      <family val="2"/>
      <scheme val="minor"/>
    </font>
    <font>
      <sz val="10"/>
      <color theme="4" tint="-0.499984740745262"/>
      <name val="Arial"/>
      <family val="2"/>
      <charset val="1"/>
    </font>
    <font>
      <b/>
      <sz val="10"/>
      <color theme="4" tint="-0.499984740745262"/>
      <name val="Arial"/>
      <family val="2"/>
    </font>
    <font>
      <sz val="1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4EED0"/>
        <bgColor indexed="64"/>
      </patternFill>
    </fill>
    <fill>
      <patternFill patternType="solid">
        <fgColor rgb="FFA9C96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8000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lightDown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lightUp"/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23">
    <border>
      <left/>
      <right/>
      <top/>
      <bottom/>
      <diagonal/>
    </border>
    <border>
      <left style="medium">
        <color rgb="FF2B4CAC"/>
      </left>
      <right/>
      <top/>
      <bottom/>
      <diagonal/>
    </border>
    <border>
      <left style="thick">
        <color rgb="FFA9C969"/>
      </left>
      <right/>
      <top style="medium">
        <color rgb="FF2B4CAC"/>
      </top>
      <bottom/>
      <diagonal/>
    </border>
    <border>
      <left style="medium">
        <color rgb="FF2B4CAC"/>
      </left>
      <right/>
      <top style="medium">
        <color rgb="FF2B4CAC"/>
      </top>
      <bottom/>
      <diagonal/>
    </border>
    <border>
      <left style="medium">
        <color rgb="FF2B4CAC"/>
      </left>
      <right style="medium">
        <color rgb="FF2B4CAC"/>
      </right>
      <top style="medium">
        <color rgb="FF2B4CAC"/>
      </top>
      <bottom/>
      <diagonal/>
    </border>
    <border>
      <left style="thick">
        <color rgb="FFA9C969"/>
      </left>
      <right/>
      <top/>
      <bottom/>
      <diagonal/>
    </border>
    <border>
      <left style="medium">
        <color rgb="FF2B4CAC"/>
      </left>
      <right style="medium">
        <color rgb="FF2B4CAC"/>
      </right>
      <top/>
      <bottom/>
      <diagonal/>
    </border>
    <border>
      <left style="thick">
        <color rgb="FFA9C969"/>
      </left>
      <right/>
      <top/>
      <bottom style="medium">
        <color rgb="FF2B4CAC"/>
      </bottom>
      <diagonal/>
    </border>
    <border>
      <left style="medium">
        <color rgb="FF2B4CAC"/>
      </left>
      <right/>
      <top/>
      <bottom style="medium">
        <color rgb="FF2B4CAC"/>
      </bottom>
      <diagonal/>
    </border>
    <border>
      <left style="medium">
        <color rgb="FF2B4CAC"/>
      </left>
      <right style="medium">
        <color rgb="FF2B4CAC"/>
      </right>
      <top/>
      <bottom style="medium">
        <color rgb="FF2B4CAC"/>
      </bottom>
      <diagonal/>
    </border>
    <border>
      <left/>
      <right/>
      <top/>
      <bottom style="medium">
        <color rgb="FF2B4CAC"/>
      </bottom>
      <diagonal/>
    </border>
    <border>
      <left/>
      <right/>
      <top style="medium">
        <color rgb="FF2B4CAC"/>
      </top>
      <bottom/>
      <diagonal/>
    </border>
    <border>
      <left/>
      <right style="medium">
        <color rgb="FF2B4CAC"/>
      </right>
      <top style="medium">
        <color rgb="FF2B4CAC"/>
      </top>
      <bottom/>
      <diagonal/>
    </border>
    <border>
      <left/>
      <right style="medium">
        <color rgb="FF2B4CAC"/>
      </right>
      <top/>
      <bottom/>
      <diagonal/>
    </border>
    <border>
      <left/>
      <right style="medium">
        <color rgb="FF2B4CAC"/>
      </right>
      <top/>
      <bottom style="medium">
        <color rgb="FF2B4CA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/>
      <right/>
      <top style="mediumDashed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ashed">
        <color auto="1"/>
      </top>
      <bottom style="dashed">
        <color auto="1"/>
      </bottom>
      <diagonal/>
    </border>
    <border>
      <left style="dashed">
        <color indexed="64"/>
      </left>
      <right style="dashed">
        <color indexed="64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indexed="64"/>
      </top>
      <bottom style="dashed">
        <color auto="1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 style="dashed">
        <color auto="1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auto="1"/>
      </bottom>
      <diagonal/>
    </border>
    <border>
      <left/>
      <right style="medium">
        <color indexed="64"/>
      </right>
      <top style="dotted">
        <color auto="1"/>
      </top>
      <bottom style="medium">
        <color indexed="64"/>
      </bottom>
      <diagonal/>
    </border>
    <border>
      <left/>
      <right/>
      <top style="dotted">
        <color auto="1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auto="1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auto="1"/>
      </bottom>
      <diagonal/>
    </border>
    <border>
      <left/>
      <right style="medium">
        <color indexed="64"/>
      </right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2B4CAC"/>
      </left>
      <right style="medium">
        <color rgb="FF2B4CAC"/>
      </right>
      <top style="medium">
        <color rgb="FF2B4CAC"/>
      </top>
      <bottom style="medium">
        <color rgb="FF2B4CA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43" fontId="90" fillId="0" borderId="0"/>
    <xf numFmtId="0" fontId="87" fillId="0" borderId="0"/>
    <xf numFmtId="0" fontId="111" fillId="0" borderId="0"/>
    <xf numFmtId="0" fontId="111" fillId="0" borderId="0"/>
    <xf numFmtId="0" fontId="114" fillId="27" borderId="0"/>
    <xf numFmtId="0" fontId="90" fillId="0" borderId="0"/>
    <xf numFmtId="0" fontId="90" fillId="0" borderId="0"/>
    <xf numFmtId="0" fontId="90" fillId="0" borderId="0"/>
    <xf numFmtId="0" fontId="111" fillId="0" borderId="0"/>
  </cellStyleXfs>
  <cellXfs count="79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3" borderId="9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15" xfId="0" applyFont="1" applyBorder="1"/>
    <xf numFmtId="0" fontId="4" fillId="0" borderId="23" xfId="0" applyFont="1" applyBorder="1"/>
    <xf numFmtId="0" fontId="0" fillId="0" borderId="24" xfId="0" applyBorder="1"/>
    <xf numFmtId="0" fontId="0" fillId="0" borderId="25" xfId="0" applyBorder="1"/>
    <xf numFmtId="0" fontId="5" fillId="0" borderId="0" xfId="0" applyFont="1"/>
    <xf numFmtId="0" fontId="0" fillId="5" borderId="18" xfId="0" applyFill="1" applyBorder="1"/>
    <xf numFmtId="0" fontId="0" fillId="5" borderId="0" xfId="0" applyFill="1"/>
    <xf numFmtId="0" fontId="0" fillId="5" borderId="16" xfId="0" applyFill="1" applyBorder="1"/>
    <xf numFmtId="0" fontId="10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/>
    <xf numFmtId="0" fontId="8" fillId="0" borderId="0" xfId="1" applyFont="1"/>
    <xf numFmtId="0" fontId="9" fillId="0" borderId="0" xfId="1" applyFont="1"/>
    <xf numFmtId="0" fontId="12" fillId="0" borderId="0" xfId="1" applyFont="1"/>
    <xf numFmtId="0" fontId="13" fillId="0" borderId="0" xfId="4" applyFont="1" applyProtection="1">
      <protection locked="0"/>
    </xf>
    <xf numFmtId="0" fontId="14" fillId="0" borderId="0" xfId="4" applyFont="1" applyProtection="1">
      <protection locked="0"/>
    </xf>
    <xf numFmtId="0" fontId="11" fillId="0" borderId="0" xfId="1" applyFont="1"/>
    <xf numFmtId="0" fontId="16" fillId="0" borderId="0" xfId="1" applyFont="1" applyAlignment="1">
      <alignment horizontal="center" vertical="center"/>
    </xf>
    <xf numFmtId="0" fontId="12" fillId="0" borderId="0" xfId="3" applyFont="1"/>
    <xf numFmtId="0" fontId="19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21" fillId="0" borderId="0" xfId="1" applyFont="1"/>
    <xf numFmtId="0" fontId="22" fillId="0" borderId="0" xfId="1" applyFont="1"/>
    <xf numFmtId="0" fontId="23" fillId="0" borderId="0" xfId="1" applyFont="1"/>
    <xf numFmtId="0" fontId="7" fillId="8" borderId="0" xfId="1" applyFont="1" applyFill="1"/>
    <xf numFmtId="0" fontId="26" fillId="0" borderId="0" xfId="1" applyFont="1"/>
    <xf numFmtId="0" fontId="29" fillId="0" borderId="0" xfId="1" applyFont="1" applyAlignment="1">
      <alignment horizontal="right" indent="1"/>
    </xf>
    <xf numFmtId="0" fontId="30" fillId="0" borderId="0" xfId="1" applyFont="1" applyAlignment="1">
      <alignment horizontal="right" indent="1"/>
    </xf>
    <xf numFmtId="0" fontId="31" fillId="0" borderId="0" xfId="1" applyFont="1"/>
    <xf numFmtId="0" fontId="34" fillId="0" borderId="0" xfId="1" applyFont="1"/>
    <xf numFmtId="0" fontId="32" fillId="0" borderId="0" xfId="1" applyFont="1"/>
    <xf numFmtId="0" fontId="35" fillId="0" borderId="0" xfId="1" applyFont="1" applyAlignment="1">
      <alignment horizontal="center"/>
    </xf>
    <xf numFmtId="0" fontId="36" fillId="0" borderId="0" xfId="1" applyFont="1" applyAlignment="1">
      <alignment horizontal="right" indent="1"/>
    </xf>
    <xf numFmtId="0" fontId="37" fillId="0" borderId="0" xfId="1" applyFont="1"/>
    <xf numFmtId="0" fontId="38" fillId="0" borderId="0" xfId="1" applyFont="1" applyAlignment="1">
      <alignment horizontal="right" indent="1"/>
    </xf>
    <xf numFmtId="0" fontId="40" fillId="0" borderId="0" xfId="1" applyFont="1"/>
    <xf numFmtId="0" fontId="18" fillId="0" borderId="0" xfId="1" applyFont="1" applyAlignment="1" applyProtection="1">
      <alignment horizontal="center"/>
      <protection locked="0"/>
    </xf>
    <xf numFmtId="0" fontId="42" fillId="0" borderId="0" xfId="1" applyFont="1" applyAlignment="1">
      <alignment horizontal="left"/>
    </xf>
    <xf numFmtId="0" fontId="7" fillId="9" borderId="0" xfId="1" applyFont="1" applyFill="1"/>
    <xf numFmtId="0" fontId="43" fillId="0" borderId="0" xfId="1" applyFont="1" applyAlignment="1">
      <alignment horizontal="right"/>
    </xf>
    <xf numFmtId="0" fontId="7" fillId="0" borderId="0" xfId="1" applyFont="1" applyProtection="1">
      <protection locked="0"/>
    </xf>
    <xf numFmtId="0" fontId="7" fillId="0" borderId="0" xfId="1" applyFont="1"/>
    <xf numFmtId="0" fontId="25" fillId="0" borderId="0" xfId="1" applyFont="1"/>
    <xf numFmtId="0" fontId="7" fillId="10" borderId="0" xfId="1" applyFont="1" applyFill="1"/>
    <xf numFmtId="0" fontId="25" fillId="12" borderId="0" xfId="1" applyFont="1" applyFill="1" applyAlignment="1">
      <alignment horizontal="right"/>
    </xf>
    <xf numFmtId="0" fontId="48" fillId="0" borderId="0" xfId="1" applyFont="1"/>
    <xf numFmtId="0" fontId="50" fillId="0" borderId="0" xfId="0" applyFont="1"/>
    <xf numFmtId="0" fontId="7" fillId="12" borderId="0" xfId="1" applyFont="1" applyFill="1"/>
    <xf numFmtId="0" fontId="8" fillId="12" borderId="0" xfId="1" applyFont="1" applyFill="1"/>
    <xf numFmtId="0" fontId="51" fillId="0" borderId="0" xfId="1" applyFont="1"/>
    <xf numFmtId="0" fontId="52" fillId="0" borderId="0" xfId="1" applyFont="1"/>
    <xf numFmtId="0" fontId="53" fillId="0" borderId="0" xfId="1" applyFont="1"/>
    <xf numFmtId="0" fontId="54" fillId="0" borderId="0" xfId="1" applyFont="1"/>
    <xf numFmtId="0" fontId="55" fillId="0" borderId="0" xfId="1" applyFont="1"/>
    <xf numFmtId="0" fontId="56" fillId="0" borderId="0" xfId="5" applyFont="1" applyAlignment="1">
      <alignment horizontal="right"/>
    </xf>
    <xf numFmtId="0" fontId="57" fillId="0" borderId="0" xfId="1" applyFont="1"/>
    <xf numFmtId="0" fontId="58" fillId="0" borderId="0" xfId="5" applyFont="1" applyAlignment="1">
      <alignment horizontal="right"/>
    </xf>
    <xf numFmtId="0" fontId="59" fillId="0" borderId="0" xfId="1" applyFont="1"/>
    <xf numFmtId="0" fontId="60" fillId="0" borderId="0" xfId="1" applyFont="1" applyAlignment="1">
      <alignment horizontal="right"/>
    </xf>
    <xf numFmtId="0" fontId="39" fillId="0" borderId="0" xfId="1" applyFont="1"/>
    <xf numFmtId="0" fontId="63" fillId="0" borderId="0" xfId="1" applyFont="1"/>
    <xf numFmtId="0" fontId="64" fillId="0" borderId="0" xfId="1" applyFont="1" applyAlignment="1">
      <alignment horizontal="right"/>
    </xf>
    <xf numFmtId="0" fontId="65" fillId="0" borderId="0" xfId="1" applyFont="1"/>
    <xf numFmtId="0" fontId="29" fillId="0" borderId="0" xfId="1" applyFont="1" applyAlignment="1">
      <alignment horizontal="left"/>
    </xf>
    <xf numFmtId="0" fontId="66" fillId="0" borderId="0" xfId="1" applyFont="1"/>
    <xf numFmtId="0" fontId="67" fillId="0" borderId="0" xfId="0" applyFont="1"/>
    <xf numFmtId="0" fontId="29" fillId="0" borderId="0" xfId="1" applyFont="1"/>
    <xf numFmtId="0" fontId="69" fillId="0" borderId="0" xfId="1" applyFont="1" applyAlignment="1">
      <alignment horizontal="left"/>
    </xf>
    <xf numFmtId="0" fontId="70" fillId="0" borderId="0" xfId="1" applyFont="1"/>
    <xf numFmtId="0" fontId="41" fillId="0" borderId="0" xfId="1" applyFont="1"/>
    <xf numFmtId="0" fontId="72" fillId="0" borderId="0" xfId="1" applyFont="1"/>
    <xf numFmtId="0" fontId="73" fillId="0" borderId="0" xfId="1" applyFont="1"/>
    <xf numFmtId="0" fontId="74" fillId="0" borderId="0" xfId="0" applyFont="1"/>
    <xf numFmtId="0" fontId="71" fillId="0" borderId="0" xfId="1" applyFont="1"/>
    <xf numFmtId="0" fontId="75" fillId="0" borderId="0" xfId="1" applyFont="1"/>
    <xf numFmtId="0" fontId="76" fillId="0" borderId="0" xfId="1" applyFont="1"/>
    <xf numFmtId="0" fontId="77" fillId="0" borderId="0" xfId="1" applyFont="1"/>
    <xf numFmtId="0" fontId="19" fillId="0" borderId="0" xfId="1" applyFont="1"/>
    <xf numFmtId="0" fontId="61" fillId="0" borderId="0" xfId="1" applyFont="1"/>
    <xf numFmtId="0" fontId="78" fillId="0" borderId="0" xfId="1" applyFont="1"/>
    <xf numFmtId="0" fontId="80" fillId="0" borderId="0" xfId="3" applyFont="1"/>
    <xf numFmtId="0" fontId="20" fillId="0" borderId="0" xfId="1" applyFont="1" applyAlignment="1">
      <alignment horizontal="right"/>
    </xf>
    <xf numFmtId="0" fontId="45" fillId="0" borderId="0" xfId="1" applyFont="1" applyAlignment="1">
      <alignment horizontal="right"/>
    </xf>
    <xf numFmtId="0" fontId="83" fillId="0" borderId="0" xfId="1" applyFont="1" applyAlignment="1">
      <alignment horizontal="right"/>
    </xf>
    <xf numFmtId="0" fontId="84" fillId="0" borderId="0" xfId="1" applyFont="1"/>
    <xf numFmtId="0" fontId="85" fillId="0" borderId="0" xfId="1" applyFont="1" applyAlignment="1">
      <alignment horizontal="right"/>
    </xf>
    <xf numFmtId="0" fontId="9" fillId="0" borderId="0" xfId="2" applyFont="1"/>
    <xf numFmtId="0" fontId="44" fillId="12" borderId="0" xfId="1" quotePrefix="1" applyFont="1" applyFill="1" applyAlignment="1">
      <alignment horizontal="right"/>
    </xf>
    <xf numFmtId="0" fontId="44" fillId="12" borderId="0" xfId="1" quotePrefix="1" applyFont="1" applyFill="1" applyAlignment="1">
      <alignment horizontal="left"/>
    </xf>
    <xf numFmtId="1" fontId="44" fillId="12" borderId="0" xfId="1" quotePrefix="1" applyNumberFormat="1" applyFont="1" applyFill="1" applyAlignment="1">
      <alignment horizontal="right"/>
    </xf>
    <xf numFmtId="0" fontId="87" fillId="0" borderId="0" xfId="1"/>
    <xf numFmtId="0" fontId="7" fillId="5" borderId="0" xfId="1" applyFont="1" applyFill="1"/>
    <xf numFmtId="0" fontId="87" fillId="5" borderId="0" xfId="1" applyFill="1"/>
    <xf numFmtId="0" fontId="44" fillId="12" borderId="0" xfId="1" applyFont="1" applyFill="1" applyAlignment="1">
      <alignment horizontal="right"/>
    </xf>
    <xf numFmtId="1" fontId="0" fillId="0" borderId="1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89" fillId="0" borderId="15" xfId="0" applyFont="1" applyBorder="1"/>
    <xf numFmtId="2" fontId="0" fillId="5" borderId="0" xfId="0" applyNumberFormat="1" applyFill="1"/>
    <xf numFmtId="2" fontId="0" fillId="0" borderId="21" xfId="0" applyNumberFormat="1" applyBorder="1"/>
    <xf numFmtId="2" fontId="0" fillId="0" borderId="24" xfId="0" applyNumberFormat="1" applyBorder="1"/>
    <xf numFmtId="2" fontId="0" fillId="0" borderId="16" xfId="0" applyNumberFormat="1" applyBorder="1"/>
    <xf numFmtId="0" fontId="0" fillId="0" borderId="24" xfId="0" applyBorder="1" applyAlignment="1">
      <alignment horizontal="center"/>
    </xf>
    <xf numFmtId="0" fontId="0" fillId="0" borderId="29" xfId="0" applyBorder="1"/>
    <xf numFmtId="0" fontId="0" fillId="0" borderId="28" xfId="0" applyBorder="1"/>
    <xf numFmtId="1" fontId="0" fillId="0" borderId="29" xfId="0" applyNumberFormat="1" applyBorder="1"/>
    <xf numFmtId="2" fontId="0" fillId="0" borderId="30" xfId="0" applyNumberFormat="1" applyBorder="1"/>
    <xf numFmtId="1" fontId="91" fillId="0" borderId="0" xfId="0" applyNumberFormat="1" applyFont="1" applyAlignment="1">
      <alignment horizontal="center"/>
    </xf>
    <xf numFmtId="1" fontId="91" fillId="0" borderId="0" xfId="0" applyNumberFormat="1" applyFont="1"/>
    <xf numFmtId="0" fontId="20" fillId="12" borderId="0" xfId="1" quotePrefix="1" applyFont="1" applyFill="1" applyAlignment="1">
      <alignment horizontal="left"/>
    </xf>
    <xf numFmtId="1" fontId="0" fillId="0" borderId="28" xfId="0" applyNumberFormat="1" applyBorder="1"/>
    <xf numFmtId="1" fontId="0" fillId="0" borderId="18" xfId="0" applyNumberForma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" fontId="0" fillId="0" borderId="31" xfId="0" applyNumberFormat="1" applyBorder="1" applyAlignment="1">
      <alignment horizontal="center" wrapText="1"/>
    </xf>
    <xf numFmtId="2" fontId="0" fillId="0" borderId="31" xfId="0" applyNumberForma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1" fontId="0" fillId="0" borderId="32" xfId="0" applyNumberFormat="1" applyBorder="1" applyAlignment="1">
      <alignment horizontal="center" wrapText="1"/>
    </xf>
    <xf numFmtId="2" fontId="0" fillId="0" borderId="19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" fontId="0" fillId="0" borderId="20" xfId="0" applyNumberFormat="1" applyBorder="1" applyAlignment="1">
      <alignment horizontal="center" wrapText="1"/>
    </xf>
    <xf numFmtId="1" fontId="0" fillId="0" borderId="21" xfId="0" applyNumberFormat="1" applyBorder="1" applyAlignment="1">
      <alignment horizontal="center" wrapText="1"/>
    </xf>
    <xf numFmtId="2" fontId="0" fillId="0" borderId="21" xfId="0" applyNumberFormat="1" applyBorder="1" applyAlignment="1">
      <alignment horizontal="center" wrapText="1"/>
    </xf>
    <xf numFmtId="0" fontId="11" fillId="0" borderId="0" xfId="1" applyFont="1" applyAlignment="1">
      <alignment horizontal="left"/>
    </xf>
    <xf numFmtId="0" fontId="94" fillId="0" borderId="0" xfId="0" applyFont="1"/>
    <xf numFmtId="1" fontId="0" fillId="0" borderId="21" xfId="0" applyNumberFormat="1" applyBorder="1"/>
    <xf numFmtId="0" fontId="0" fillId="5" borderId="0" xfId="0" applyFill="1" applyProtection="1">
      <protection locked="0"/>
    </xf>
    <xf numFmtId="0" fontId="0" fillId="6" borderId="21" xfId="0" applyFill="1" applyBorder="1" applyProtection="1">
      <protection locked="0"/>
    </xf>
    <xf numFmtId="0" fontId="0" fillId="0" borderId="0" xfId="0" applyProtection="1">
      <protection locked="0"/>
    </xf>
    <xf numFmtId="1" fontId="0" fillId="0" borderId="18" xfId="0" applyNumberFormat="1" applyBorder="1"/>
    <xf numFmtId="0" fontId="91" fillId="5" borderId="0" xfId="0" applyFont="1" applyFill="1"/>
    <xf numFmtId="0" fontId="0" fillId="0" borderId="24" xfId="0" applyBorder="1" applyAlignment="1">
      <alignment horizontal="left"/>
    </xf>
    <xf numFmtId="0" fontId="96" fillId="0" borderId="0" xfId="1" applyFont="1"/>
    <xf numFmtId="0" fontId="0" fillId="6" borderId="16" xfId="0" applyFill="1" applyBorder="1" applyProtection="1">
      <protection locked="0"/>
    </xf>
    <xf numFmtId="0" fontId="7" fillId="0" borderId="0" xfId="1" applyFont="1" applyAlignment="1">
      <alignment horizontal="left"/>
    </xf>
    <xf numFmtId="0" fontId="96" fillId="0" borderId="0" xfId="1" applyFont="1" applyAlignment="1">
      <alignment horizontal="right"/>
    </xf>
    <xf numFmtId="0" fontId="7" fillId="0" borderId="34" xfId="1" applyFont="1" applyBorder="1" applyAlignment="1">
      <alignment horizontal="right"/>
    </xf>
    <xf numFmtId="0" fontId="17" fillId="0" borderId="0" xfId="1" applyFont="1" applyAlignment="1">
      <alignment horizontal="center"/>
    </xf>
    <xf numFmtId="0" fontId="18" fillId="7" borderId="0" xfId="1" applyFont="1" applyFill="1" applyAlignment="1">
      <alignment horizontal="left"/>
    </xf>
    <xf numFmtId="0" fontId="7" fillId="7" borderId="0" xfId="1" applyFont="1" applyFill="1"/>
    <xf numFmtId="0" fontId="24" fillId="0" borderId="0" xfId="1" applyFont="1" applyAlignment="1">
      <alignment horizontal="right"/>
    </xf>
    <xf numFmtId="0" fontId="12" fillId="0" borderId="0" xfId="2" applyFont="1"/>
    <xf numFmtId="0" fontId="28" fillId="0" borderId="0" xfId="1" applyFont="1" applyAlignment="1">
      <alignment horizontal="left"/>
    </xf>
    <xf numFmtId="0" fontId="44" fillId="0" borderId="0" xfId="1" applyFont="1"/>
    <xf numFmtId="1" fontId="20" fillId="0" borderId="0" xfId="1" applyNumberFormat="1" applyFont="1" applyAlignment="1">
      <alignment horizontal="right"/>
    </xf>
    <xf numFmtId="0" fontId="45" fillId="0" borderId="0" xfId="3" applyFont="1" applyProtection="1">
      <protection locked="0"/>
    </xf>
    <xf numFmtId="0" fontId="27" fillId="0" borderId="0" xfId="3" applyFont="1" applyProtection="1">
      <protection locked="0"/>
    </xf>
    <xf numFmtId="0" fontId="20" fillId="0" borderId="0" xfId="1" applyFont="1" applyAlignment="1">
      <alignment horizontal="right" indent="2"/>
    </xf>
    <xf numFmtId="0" fontId="22" fillId="9" borderId="0" xfId="1" applyFont="1" applyFill="1"/>
    <xf numFmtId="0" fontId="41" fillId="0" borderId="0" xfId="1" applyFont="1" applyAlignment="1">
      <alignment horizontal="left"/>
    </xf>
    <xf numFmtId="0" fontId="46" fillId="0" borderId="0" xfId="1" applyFont="1"/>
    <xf numFmtId="0" fontId="18" fillId="11" borderId="0" xfId="1" applyFont="1" applyFill="1" applyAlignment="1">
      <alignment horizontal="left"/>
    </xf>
    <xf numFmtId="0" fontId="47" fillId="11" borderId="0" xfId="1" applyFont="1" applyFill="1"/>
    <xf numFmtId="0" fontId="49" fillId="0" borderId="0" xfId="1" applyFont="1"/>
    <xf numFmtId="0" fontId="9" fillId="12" borderId="0" xfId="1" applyFont="1" applyFill="1"/>
    <xf numFmtId="0" fontId="46" fillId="12" borderId="0" xfId="1" applyFont="1" applyFill="1"/>
    <xf numFmtId="0" fontId="20" fillId="12" borderId="0" xfId="1" applyFont="1" applyFill="1" applyAlignment="1">
      <alignment horizontal="right"/>
    </xf>
    <xf numFmtId="0" fontId="9" fillId="0" borderId="0" xfId="1" applyFont="1" applyAlignment="1">
      <alignment horizontal="left" vertical="center" textRotation="90"/>
    </xf>
    <xf numFmtId="0" fontId="9" fillId="0" borderId="0" xfId="1" applyFont="1" applyAlignment="1">
      <alignment vertical="center" textRotation="90"/>
    </xf>
    <xf numFmtId="0" fontId="73" fillId="0" borderId="0" xfId="1" applyFont="1" applyAlignment="1">
      <alignment horizontal="right"/>
    </xf>
    <xf numFmtId="0" fontId="76" fillId="0" borderId="0" xfId="1" applyFont="1" applyAlignment="1">
      <alignment horizontal="right"/>
    </xf>
    <xf numFmtId="0" fontId="78" fillId="0" borderId="0" xfId="1" applyFont="1" applyAlignment="1">
      <alignment horizontal="right"/>
    </xf>
    <xf numFmtId="0" fontId="79" fillId="0" borderId="0" xfId="5" applyFont="1" applyAlignment="1">
      <alignment horizontal="right"/>
    </xf>
    <xf numFmtId="0" fontId="86" fillId="0" borderId="0" xfId="3" applyFont="1"/>
    <xf numFmtId="0" fontId="97" fillId="0" borderId="26" xfId="0" applyFont="1" applyBorder="1" applyAlignment="1">
      <alignment horizontal="center"/>
    </xf>
    <xf numFmtId="0" fontId="7" fillId="0" borderId="38" xfId="1" applyFont="1" applyBorder="1"/>
    <xf numFmtId="0" fontId="7" fillId="0" borderId="37" xfId="1" applyFont="1" applyBorder="1"/>
    <xf numFmtId="0" fontId="96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7" fillId="0" borderId="34" xfId="1" applyFont="1" applyBorder="1"/>
    <xf numFmtId="0" fontId="0" fillId="15" borderId="0" xfId="0" applyFill="1"/>
    <xf numFmtId="1" fontId="0" fillId="0" borderId="19" xfId="0" applyNumberFormat="1" applyBorder="1"/>
    <xf numFmtId="1" fontId="0" fillId="0" borderId="22" xfId="0" applyNumberFormat="1" applyBorder="1"/>
    <xf numFmtId="0" fontId="7" fillId="0" borderId="16" xfId="7" applyFont="1" applyBorder="1"/>
    <xf numFmtId="0" fontId="7" fillId="0" borderId="17" xfId="7" applyFont="1" applyBorder="1"/>
    <xf numFmtId="0" fontId="7" fillId="0" borderId="19" xfId="7" applyFont="1" applyBorder="1"/>
    <xf numFmtId="0" fontId="7" fillId="0" borderId="18" xfId="7" applyFont="1" applyBorder="1"/>
    <xf numFmtId="0" fontId="92" fillId="0" borderId="27" xfId="7" applyFont="1" applyBorder="1"/>
    <xf numFmtId="0" fontId="10" fillId="0" borderId="29" xfId="7" applyFont="1" applyBorder="1" applyAlignment="1">
      <alignment horizontal="right"/>
    </xf>
    <xf numFmtId="0" fontId="10" fillId="0" borderId="28" xfId="7" applyFont="1" applyBorder="1"/>
    <xf numFmtId="0" fontId="7" fillId="0" borderId="31" xfId="7" applyFont="1" applyBorder="1" applyAlignment="1">
      <alignment horizontal="right"/>
    </xf>
    <xf numFmtId="1" fontId="7" fillId="0" borderId="31" xfId="7" applyNumberFormat="1" applyFont="1" applyBorder="1"/>
    <xf numFmtId="0" fontId="7" fillId="0" borderId="0" xfId="7" applyFont="1" applyAlignment="1">
      <alignment horizontal="right"/>
    </xf>
    <xf numFmtId="1" fontId="7" fillId="0" borderId="44" xfId="7" applyNumberFormat="1" applyFont="1" applyBorder="1"/>
    <xf numFmtId="0" fontId="7" fillId="0" borderId="44" xfId="7" applyFont="1" applyBorder="1" applyAlignment="1">
      <alignment horizontal="center"/>
    </xf>
    <xf numFmtId="0" fontId="7" fillId="0" borderId="0" xfId="7" applyFont="1" applyProtection="1">
      <protection locked="0"/>
    </xf>
    <xf numFmtId="0" fontId="7" fillId="0" borderId="19" xfId="7" applyFont="1" applyBorder="1" applyProtection="1">
      <protection locked="0"/>
    </xf>
    <xf numFmtId="1" fontId="7" fillId="0" borderId="0" xfId="7" applyNumberFormat="1" applyFont="1"/>
    <xf numFmtId="0" fontId="7" fillId="0" borderId="41" xfId="7" applyFont="1" applyBorder="1" applyAlignment="1">
      <alignment horizontal="center"/>
    </xf>
    <xf numFmtId="0" fontId="88" fillId="0" borderId="16" xfId="7" applyFont="1" applyBorder="1"/>
    <xf numFmtId="0" fontId="7" fillId="0" borderId="21" xfId="7" applyFont="1" applyBorder="1"/>
    <xf numFmtId="0" fontId="7" fillId="0" borderId="50" xfId="7" applyFont="1" applyBorder="1"/>
    <xf numFmtId="0" fontId="7" fillId="0" borderId="44" xfId="7" applyFont="1" applyBorder="1"/>
    <xf numFmtId="1" fontId="7" fillId="0" borderId="39" xfId="7" applyNumberFormat="1" applyFont="1" applyBorder="1"/>
    <xf numFmtId="0" fontId="7" fillId="0" borderId="40" xfId="7" applyFont="1" applyBorder="1"/>
    <xf numFmtId="0" fontId="7" fillId="0" borderId="45" xfId="7" applyFont="1" applyBorder="1" applyProtection="1">
      <protection locked="0"/>
    </xf>
    <xf numFmtId="0" fontId="7" fillId="0" borderId="46" xfId="7" applyFont="1" applyBorder="1" applyProtection="1">
      <protection locked="0"/>
    </xf>
    <xf numFmtId="12" fontId="10" fillId="0" borderId="30" xfId="7" applyNumberFormat="1" applyFont="1" applyBorder="1" applyAlignment="1">
      <alignment horizontal="right"/>
    </xf>
    <xf numFmtId="12" fontId="7" fillId="0" borderId="31" xfId="7" applyNumberFormat="1" applyFont="1" applyBorder="1" applyAlignment="1">
      <alignment horizontal="left"/>
    </xf>
    <xf numFmtId="1" fontId="7" fillId="17" borderId="31" xfId="7" applyNumberFormat="1" applyFont="1" applyFill="1" applyBorder="1" applyAlignment="1" applyProtection="1">
      <alignment horizontal="left"/>
      <protection locked="0"/>
    </xf>
    <xf numFmtId="1" fontId="7" fillId="0" borderId="31" xfId="7" applyNumberFormat="1" applyFont="1" applyBorder="1" applyAlignment="1">
      <alignment horizontal="left"/>
    </xf>
    <xf numFmtId="0" fontId="7" fillId="17" borderId="31" xfId="7" applyFont="1" applyFill="1" applyBorder="1" applyAlignment="1" applyProtection="1">
      <alignment horizontal="left"/>
      <protection locked="0"/>
    </xf>
    <xf numFmtId="0" fontId="7" fillId="17" borderId="39" xfId="7" applyFont="1" applyFill="1" applyBorder="1" applyAlignment="1" applyProtection="1">
      <alignment horizontal="left"/>
      <protection locked="0"/>
    </xf>
    <xf numFmtId="0" fontId="7" fillId="0" borderId="31" xfId="7" applyFont="1" applyBorder="1" applyAlignment="1">
      <alignment horizontal="left"/>
    </xf>
    <xf numFmtId="0" fontId="7" fillId="0" borderId="48" xfId="7" applyFont="1" applyBorder="1"/>
    <xf numFmtId="0" fontId="7" fillId="0" borderId="49" xfId="7" applyFont="1" applyBorder="1"/>
    <xf numFmtId="0" fontId="7" fillId="0" borderId="35" xfId="7" applyFont="1" applyBorder="1" applyAlignment="1">
      <alignment horizontal="left"/>
    </xf>
    <xf numFmtId="0" fontId="0" fillId="16" borderId="0" xfId="0" applyFill="1"/>
    <xf numFmtId="0" fontId="0" fillId="16" borderId="0" xfId="0" applyFill="1" applyProtection="1">
      <protection locked="0"/>
    </xf>
    <xf numFmtId="0" fontId="96" fillId="0" borderId="0" xfId="1" applyFont="1" applyAlignment="1">
      <alignment horizontal="center"/>
    </xf>
    <xf numFmtId="0" fontId="7" fillId="0" borderId="47" xfId="7" applyFont="1" applyBorder="1"/>
    <xf numFmtId="1" fontId="7" fillId="0" borderId="19" xfId="7" applyNumberFormat="1" applyFont="1" applyBorder="1" applyAlignment="1">
      <alignment horizontal="left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2" fontId="0" fillId="0" borderId="0" xfId="0" applyNumberFormat="1"/>
    <xf numFmtId="0" fontId="0" fillId="0" borderId="38" xfId="0" applyBorder="1"/>
    <xf numFmtId="0" fontId="1" fillId="0" borderId="0" xfId="0" applyFont="1" applyAlignment="1">
      <alignment wrapText="1"/>
    </xf>
    <xf numFmtId="0" fontId="7" fillId="18" borderId="31" xfId="7" applyFont="1" applyFill="1" applyBorder="1" applyProtection="1">
      <protection locked="0"/>
    </xf>
    <xf numFmtId="0" fontId="100" fillId="0" borderId="0" xfId="1" applyFont="1" applyAlignment="1">
      <alignment horizontal="right"/>
    </xf>
    <xf numFmtId="1" fontId="100" fillId="0" borderId="0" xfId="1" applyNumberFormat="1" applyFont="1" applyAlignment="1">
      <alignment horizontal="right"/>
    </xf>
    <xf numFmtId="0" fontId="101" fillId="0" borderId="18" xfId="0" applyFont="1" applyBorder="1"/>
    <xf numFmtId="1" fontId="90" fillId="0" borderId="0" xfId="0" applyNumberFormat="1" applyFont="1" applyAlignment="1">
      <alignment horizontal="right"/>
    </xf>
    <xf numFmtId="0" fontId="102" fillId="0" borderId="0" xfId="0" applyFont="1"/>
    <xf numFmtId="0" fontId="1" fillId="0" borderId="35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0" fillId="0" borderId="34" xfId="0" applyBorder="1"/>
    <xf numFmtId="0" fontId="0" fillId="0" borderId="54" xfId="0" applyBorder="1"/>
    <xf numFmtId="14" fontId="0" fillId="0" borderId="48" xfId="0" applyNumberFormat="1" applyBorder="1"/>
    <xf numFmtId="0" fontId="0" fillId="0" borderId="41" xfId="0" applyBorder="1"/>
    <xf numFmtId="14" fontId="0" fillId="0" borderId="42" xfId="0" applyNumberFormat="1" applyBorder="1"/>
    <xf numFmtId="0" fontId="0" fillId="0" borderId="35" xfId="0" applyBorder="1" applyAlignment="1">
      <alignment horizontal="center"/>
    </xf>
    <xf numFmtId="0" fontId="0" fillId="6" borderId="54" xfId="0" applyFill="1" applyBorder="1" applyAlignment="1" applyProtection="1">
      <alignment horizontal="center"/>
      <protection locked="0"/>
    </xf>
    <xf numFmtId="0" fontId="95" fillId="6" borderId="0" xfId="0" applyFont="1" applyFill="1" applyProtection="1">
      <protection locked="0"/>
    </xf>
    <xf numFmtId="14" fontId="0" fillId="0" borderId="0" xfId="0" applyNumberFormat="1"/>
    <xf numFmtId="0" fontId="0" fillId="6" borderId="0" xfId="0" applyFill="1" applyAlignment="1" applyProtection="1">
      <alignment horizontal="center"/>
      <protection locked="0"/>
    </xf>
    <xf numFmtId="2" fontId="0" fillId="6" borderId="0" xfId="0" applyNumberFormat="1" applyFill="1" applyProtection="1">
      <protection locked="0"/>
    </xf>
    <xf numFmtId="0" fontId="0" fillId="6" borderId="0" xfId="0" applyFill="1" applyProtection="1">
      <protection locked="0"/>
    </xf>
    <xf numFmtId="1" fontId="0" fillId="18" borderId="0" xfId="0" applyNumberFormat="1" applyFill="1" applyAlignment="1">
      <alignment horizontal="center"/>
    </xf>
    <xf numFmtId="0" fontId="33" fillId="0" borderId="0" xfId="1" applyFont="1" applyAlignment="1">
      <alignment horizontal="right"/>
    </xf>
    <xf numFmtId="0" fontId="15" fillId="0" borderId="0" xfId="1" applyFont="1" applyAlignment="1">
      <alignment horizontal="right"/>
    </xf>
    <xf numFmtId="0" fontId="11" fillId="0" borderId="0" xfId="1" applyFont="1" applyAlignment="1">
      <alignment horizontal="right"/>
    </xf>
    <xf numFmtId="0" fontId="7" fillId="0" borderId="0" xfId="1" applyFont="1" applyAlignment="1">
      <alignment horizontal="center"/>
    </xf>
    <xf numFmtId="0" fontId="10" fillId="0" borderId="0" xfId="1" applyFont="1" applyAlignment="1">
      <alignment horizontal="left" vertical="center" textRotation="90"/>
    </xf>
    <xf numFmtId="0" fontId="62" fillId="0" borderId="0" xfId="1" applyFont="1" applyAlignment="1">
      <alignment horizontal="right"/>
    </xf>
    <xf numFmtId="0" fontId="18" fillId="0" borderId="0" xfId="1" applyFont="1" applyAlignment="1">
      <alignment horizontal="left"/>
    </xf>
    <xf numFmtId="0" fontId="47" fillId="0" borderId="0" xfId="1" applyFont="1"/>
    <xf numFmtId="0" fontId="29" fillId="0" borderId="0" xfId="1" applyFont="1" applyAlignment="1">
      <alignment horizontal="right"/>
    </xf>
    <xf numFmtId="0" fontId="7" fillId="0" borderId="0" xfId="0" applyFont="1"/>
    <xf numFmtId="0" fontId="25" fillId="0" borderId="0" xfId="1" applyFont="1" applyAlignment="1">
      <alignment horizontal="right"/>
    </xf>
    <xf numFmtId="0" fontId="68" fillId="0" borderId="0" xfId="1" applyFont="1" applyAlignment="1">
      <alignment horizontal="left"/>
    </xf>
    <xf numFmtId="0" fontId="81" fillId="0" borderId="0" xfId="1" applyFont="1" applyAlignment="1">
      <alignment horizontal="right" indent="1"/>
    </xf>
    <xf numFmtId="0" fontId="82" fillId="0" borderId="0" xfId="1" applyFont="1"/>
    <xf numFmtId="1" fontId="95" fillId="6" borderId="0" xfId="0" applyNumberFormat="1" applyFont="1" applyFill="1" applyAlignment="1" applyProtection="1">
      <alignment horizontal="left"/>
      <protection locked="0"/>
    </xf>
    <xf numFmtId="1" fontId="93" fillId="0" borderId="55" xfId="0" applyNumberFormat="1" applyFont="1" applyBorder="1"/>
    <xf numFmtId="1" fontId="93" fillId="0" borderId="44" xfId="0" applyNumberFormat="1" applyFont="1" applyBorder="1"/>
    <xf numFmtId="1" fontId="93" fillId="0" borderId="49" xfId="0" applyNumberFormat="1" applyFont="1" applyBorder="1"/>
    <xf numFmtId="1" fontId="93" fillId="0" borderId="47" xfId="0" applyNumberFormat="1" applyFont="1" applyBorder="1"/>
    <xf numFmtId="1" fontId="93" fillId="0" borderId="37" xfId="0" applyNumberFormat="1" applyFont="1" applyBorder="1"/>
    <xf numFmtId="1" fontId="93" fillId="0" borderId="36" xfId="0" applyNumberFormat="1" applyFont="1" applyBorder="1"/>
    <xf numFmtId="1" fontId="93" fillId="0" borderId="41" xfId="0" applyNumberFormat="1" applyFont="1" applyBorder="1"/>
    <xf numFmtId="0" fontId="93" fillId="19" borderId="55" xfId="0" applyFont="1" applyFill="1" applyBorder="1" applyAlignment="1">
      <alignment horizontal="center"/>
    </xf>
    <xf numFmtId="0" fontId="93" fillId="19" borderId="44" xfId="0" applyFont="1" applyFill="1" applyBorder="1" applyAlignment="1">
      <alignment horizontal="center"/>
    </xf>
    <xf numFmtId="0" fontId="93" fillId="19" borderId="45" xfId="0" applyFont="1" applyFill="1" applyBorder="1" applyAlignment="1">
      <alignment horizontal="center"/>
    </xf>
    <xf numFmtId="0" fontId="93" fillId="20" borderId="0" xfId="0" applyFont="1" applyFill="1" applyAlignment="1">
      <alignment horizontal="center"/>
    </xf>
    <xf numFmtId="0" fontId="103" fillId="0" borderId="0" xfId="0" applyFont="1" applyAlignment="1">
      <alignment horizontal="right" vertical="center"/>
    </xf>
    <xf numFmtId="0" fontId="93" fillId="21" borderId="0" xfId="0" applyFont="1" applyFill="1" applyProtection="1">
      <protection locked="0"/>
    </xf>
    <xf numFmtId="0" fontId="93" fillId="22" borderId="0" xfId="0" applyFont="1" applyFill="1" applyProtection="1">
      <protection locked="0"/>
    </xf>
    <xf numFmtId="0" fontId="93" fillId="0" borderId="47" xfId="0" applyFont="1" applyBorder="1"/>
    <xf numFmtId="0" fontId="93" fillId="0" borderId="38" xfId="0" applyFont="1" applyBorder="1"/>
    <xf numFmtId="0" fontId="93" fillId="0" borderId="0" xfId="0" applyFont="1" applyAlignment="1">
      <alignment horizontal="center" vertical="top" wrapText="1"/>
    </xf>
    <xf numFmtId="0" fontId="93" fillId="0" borderId="41" xfId="0" applyFont="1" applyBorder="1"/>
    <xf numFmtId="2" fontId="93" fillId="21" borderId="0" xfId="0" applyNumberFormat="1" applyFont="1" applyFill="1" applyProtection="1">
      <protection locked="0"/>
    </xf>
    <xf numFmtId="2" fontId="93" fillId="21" borderId="16" xfId="0" applyNumberFormat="1" applyFont="1" applyFill="1" applyBorder="1" applyProtection="1">
      <protection locked="0"/>
    </xf>
    <xf numFmtId="2" fontId="93" fillId="22" borderId="0" xfId="0" applyNumberFormat="1" applyFont="1" applyFill="1" applyProtection="1">
      <protection locked="0"/>
    </xf>
    <xf numFmtId="0" fontId="0" fillId="0" borderId="56" xfId="0" applyBorder="1"/>
    <xf numFmtId="0" fontId="0" fillId="0" borderId="57" xfId="0" applyBorder="1"/>
    <xf numFmtId="1" fontId="93" fillId="0" borderId="38" xfId="0" applyNumberFormat="1" applyFont="1" applyBorder="1"/>
    <xf numFmtId="0" fontId="93" fillId="23" borderId="48" xfId="0" applyFont="1" applyFill="1" applyBorder="1"/>
    <xf numFmtId="1" fontId="93" fillId="23" borderId="48" xfId="0" applyNumberFormat="1" applyFont="1" applyFill="1" applyBorder="1"/>
    <xf numFmtId="0" fontId="0" fillId="0" borderId="58" xfId="0" applyBorder="1"/>
    <xf numFmtId="0" fontId="0" fillId="0" borderId="59" xfId="0" applyBorder="1"/>
    <xf numFmtId="0" fontId="93" fillId="23" borderId="0" xfId="0" applyFont="1" applyFill="1"/>
    <xf numFmtId="1" fontId="93" fillId="23" borderId="0" xfId="0" applyNumberFormat="1" applyFont="1" applyFill="1"/>
    <xf numFmtId="0" fontId="93" fillId="20" borderId="0" xfId="0" applyFont="1" applyFill="1"/>
    <xf numFmtId="0" fontId="93" fillId="23" borderId="0" xfId="0" applyFont="1" applyFill="1" applyAlignment="1">
      <alignment horizontal="center"/>
    </xf>
    <xf numFmtId="0" fontId="106" fillId="23" borderId="0" xfId="0" applyFont="1" applyFill="1" applyAlignment="1">
      <alignment horizontal="left"/>
    </xf>
    <xf numFmtId="0" fontId="93" fillId="20" borderId="0" xfId="0" applyFont="1" applyFill="1" applyAlignment="1" applyProtection="1">
      <alignment horizontal="center"/>
      <protection locked="0"/>
    </xf>
    <xf numFmtId="0" fontId="97" fillId="20" borderId="0" xfId="0" applyFont="1" applyFill="1" applyAlignment="1">
      <alignment horizontal="right"/>
    </xf>
    <xf numFmtId="0" fontId="93" fillId="0" borderId="49" xfId="0" applyFont="1" applyBorder="1"/>
    <xf numFmtId="0" fontId="93" fillId="0" borderId="0" xfId="0" applyFont="1" applyAlignment="1">
      <alignment horizontal="center"/>
    </xf>
    <xf numFmtId="0" fontId="93" fillId="0" borderId="38" xfId="0" applyFont="1" applyBorder="1" applyAlignment="1">
      <alignment horizontal="center"/>
    </xf>
    <xf numFmtId="0" fontId="93" fillId="0" borderId="0" xfId="0" applyFont="1" applyAlignment="1" applyProtection="1">
      <alignment horizontal="center"/>
      <protection locked="0"/>
    </xf>
    <xf numFmtId="0" fontId="93" fillId="23" borderId="0" xfId="0" applyFont="1" applyFill="1" applyAlignment="1">
      <alignment horizontal="left"/>
    </xf>
    <xf numFmtId="1" fontId="93" fillId="0" borderId="31" xfId="0" applyNumberFormat="1" applyFont="1" applyBorder="1"/>
    <xf numFmtId="1" fontId="93" fillId="0" borderId="54" xfId="0" applyNumberFormat="1" applyFont="1" applyBorder="1" applyAlignment="1">
      <alignment horizontal="right"/>
    </xf>
    <xf numFmtId="1" fontId="93" fillId="24" borderId="54" xfId="0" applyNumberFormat="1" applyFont="1" applyFill="1" applyBorder="1" applyAlignment="1">
      <alignment horizontal="right"/>
    </xf>
    <xf numFmtId="1" fontId="93" fillId="0" borderId="34" xfId="0" applyNumberFormat="1" applyFont="1" applyBorder="1" applyAlignment="1">
      <alignment horizontal="right"/>
    </xf>
    <xf numFmtId="1" fontId="93" fillId="24" borderId="34" xfId="0" applyNumberFormat="1" applyFont="1" applyFill="1" applyBorder="1" applyAlignment="1">
      <alignment horizontal="right"/>
    </xf>
    <xf numFmtId="0" fontId="93" fillId="0" borderId="34" xfId="0" applyFont="1" applyBorder="1" applyAlignment="1">
      <alignment horizontal="right"/>
    </xf>
    <xf numFmtId="0" fontId="93" fillId="20" borderId="0" xfId="0" quotePrefix="1" applyFont="1" applyFill="1"/>
    <xf numFmtId="1" fontId="93" fillId="25" borderId="34" xfId="0" applyNumberFormat="1" applyFont="1" applyFill="1" applyBorder="1"/>
    <xf numFmtId="0" fontId="93" fillId="25" borderId="0" xfId="0" applyFont="1" applyFill="1" applyAlignment="1">
      <alignment horizontal="center"/>
    </xf>
    <xf numFmtId="0" fontId="93" fillId="25" borderId="38" xfId="0" applyFont="1" applyFill="1" applyBorder="1" applyAlignment="1">
      <alignment horizontal="center"/>
    </xf>
    <xf numFmtId="0" fontId="93" fillId="0" borderId="45" xfId="0" applyFont="1" applyBorder="1" applyAlignment="1">
      <alignment horizontal="center"/>
    </xf>
    <xf numFmtId="0" fontId="106" fillId="23" borderId="42" xfId="0" applyFont="1" applyFill="1" applyBorder="1" applyAlignment="1">
      <alignment horizontal="left"/>
    </xf>
    <xf numFmtId="0" fontId="93" fillId="0" borderId="0" xfId="0" applyFont="1" applyAlignment="1">
      <alignment horizontal="right"/>
    </xf>
    <xf numFmtId="0" fontId="93" fillId="0" borderId="37" xfId="0" applyFont="1" applyBorder="1"/>
    <xf numFmtId="0" fontId="0" fillId="0" borderId="0" xfId="0" applyAlignment="1">
      <alignment horizontal="center" vertical="center"/>
    </xf>
    <xf numFmtId="0" fontId="93" fillId="0" borderId="36" xfId="0" applyFont="1" applyBorder="1"/>
    <xf numFmtId="0" fontId="93" fillId="0" borderId="42" xfId="0" applyFont="1" applyBorder="1"/>
    <xf numFmtId="0" fontId="10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93" fillId="0" borderId="0" xfId="0" applyFont="1" applyAlignment="1">
      <alignment horizontal="center" wrapText="1"/>
    </xf>
    <xf numFmtId="1" fontId="103" fillId="0" borderId="0" xfId="0" applyNumberFormat="1" applyFont="1"/>
    <xf numFmtId="1" fontId="93" fillId="0" borderId="35" xfId="0" applyNumberFormat="1" applyFont="1" applyBorder="1" applyAlignment="1">
      <alignment horizontal="right"/>
    </xf>
    <xf numFmtId="1" fontId="93" fillId="24" borderId="35" xfId="0" applyNumberFormat="1" applyFont="1" applyFill="1" applyBorder="1" applyAlignment="1">
      <alignment horizontal="right"/>
    </xf>
    <xf numFmtId="0" fontId="108" fillId="0" borderId="0" xfId="0" applyFont="1" applyAlignment="1">
      <alignment horizontal="center"/>
    </xf>
    <xf numFmtId="0" fontId="108" fillId="0" borderId="0" xfId="0" applyFont="1" applyAlignment="1">
      <alignment horizontal="right"/>
    </xf>
    <xf numFmtId="0" fontId="97" fillId="21" borderId="47" xfId="0" applyFont="1" applyFill="1" applyBorder="1" applyProtection="1">
      <protection locked="0"/>
    </xf>
    <xf numFmtId="0" fontId="97" fillId="0" borderId="48" xfId="0" applyFont="1" applyBorder="1" applyAlignment="1">
      <alignment horizontal="right"/>
    </xf>
    <xf numFmtId="0" fontId="97" fillId="0" borderId="47" xfId="0" applyFont="1" applyBorder="1" applyAlignment="1">
      <alignment horizontal="right" wrapText="1"/>
    </xf>
    <xf numFmtId="0" fontId="97" fillId="0" borderId="0" xfId="0" applyFont="1" applyAlignment="1">
      <alignment horizontal="right"/>
    </xf>
    <xf numFmtId="0" fontId="97" fillId="21" borderId="49" xfId="0" applyFont="1" applyFill="1" applyBorder="1" applyProtection="1">
      <protection locked="0"/>
    </xf>
    <xf numFmtId="0" fontId="97" fillId="21" borderId="67" xfId="0" applyFont="1" applyFill="1" applyBorder="1" applyProtection="1">
      <protection locked="0"/>
    </xf>
    <xf numFmtId="0" fontId="97" fillId="21" borderId="41" xfId="0" applyFont="1" applyFill="1" applyBorder="1" applyProtection="1">
      <protection locked="0"/>
    </xf>
    <xf numFmtId="0" fontId="97" fillId="21" borderId="68" xfId="0" applyFont="1" applyFill="1" applyBorder="1" applyProtection="1">
      <protection locked="0"/>
    </xf>
    <xf numFmtId="0" fontId="97" fillId="21" borderId="69" xfId="0" applyFont="1" applyFill="1" applyBorder="1" applyProtection="1">
      <protection locked="0"/>
    </xf>
    <xf numFmtId="0" fontId="97" fillId="0" borderId="70" xfId="0" applyFont="1" applyBorder="1" applyAlignment="1">
      <alignment horizontal="right" wrapText="1"/>
    </xf>
    <xf numFmtId="0" fontId="97" fillId="0" borderId="0" xfId="0" applyFont="1" applyAlignment="1">
      <alignment horizontal="center"/>
    </xf>
    <xf numFmtId="0" fontId="97" fillId="0" borderId="49" xfId="0" applyFont="1" applyBorder="1" applyAlignment="1">
      <alignment horizontal="center"/>
    </xf>
    <xf numFmtId="0" fontId="97" fillId="0" borderId="0" xfId="0" applyFont="1"/>
    <xf numFmtId="0" fontId="97" fillId="21" borderId="74" xfId="0" applyFont="1" applyFill="1" applyBorder="1" applyProtection="1">
      <protection locked="0"/>
    </xf>
    <xf numFmtId="0" fontId="97" fillId="21" borderId="75" xfId="0" applyFont="1" applyFill="1" applyBorder="1" applyProtection="1">
      <protection locked="0"/>
    </xf>
    <xf numFmtId="0" fontId="97" fillId="0" borderId="76" xfId="0" applyFont="1" applyBorder="1" applyAlignment="1">
      <alignment horizontal="right" wrapText="1"/>
    </xf>
    <xf numFmtId="0" fontId="97" fillId="0" borderId="77" xfId="0" applyFont="1" applyBorder="1" applyAlignment="1" applyProtection="1">
      <alignment horizontal="center"/>
      <protection locked="0"/>
    </xf>
    <xf numFmtId="0" fontId="97" fillId="0" borderId="78" xfId="0" applyFont="1" applyBorder="1" applyAlignment="1">
      <alignment horizontal="center"/>
    </xf>
    <xf numFmtId="0" fontId="97" fillId="0" borderId="78" xfId="0" applyFont="1" applyBorder="1"/>
    <xf numFmtId="0" fontId="97" fillId="0" borderId="79" xfId="0" applyFont="1" applyBorder="1" applyAlignment="1">
      <alignment horizontal="left"/>
    </xf>
    <xf numFmtId="0" fontId="0" fillId="21" borderId="0" xfId="0" applyFill="1"/>
    <xf numFmtId="0" fontId="0" fillId="21" borderId="0" xfId="0" applyFill="1" applyAlignment="1">
      <alignment horizontal="left"/>
    </xf>
    <xf numFmtId="0" fontId="97" fillId="0" borderId="36" xfId="0" applyFont="1" applyBorder="1" applyAlignment="1">
      <alignment horizontal="center"/>
    </xf>
    <xf numFmtId="0" fontId="97" fillId="0" borderId="42" xfId="0" applyFont="1" applyBorder="1" applyAlignment="1">
      <alignment horizontal="center"/>
    </xf>
    <xf numFmtId="0" fontId="89" fillId="0" borderId="41" xfId="0" applyFont="1" applyBorder="1" applyAlignment="1">
      <alignment horizontal="center"/>
    </xf>
    <xf numFmtId="0" fontId="97" fillId="22" borderId="0" xfId="0" applyFont="1" applyFill="1" applyAlignment="1">
      <alignment horizontal="left"/>
    </xf>
    <xf numFmtId="0" fontId="0" fillId="22" borderId="0" xfId="0" applyFill="1" applyAlignment="1">
      <alignment horizontal="left"/>
    </xf>
    <xf numFmtId="0" fontId="108" fillId="0" borderId="0" xfId="0" applyFont="1"/>
    <xf numFmtId="1" fontId="97" fillId="0" borderId="80" xfId="0" applyNumberFormat="1" applyFont="1" applyBorder="1" applyAlignment="1" applyProtection="1">
      <alignment horizontal="center"/>
      <protection locked="0"/>
    </xf>
    <xf numFmtId="1" fontId="97" fillId="0" borderId="82" xfId="0" applyNumberFormat="1" applyFont="1" applyBorder="1"/>
    <xf numFmtId="1" fontId="97" fillId="0" borderId="80" xfId="0" applyNumberFormat="1" applyFont="1" applyBorder="1" applyAlignment="1">
      <alignment horizontal="center"/>
    </xf>
    <xf numFmtId="1" fontId="97" fillId="0" borderId="83" xfId="0" applyNumberFormat="1" applyFont="1" applyBorder="1" applyAlignment="1">
      <alignment horizontal="right"/>
    </xf>
    <xf numFmtId="1" fontId="97" fillId="21" borderId="81" xfId="0" applyNumberFormat="1" applyFont="1" applyFill="1" applyBorder="1" applyAlignment="1" applyProtection="1">
      <alignment horizontal="center"/>
      <protection locked="0"/>
    </xf>
    <xf numFmtId="1" fontId="97" fillId="0" borderId="81" xfId="0" applyNumberFormat="1" applyFont="1" applyBorder="1" applyAlignment="1">
      <alignment horizontal="center"/>
    </xf>
    <xf numFmtId="1" fontId="97" fillId="0" borderId="84" xfId="0" applyNumberFormat="1" applyFont="1" applyBorder="1" applyAlignment="1">
      <alignment horizontal="center"/>
    </xf>
    <xf numFmtId="1" fontId="97" fillId="0" borderId="85" xfId="0" applyNumberFormat="1" applyFont="1" applyBorder="1" applyAlignment="1" applyProtection="1">
      <alignment horizontal="center"/>
      <protection locked="0"/>
    </xf>
    <xf numFmtId="1" fontId="97" fillId="0" borderId="72" xfId="0" applyNumberFormat="1" applyFont="1" applyBorder="1" applyAlignment="1" applyProtection="1">
      <alignment horizontal="center"/>
      <protection locked="0"/>
    </xf>
    <xf numFmtId="1" fontId="97" fillId="0" borderId="86" xfId="0" applyNumberFormat="1" applyFont="1" applyBorder="1"/>
    <xf numFmtId="1" fontId="97" fillId="0" borderId="85" xfId="0" applyNumberFormat="1" applyFont="1" applyBorder="1" applyAlignment="1">
      <alignment horizontal="center"/>
    </xf>
    <xf numFmtId="1" fontId="97" fillId="0" borderId="73" xfId="0" applyNumberFormat="1" applyFont="1" applyBorder="1" applyAlignment="1">
      <alignment horizontal="right"/>
    </xf>
    <xf numFmtId="1" fontId="97" fillId="21" borderId="72" xfId="0" applyNumberFormat="1" applyFont="1" applyFill="1" applyBorder="1" applyAlignment="1" applyProtection="1">
      <alignment horizontal="center"/>
      <protection locked="0"/>
    </xf>
    <xf numFmtId="1" fontId="97" fillId="0" borderId="72" xfId="0" applyNumberFormat="1" applyFont="1" applyBorder="1" applyAlignment="1">
      <alignment horizontal="center"/>
    </xf>
    <xf numFmtId="1" fontId="97" fillId="0" borderId="71" xfId="0" applyNumberFormat="1" applyFont="1" applyBorder="1" applyAlignment="1">
      <alignment horizontal="center"/>
    </xf>
    <xf numFmtId="1" fontId="0" fillId="21" borderId="72" xfId="0" applyNumberFormat="1" applyFill="1" applyBorder="1" applyProtection="1">
      <protection locked="0"/>
    </xf>
    <xf numFmtId="0" fontId="0" fillId="0" borderId="72" xfId="0" applyBorder="1"/>
    <xf numFmtId="1" fontId="0" fillId="21" borderId="73" xfId="0" applyNumberFormat="1" applyFill="1" applyBorder="1" applyProtection="1">
      <protection locked="0"/>
    </xf>
    <xf numFmtId="1" fontId="97" fillId="21" borderId="73" xfId="0" applyNumberFormat="1" applyFont="1" applyFill="1" applyBorder="1" applyProtection="1">
      <protection locked="0"/>
    </xf>
    <xf numFmtId="1" fontId="97" fillId="0" borderId="88" xfId="0" applyNumberFormat="1" applyFont="1" applyBorder="1"/>
    <xf numFmtId="1" fontId="97" fillId="0" borderId="89" xfId="0" applyNumberFormat="1" applyFont="1" applyBorder="1" applyAlignment="1">
      <alignment horizontal="center"/>
    </xf>
    <xf numFmtId="1" fontId="97" fillId="0" borderId="90" xfId="0" applyNumberFormat="1" applyFont="1" applyBorder="1" applyAlignment="1">
      <alignment horizontal="right"/>
    </xf>
    <xf numFmtId="1" fontId="97" fillId="21" borderId="91" xfId="0" applyNumberFormat="1" applyFont="1" applyFill="1" applyBorder="1" applyAlignment="1" applyProtection="1">
      <alignment horizontal="center"/>
      <protection locked="0"/>
    </xf>
    <xf numFmtId="1" fontId="97" fillId="21" borderId="87" xfId="0" applyNumberFormat="1" applyFont="1" applyFill="1" applyBorder="1" applyProtection="1">
      <protection locked="0"/>
    </xf>
    <xf numFmtId="1" fontId="97" fillId="21" borderId="79" xfId="0" applyNumberFormat="1" applyFont="1" applyFill="1" applyBorder="1" applyAlignment="1" applyProtection="1">
      <alignment horizontal="right"/>
      <protection locked="0"/>
    </xf>
    <xf numFmtId="1" fontId="97" fillId="0" borderId="78" xfId="0" applyNumberFormat="1" applyFont="1" applyBorder="1" applyAlignment="1" applyProtection="1">
      <alignment horizontal="center"/>
      <protection locked="0"/>
    </xf>
    <xf numFmtId="1" fontId="97" fillId="0" borderId="78" xfId="0" applyNumberFormat="1" applyFont="1" applyBorder="1" applyProtection="1">
      <protection locked="0"/>
    </xf>
    <xf numFmtId="1" fontId="97" fillId="21" borderId="78" xfId="0" applyNumberFormat="1" applyFont="1" applyFill="1" applyBorder="1" applyAlignment="1" applyProtection="1">
      <alignment horizontal="center"/>
      <protection locked="0"/>
    </xf>
    <xf numFmtId="1" fontId="97" fillId="21" borderId="87" xfId="0" applyNumberFormat="1" applyFont="1" applyFill="1" applyBorder="1" applyAlignment="1" applyProtection="1">
      <alignment horizontal="center"/>
      <protection locked="0"/>
    </xf>
    <xf numFmtId="1" fontId="97" fillId="0" borderId="87" xfId="0" applyNumberFormat="1" applyFont="1" applyBorder="1" applyAlignment="1">
      <alignment horizontal="center"/>
    </xf>
    <xf numFmtId="1" fontId="97" fillId="0" borderId="77" xfId="0" applyNumberFormat="1" applyFont="1" applyBorder="1" applyAlignment="1" applyProtection="1">
      <alignment horizontal="center"/>
      <protection locked="0"/>
    </xf>
    <xf numFmtId="1" fontId="97" fillId="21" borderId="78" xfId="0" applyNumberFormat="1" applyFon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1" fontId="97" fillId="21" borderId="79" xfId="0" applyNumberFormat="1" applyFont="1" applyFill="1" applyBorder="1" applyProtection="1">
      <protection locked="0"/>
    </xf>
    <xf numFmtId="0" fontId="97" fillId="0" borderId="94" xfId="0" applyFont="1" applyBorder="1" applyAlignment="1">
      <alignment horizontal="center"/>
    </xf>
    <xf numFmtId="0" fontId="97" fillId="0" borderId="47" xfId="0" applyFont="1" applyBorder="1" applyAlignment="1">
      <alignment horizontal="center"/>
    </xf>
    <xf numFmtId="0" fontId="103" fillId="0" borderId="16" xfId="0" applyFont="1" applyBorder="1"/>
    <xf numFmtId="0" fontId="97" fillId="0" borderId="16" xfId="0" applyFont="1" applyBorder="1"/>
    <xf numFmtId="0" fontId="97" fillId="0" borderId="16" xfId="0" applyFont="1" applyBorder="1" applyAlignment="1">
      <alignment vertical="top"/>
    </xf>
    <xf numFmtId="0" fontId="97" fillId="0" borderId="98" xfId="0" applyFont="1" applyBorder="1" applyAlignment="1">
      <alignment horizontal="center" wrapText="1"/>
    </xf>
    <xf numFmtId="0" fontId="97" fillId="0" borderId="15" xfId="0" applyFont="1" applyBorder="1"/>
    <xf numFmtId="0" fontId="109" fillId="0" borderId="0" xfId="0" applyFont="1"/>
    <xf numFmtId="0" fontId="0" fillId="0" borderId="0" xfId="0" quotePrefix="1"/>
    <xf numFmtId="1" fontId="93" fillId="0" borderId="0" xfId="0" applyNumberFormat="1" applyFont="1"/>
    <xf numFmtId="0" fontId="0" fillId="0" borderId="60" xfId="0" applyBorder="1"/>
    <xf numFmtId="0" fontId="0" fillId="0" borderId="61" xfId="0" applyBorder="1"/>
    <xf numFmtId="0" fontId="97" fillId="0" borderId="62" xfId="0" applyFont="1" applyBorder="1" applyAlignment="1">
      <alignment horizontal="right" vertical="center"/>
    </xf>
    <xf numFmtId="0" fontId="0" fillId="0" borderId="63" xfId="0" applyBorder="1"/>
    <xf numFmtId="0" fontId="0" fillId="0" borderId="64" xfId="0" applyBorder="1"/>
    <xf numFmtId="0" fontId="93" fillId="0" borderId="0" xfId="0" applyFont="1" applyAlignment="1">
      <alignment horizontal="left" wrapText="1"/>
    </xf>
    <xf numFmtId="0" fontId="93" fillId="0" borderId="0" xfId="0" applyFont="1" applyAlignment="1">
      <alignment horizontal="left"/>
    </xf>
    <xf numFmtId="1" fontId="93" fillId="0" borderId="0" xfId="0" applyNumberFormat="1" applyFont="1" applyAlignment="1">
      <alignment horizontal="center"/>
    </xf>
    <xf numFmtId="0" fontId="93" fillId="0" borderId="0" xfId="0" applyFont="1" applyAlignment="1">
      <alignment horizontal="right" wrapText="1"/>
    </xf>
    <xf numFmtId="0" fontId="0" fillId="0" borderId="65" xfId="0" applyBorder="1"/>
    <xf numFmtId="0" fontId="0" fillId="0" borderId="66" xfId="0" applyBorder="1"/>
    <xf numFmtId="0" fontId="0" fillId="0" borderId="15" xfId="0" applyBorder="1"/>
    <xf numFmtId="1" fontId="97" fillId="0" borderId="80" xfId="0" applyNumberFormat="1" applyFont="1" applyBorder="1"/>
    <xf numFmtId="1" fontId="97" fillId="0" borderId="81" xfId="0" applyNumberFormat="1" applyFont="1" applyBorder="1"/>
    <xf numFmtId="1" fontId="97" fillId="0" borderId="83" xfId="0" applyNumberFormat="1" applyFont="1" applyBorder="1"/>
    <xf numFmtId="1" fontId="97" fillId="0" borderId="85" xfId="0" applyNumberFormat="1" applyFont="1" applyBorder="1"/>
    <xf numFmtId="1" fontId="97" fillId="0" borderId="72" xfId="0" applyNumberFormat="1" applyFont="1" applyBorder="1"/>
    <xf numFmtId="1" fontId="97" fillId="0" borderId="73" xfId="0" applyNumberFormat="1" applyFont="1" applyBorder="1"/>
    <xf numFmtId="1" fontId="97" fillId="0" borderId="91" xfId="0" applyNumberFormat="1" applyFont="1" applyBorder="1"/>
    <xf numFmtId="1" fontId="97" fillId="0" borderId="87" xfId="0" applyNumberFormat="1" applyFont="1" applyBorder="1"/>
    <xf numFmtId="1" fontId="97" fillId="0" borderId="79" xfId="0" applyNumberFormat="1" applyFont="1" applyBorder="1" applyAlignment="1">
      <alignment horizontal="right"/>
    </xf>
    <xf numFmtId="1" fontId="97" fillId="0" borderId="78" xfId="0" applyNumberFormat="1" applyFont="1" applyBorder="1" applyAlignment="1">
      <alignment horizontal="center"/>
    </xf>
    <xf numFmtId="1" fontId="97" fillId="0" borderId="77" xfId="0" applyNumberFormat="1" applyFont="1" applyBorder="1" applyAlignment="1">
      <alignment horizontal="center"/>
    </xf>
    <xf numFmtId="1" fontId="97" fillId="0" borderId="78" xfId="0" applyNumberFormat="1" applyFont="1" applyBorder="1"/>
    <xf numFmtId="1" fontId="97" fillId="0" borderId="79" xfId="0" applyNumberFormat="1" applyFont="1" applyBorder="1"/>
    <xf numFmtId="0" fontId="93" fillId="0" borderId="36" xfId="0" applyFont="1" applyBorder="1" applyAlignment="1">
      <alignment horizontal="center"/>
    </xf>
    <xf numFmtId="0" fontId="93" fillId="0" borderId="42" xfId="0" applyFont="1" applyBorder="1" applyAlignment="1">
      <alignment horizontal="center"/>
    </xf>
    <xf numFmtId="0" fontId="93" fillId="0" borderId="41" xfId="0" applyFont="1" applyBorder="1" applyAlignment="1">
      <alignment horizontal="center"/>
    </xf>
    <xf numFmtId="1" fontId="0" fillId="0" borderId="0" xfId="0" applyNumberFormat="1"/>
    <xf numFmtId="0" fontId="93" fillId="0" borderId="0" xfId="0" quotePrefix="1" applyFont="1"/>
    <xf numFmtId="0" fontId="97" fillId="0" borderId="48" xfId="0" applyFont="1" applyBorder="1" applyAlignment="1">
      <alignment horizontal="center"/>
    </xf>
    <xf numFmtId="1" fontId="97" fillId="21" borderId="83" xfId="0" applyNumberFormat="1" applyFont="1" applyFill="1" applyBorder="1" applyProtection="1">
      <protection locked="0"/>
    </xf>
    <xf numFmtId="1" fontId="0" fillId="21" borderId="83" xfId="0" applyNumberFormat="1" applyFill="1" applyBorder="1" applyProtection="1">
      <protection locked="0"/>
    </xf>
    <xf numFmtId="0" fontId="0" fillId="0" borderId="81" xfId="0" applyBorder="1"/>
    <xf numFmtId="1" fontId="0" fillId="21" borderId="81" xfId="0" applyNumberFormat="1" applyFill="1" applyBorder="1" applyProtection="1">
      <protection locked="0"/>
    </xf>
    <xf numFmtId="1" fontId="97" fillId="0" borderId="81" xfId="0" applyNumberFormat="1" applyFont="1" applyBorder="1" applyAlignment="1" applyProtection="1">
      <alignment horizontal="center"/>
      <protection locked="0"/>
    </xf>
    <xf numFmtId="1" fontId="0" fillId="18" borderId="0" xfId="0" applyNumberFormat="1" applyFill="1" applyAlignment="1">
      <alignment horizontal="right"/>
    </xf>
    <xf numFmtId="1" fontId="0" fillId="18" borderId="0" xfId="0" applyNumberFormat="1" applyFill="1" applyAlignment="1">
      <alignment horizontal="left"/>
    </xf>
    <xf numFmtId="0" fontId="97" fillId="0" borderId="102" xfId="0" applyFont="1" applyBorder="1"/>
    <xf numFmtId="0" fontId="97" fillId="0" borderId="103" xfId="0" applyFont="1" applyBorder="1"/>
    <xf numFmtId="0" fontId="97" fillId="0" borderId="104" xfId="0" applyFont="1" applyBorder="1"/>
    <xf numFmtId="0" fontId="97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93" fillId="0" borderId="44" xfId="0" applyFont="1" applyBorder="1" applyAlignment="1">
      <alignment horizontal="center"/>
    </xf>
    <xf numFmtId="0" fontId="93" fillId="0" borderId="55" xfId="0" applyFont="1" applyBorder="1" applyAlignment="1">
      <alignment horizontal="center"/>
    </xf>
    <xf numFmtId="0" fontId="93" fillId="0" borderId="47" xfId="0" applyFont="1" applyBorder="1" applyAlignment="1">
      <alignment horizontal="center"/>
    </xf>
    <xf numFmtId="0" fontId="93" fillId="0" borderId="49" xfId="0" applyFont="1" applyBorder="1" applyAlignment="1">
      <alignment horizontal="center"/>
    </xf>
    <xf numFmtId="1" fontId="0" fillId="6" borderId="0" xfId="0" applyNumberFormat="1" applyFill="1" applyProtection="1">
      <protection locked="0"/>
    </xf>
    <xf numFmtId="0" fontId="93" fillId="22" borderId="0" xfId="0" applyFont="1" applyFill="1" applyAlignment="1" applyProtection="1">
      <alignment horizontal="center"/>
      <protection locked="0"/>
    </xf>
    <xf numFmtId="2" fontId="93" fillId="21" borderId="0" xfId="0" applyNumberFormat="1" applyFont="1" applyFill="1" applyAlignment="1" applyProtection="1">
      <alignment horizontal="center"/>
      <protection locked="0"/>
    </xf>
    <xf numFmtId="0" fontId="93" fillId="21" borderId="0" xfId="0" applyFont="1" applyFill="1" applyAlignment="1" applyProtection="1">
      <alignment horizontal="center"/>
      <protection locked="0"/>
    </xf>
    <xf numFmtId="0" fontId="112" fillId="16" borderId="31" xfId="0" applyFont="1" applyFill="1" applyBorder="1"/>
    <xf numFmtId="1" fontId="113" fillId="16" borderId="31" xfId="0" applyNumberFormat="1" applyFont="1" applyFill="1" applyBorder="1"/>
    <xf numFmtId="0" fontId="113" fillId="0" borderId="31" xfId="0" applyFont="1" applyBorder="1"/>
    <xf numFmtId="1" fontId="113" fillId="0" borderId="31" xfId="0" applyNumberFormat="1" applyFont="1" applyBorder="1"/>
    <xf numFmtId="0" fontId="93" fillId="0" borderId="116" xfId="0" applyFont="1" applyBorder="1"/>
    <xf numFmtId="0" fontId="97" fillId="21" borderId="116" xfId="0" applyFont="1" applyFill="1" applyBorder="1" applyProtection="1">
      <protection locked="0"/>
    </xf>
    <xf numFmtId="0" fontId="93" fillId="0" borderId="116" xfId="0" applyFont="1" applyBorder="1" applyAlignment="1">
      <alignment horizontal="center"/>
    </xf>
    <xf numFmtId="0" fontId="93" fillId="0" borderId="113" xfId="0" applyFont="1" applyBorder="1"/>
    <xf numFmtId="0" fontId="93" fillId="25" borderId="116" xfId="0" applyFont="1" applyFill="1" applyBorder="1" applyAlignment="1">
      <alignment horizontal="center"/>
    </xf>
    <xf numFmtId="1" fontId="93" fillId="0" borderId="116" xfId="0" applyNumberFormat="1" applyFont="1" applyBorder="1"/>
    <xf numFmtId="1" fontId="93" fillId="0" borderId="113" xfId="0" applyNumberFormat="1" applyFont="1" applyBorder="1"/>
    <xf numFmtId="0" fontId="113" fillId="16" borderId="31" xfId="0" applyFont="1" applyFill="1" applyBorder="1"/>
    <xf numFmtId="0" fontId="0" fillId="28" borderId="31" xfId="0" applyFill="1" applyBorder="1"/>
    <xf numFmtId="0" fontId="110" fillId="0" borderId="0" xfId="0" applyFont="1" applyAlignment="1">
      <alignment horizontal="center" wrapText="1"/>
    </xf>
    <xf numFmtId="0" fontId="108" fillId="29" borderId="0" xfId="0" applyFont="1" applyFill="1" applyAlignment="1">
      <alignment horizontal="center"/>
    </xf>
    <xf numFmtId="0" fontId="0" fillId="29" borderId="0" xfId="0" applyFill="1"/>
    <xf numFmtId="0" fontId="97" fillId="29" borderId="0" xfId="0" applyFont="1" applyFill="1"/>
    <xf numFmtId="0" fontId="0" fillId="29" borderId="0" xfId="0" applyFill="1" applyAlignment="1">
      <alignment horizontal="center" wrapText="1"/>
    </xf>
    <xf numFmtId="0" fontId="93" fillId="29" borderId="0" xfId="0" applyFont="1" applyFill="1" applyAlignment="1">
      <alignment horizontal="center" wrapText="1"/>
    </xf>
    <xf numFmtId="0" fontId="93" fillId="0" borderId="21" xfId="0" applyFont="1" applyBorder="1" applyAlignment="1">
      <alignment horizontal="right" wrapText="1"/>
    </xf>
    <xf numFmtId="17" fontId="0" fillId="0" borderId="0" xfId="0" applyNumberFormat="1"/>
    <xf numFmtId="0" fontId="0" fillId="0" borderId="31" xfId="0" applyBorder="1"/>
    <xf numFmtId="0" fontId="0" fillId="15" borderId="31" xfId="0" applyFill="1" applyBorder="1" applyAlignment="1">
      <alignment horizontal="right"/>
    </xf>
    <xf numFmtId="0" fontId="0" fillId="15" borderId="31" xfId="0" applyFill="1" applyBorder="1"/>
    <xf numFmtId="1" fontId="0" fillId="0" borderId="31" xfId="0" applyNumberFormat="1" applyBorder="1"/>
    <xf numFmtId="0" fontId="114" fillId="27" borderId="31" xfId="10" applyBorder="1"/>
    <xf numFmtId="0" fontId="0" fillId="16" borderId="31" xfId="0" applyFill="1" applyBorder="1"/>
    <xf numFmtId="0" fontId="113" fillId="5" borderId="31" xfId="11" applyFont="1" applyFill="1" applyBorder="1" applyAlignment="1">
      <alignment horizontal="center"/>
    </xf>
    <xf numFmtId="1" fontId="113" fillId="5" borderId="31" xfId="11" applyNumberFormat="1" applyFont="1" applyFill="1" applyBorder="1"/>
    <xf numFmtId="0" fontId="0" fillId="5" borderId="31" xfId="0" applyFill="1" applyBorder="1"/>
    <xf numFmtId="0" fontId="112" fillId="5" borderId="31" xfId="11" applyFont="1" applyFill="1" applyBorder="1"/>
    <xf numFmtId="0" fontId="113" fillId="5" borderId="31" xfId="11" applyFont="1" applyFill="1" applyBorder="1" applyAlignment="1">
      <alignment horizontal="center" vertical="center" wrapText="1"/>
    </xf>
    <xf numFmtId="1" fontId="113" fillId="5" borderId="31" xfId="11" applyNumberFormat="1" applyFont="1" applyFill="1" applyBorder="1" applyAlignment="1">
      <alignment horizontal="center" vertical="center"/>
    </xf>
    <xf numFmtId="0" fontId="113" fillId="5" borderId="31" xfId="11" applyFont="1" applyFill="1" applyBorder="1" applyAlignment="1">
      <alignment horizontal="center" vertical="center"/>
    </xf>
    <xf numFmtId="0" fontId="90" fillId="5" borderId="31" xfId="11" applyFill="1" applyBorder="1" applyAlignment="1">
      <alignment horizontal="center" vertical="center" wrapText="1"/>
    </xf>
    <xf numFmtId="0" fontId="90" fillId="5" borderId="31" xfId="11" applyFill="1" applyBorder="1"/>
    <xf numFmtId="0" fontId="113" fillId="5" borderId="31" xfId="10" applyFont="1" applyFill="1" applyBorder="1"/>
    <xf numFmtId="0" fontId="112" fillId="5" borderId="31" xfId="10" applyFont="1" applyFill="1" applyBorder="1"/>
    <xf numFmtId="1" fontId="113" fillId="5" borderId="31" xfId="10" applyNumberFormat="1" applyFont="1" applyFill="1" applyBorder="1"/>
    <xf numFmtId="0" fontId="113" fillId="5" borderId="31" xfId="13" applyFont="1" applyFill="1" applyBorder="1"/>
    <xf numFmtId="0" fontId="112" fillId="5" borderId="31" xfId="13" applyFont="1" applyFill="1" applyBorder="1"/>
    <xf numFmtId="1" fontId="113" fillId="5" borderId="31" xfId="13" applyNumberFormat="1" applyFont="1" applyFill="1" applyBorder="1"/>
    <xf numFmtId="1" fontId="113" fillId="5" borderId="31" xfId="11" applyNumberFormat="1" applyFont="1" applyFill="1" applyBorder="1" applyAlignment="1">
      <alignment wrapText="1"/>
    </xf>
    <xf numFmtId="0" fontId="116" fillId="5" borderId="31" xfId="11" applyFont="1" applyFill="1" applyBorder="1"/>
    <xf numFmtId="0" fontId="115" fillId="5" borderId="31" xfId="11" applyFont="1" applyFill="1" applyBorder="1"/>
    <xf numFmtId="0" fontId="117" fillId="5" borderId="31" xfId="0" applyFont="1" applyFill="1" applyBorder="1" applyAlignment="1">
      <alignment horizontal="center"/>
    </xf>
    <xf numFmtId="0" fontId="115" fillId="5" borderId="31" xfId="0" applyFont="1" applyFill="1" applyBorder="1"/>
    <xf numFmtId="0" fontId="116" fillId="5" borderId="31" xfId="0" applyFont="1" applyFill="1" applyBorder="1"/>
    <xf numFmtId="1" fontId="117" fillId="5" borderId="31" xfId="0" applyNumberFormat="1" applyFont="1" applyFill="1" applyBorder="1"/>
    <xf numFmtId="0" fontId="118" fillId="5" borderId="31" xfId="0" applyFont="1" applyFill="1" applyBorder="1"/>
    <xf numFmtId="0" fontId="113" fillId="5" borderId="31" xfId="0" applyFont="1" applyFill="1" applyBorder="1"/>
    <xf numFmtId="0" fontId="112" fillId="5" borderId="31" xfId="0" applyFont="1" applyFill="1" applyBorder="1"/>
    <xf numFmtId="0" fontId="89" fillId="0" borderId="16" xfId="0" applyFont="1" applyBorder="1"/>
    <xf numFmtId="0" fontId="89" fillId="0" borderId="27" xfId="0" applyFont="1" applyBorder="1"/>
    <xf numFmtId="0" fontId="89" fillId="0" borderId="119" xfId="0" applyFont="1" applyBorder="1"/>
    <xf numFmtId="0" fontId="89" fillId="0" borderId="28" xfId="0" applyFont="1" applyBorder="1"/>
    <xf numFmtId="0" fontId="89" fillId="0" borderId="0" xfId="0" applyFont="1"/>
    <xf numFmtId="2" fontId="0" fillId="0" borderId="15" xfId="0" applyNumberFormat="1" applyBorder="1"/>
    <xf numFmtId="0" fontId="0" fillId="0" borderId="118" xfId="0" applyBorder="1"/>
    <xf numFmtId="2" fontId="0" fillId="0" borderId="18" xfId="0" applyNumberFormat="1" applyBorder="1"/>
    <xf numFmtId="0" fontId="0" fillId="0" borderId="119" xfId="0" applyBorder="1"/>
    <xf numFmtId="0" fontId="89" fillId="0" borderId="118" xfId="0" applyFont="1" applyBorder="1"/>
    <xf numFmtId="0" fontId="89" fillId="0" borderId="17" xfId="0" applyFont="1" applyBorder="1"/>
    <xf numFmtId="0" fontId="89" fillId="0" borderId="19" xfId="0" applyFont="1" applyBorder="1"/>
    <xf numFmtId="0" fontId="89" fillId="0" borderId="26" xfId="0" applyFont="1" applyBorder="1"/>
    <xf numFmtId="0" fontId="89" fillId="0" borderId="22" xfId="0" applyFont="1" applyBorder="1"/>
    <xf numFmtId="0" fontId="0" fillId="0" borderId="26" xfId="0" applyBorder="1"/>
    <xf numFmtId="0" fontId="89" fillId="0" borderId="21" xfId="0" applyFont="1" applyBorder="1"/>
    <xf numFmtId="2" fontId="0" fillId="0" borderId="20" xfId="0" applyNumberFormat="1" applyBorder="1"/>
    <xf numFmtId="1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left"/>
    </xf>
    <xf numFmtId="0" fontId="89" fillId="0" borderId="29" xfId="0" applyFont="1" applyBorder="1"/>
    <xf numFmtId="1" fontId="0" fillId="18" borderId="18" xfId="0" applyNumberFormat="1" applyFill="1" applyBorder="1" applyAlignment="1">
      <alignment horizontal="right"/>
    </xf>
    <xf numFmtId="1" fontId="0" fillId="18" borderId="0" xfId="0" applyNumberFormat="1" applyFill="1" applyAlignment="1" applyProtection="1">
      <alignment horizontal="center"/>
      <protection locked="0"/>
    </xf>
    <xf numFmtId="1" fontId="0" fillId="18" borderId="19" xfId="0" applyNumberFormat="1" applyFill="1" applyBorder="1" applyAlignment="1">
      <alignment horizontal="left"/>
    </xf>
    <xf numFmtId="1" fontId="0" fillId="18" borderId="20" xfId="0" applyNumberFormat="1" applyFill="1" applyBorder="1" applyAlignment="1">
      <alignment horizontal="right"/>
    </xf>
    <xf numFmtId="1" fontId="0" fillId="18" borderId="21" xfId="0" applyNumberFormat="1" applyFill="1" applyBorder="1" applyAlignment="1">
      <alignment horizontal="center"/>
    </xf>
    <xf numFmtId="1" fontId="0" fillId="18" borderId="22" xfId="0" applyNumberFormat="1" applyFill="1" applyBorder="1" applyAlignment="1">
      <alignment horizontal="left"/>
    </xf>
    <xf numFmtId="0" fontId="117" fillId="5" borderId="31" xfId="0" applyFont="1" applyFill="1" applyBorder="1" applyAlignment="1">
      <alignment wrapText="1"/>
    </xf>
    <xf numFmtId="0" fontId="108" fillId="24" borderId="120" xfId="0" applyFont="1" applyFill="1" applyBorder="1"/>
    <xf numFmtId="1" fontId="108" fillId="24" borderId="122" xfId="0" applyNumberFormat="1" applyFont="1" applyFill="1" applyBorder="1" applyAlignment="1">
      <alignment horizontal="center"/>
    </xf>
    <xf numFmtId="0" fontId="113" fillId="5" borderId="31" xfId="11" applyFont="1" applyFill="1" applyBorder="1"/>
    <xf numFmtId="0" fontId="113" fillId="5" borderId="31" xfId="9" applyFont="1" applyFill="1" applyBorder="1" applyAlignment="1">
      <alignment horizontal="center" vertical="center"/>
    </xf>
    <xf numFmtId="0" fontId="111" fillId="28" borderId="31" xfId="14" applyFill="1" applyBorder="1"/>
    <xf numFmtId="0" fontId="113" fillId="5" borderId="31" xfId="13" applyFont="1" applyFill="1" applyBorder="1" applyAlignment="1">
      <alignment horizontal="center" vertical="center"/>
    </xf>
    <xf numFmtId="0" fontId="113" fillId="5" borderId="31" xfId="10" applyFont="1" applyFill="1" applyBorder="1" applyAlignment="1">
      <alignment horizontal="center" vertical="center"/>
    </xf>
    <xf numFmtId="0" fontId="121" fillId="16" borderId="31" xfId="0" applyFont="1" applyFill="1" applyBorder="1"/>
    <xf numFmtId="0" fontId="121" fillId="0" borderId="31" xfId="0" applyFont="1" applyBorder="1"/>
    <xf numFmtId="0" fontId="113" fillId="5" borderId="31" xfId="11" applyFont="1" applyFill="1" applyBorder="1" applyAlignment="1">
      <alignment wrapText="1"/>
    </xf>
    <xf numFmtId="0" fontId="117" fillId="5" borderId="31" xfId="0" applyFont="1" applyFill="1" applyBorder="1" applyAlignment="1">
      <alignment horizontal="center" vertical="center"/>
    </xf>
    <xf numFmtId="0" fontId="113" fillId="5" borderId="31" xfId="0" applyFont="1" applyFill="1" applyBorder="1" applyAlignment="1">
      <alignment horizontal="center" vertical="center"/>
    </xf>
    <xf numFmtId="1" fontId="113" fillId="5" borderId="31" xfId="0" applyNumberFormat="1" applyFont="1" applyFill="1" applyBorder="1"/>
    <xf numFmtId="0" fontId="117" fillId="5" borderId="31" xfId="0" applyFont="1" applyFill="1" applyBorder="1"/>
    <xf numFmtId="0" fontId="117" fillId="28" borderId="31" xfId="0" applyFont="1" applyFill="1" applyBorder="1"/>
    <xf numFmtId="0" fontId="0" fillId="0" borderId="31" xfId="0" applyBorder="1" applyAlignment="1">
      <alignment horizontal="center" vertical="center"/>
    </xf>
    <xf numFmtId="0" fontId="0" fillId="0" borderId="84" xfId="0" applyBorder="1"/>
    <xf numFmtId="1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00" fillId="0" borderId="0" xfId="1" applyFont="1" applyAlignment="1">
      <alignment horizontal="left"/>
    </xf>
    <xf numFmtId="0" fontId="6" fillId="0" borderId="0" xfId="0" applyFont="1"/>
    <xf numFmtId="0" fontId="0" fillId="0" borderId="21" xfId="0" applyBorder="1"/>
    <xf numFmtId="0" fontId="0" fillId="0" borderId="22" xfId="0" applyBorder="1"/>
    <xf numFmtId="0" fontId="0" fillId="0" borderId="37" xfId="0" applyBorder="1"/>
    <xf numFmtId="0" fontId="0" fillId="0" borderId="42" xfId="0" applyBorder="1"/>
    <xf numFmtId="0" fontId="7" fillId="0" borderId="0" xfId="7" applyFont="1"/>
    <xf numFmtId="0" fontId="0" fillId="0" borderId="19" xfId="0" applyBorder="1"/>
    <xf numFmtId="0" fontId="10" fillId="0" borderId="32" xfId="7" applyFont="1" applyBorder="1"/>
    <xf numFmtId="0" fontId="0" fillId="0" borderId="16" xfId="0" applyBorder="1"/>
    <xf numFmtId="0" fontId="0" fillId="0" borderId="20" xfId="0" applyBorder="1"/>
    <xf numFmtId="0" fontId="0" fillId="0" borderId="17" xfId="0" applyBorder="1"/>
    <xf numFmtId="0" fontId="2" fillId="4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93" fillId="0" borderId="31" xfId="0" applyFont="1" applyBorder="1" applyAlignment="1">
      <alignment horizontal="center"/>
    </xf>
    <xf numFmtId="0" fontId="0" fillId="0" borderId="30" xfId="0" applyBorder="1"/>
    <xf numFmtId="0" fontId="0" fillId="0" borderId="49" xfId="0" applyBorder="1"/>
    <xf numFmtId="0" fontId="93" fillId="0" borderId="48" xfId="0" applyFont="1" applyBorder="1" applyAlignment="1">
      <alignment horizontal="center"/>
    </xf>
    <xf numFmtId="0" fontId="0" fillId="0" borderId="48" xfId="0" applyBorder="1"/>
    <xf numFmtId="0" fontId="103" fillId="0" borderId="0" xfId="0" applyFont="1"/>
    <xf numFmtId="0" fontId="0" fillId="0" borderId="36" xfId="0" applyBorder="1"/>
    <xf numFmtId="0" fontId="0" fillId="0" borderId="116" xfId="0" applyBorder="1"/>
    <xf numFmtId="0" fontId="93" fillId="0" borderId="0" xfId="0" applyFont="1"/>
    <xf numFmtId="0" fontId="0" fillId="0" borderId="47" xfId="0" applyBorder="1"/>
    <xf numFmtId="0" fontId="0" fillId="0" borderId="18" xfId="0" applyBorder="1"/>
    <xf numFmtId="168" fontId="0" fillId="0" borderId="0" xfId="0" applyNumberFormat="1" applyAlignment="1">
      <alignment horizontal="left"/>
    </xf>
    <xf numFmtId="168" fontId="0" fillId="0" borderId="0" xfId="0" applyNumberFormat="1"/>
    <xf numFmtId="168" fontId="0" fillId="0" borderId="19" xfId="0" applyNumberFormat="1" applyBorder="1"/>
    <xf numFmtId="169" fontId="0" fillId="0" borderId="0" xfId="0" applyNumberFormat="1"/>
    <xf numFmtId="164" fontId="0" fillId="0" borderId="0" xfId="0" applyNumberFormat="1"/>
    <xf numFmtId="165" fontId="0" fillId="0" borderId="0" xfId="6" applyNumberFormat="1" applyFont="1"/>
    <xf numFmtId="168" fontId="0" fillId="6" borderId="0" xfId="0" applyNumberFormat="1" applyFill="1" applyProtection="1">
      <protection locked="0"/>
    </xf>
    <xf numFmtId="168" fontId="0" fillId="14" borderId="18" xfId="0" applyNumberFormat="1" applyFill="1" applyBorder="1"/>
    <xf numFmtId="168" fontId="0" fillId="14" borderId="19" xfId="0" applyNumberFormat="1" applyFill="1" applyBorder="1"/>
    <xf numFmtId="168" fontId="0" fillId="13" borderId="0" xfId="0" applyNumberFormat="1" applyFill="1"/>
    <xf numFmtId="168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19" xfId="0" applyNumberFormat="1" applyBorder="1" applyAlignment="1">
      <alignment horizontal="center"/>
    </xf>
    <xf numFmtId="168" fontId="0" fillId="0" borderId="31" xfId="0" applyNumberFormat="1" applyBorder="1" applyAlignment="1">
      <alignment horizontal="center" wrapText="1"/>
    </xf>
    <xf numFmtId="168" fontId="0" fillId="0" borderId="33" xfId="0" applyNumberFormat="1" applyBorder="1" applyAlignment="1">
      <alignment horizontal="center" wrapText="1"/>
    </xf>
    <xf numFmtId="168" fontId="0" fillId="0" borderId="18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9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68" fontId="7" fillId="0" borderId="21" xfId="7" applyNumberFormat="1" applyFont="1" applyBorder="1" applyAlignment="1">
      <alignment horizontal="left"/>
    </xf>
    <xf numFmtId="168" fontId="7" fillId="0" borderId="40" xfId="7" applyNumberFormat="1" applyFont="1" applyBorder="1" applyAlignment="1">
      <alignment horizontal="left"/>
    </xf>
    <xf numFmtId="167" fontId="97" fillId="0" borderId="99" xfId="0" applyNumberFormat="1" applyFont="1" applyBorder="1" applyAlignment="1">
      <alignment horizontal="center" vertical="center"/>
    </xf>
    <xf numFmtId="169" fontId="97" fillId="0" borderId="100" xfId="0" applyNumberFormat="1" applyFont="1" applyBorder="1" applyAlignment="1">
      <alignment horizontal="center" vertical="center"/>
    </xf>
    <xf numFmtId="167" fontId="97" fillId="0" borderId="101" xfId="0" applyNumberFormat="1" applyFont="1" applyBorder="1" applyAlignment="1">
      <alignment horizontal="center" vertical="center"/>
    </xf>
    <xf numFmtId="164" fontId="97" fillId="0" borderId="78" xfId="0" applyNumberFormat="1" applyFont="1" applyBorder="1" applyAlignment="1">
      <alignment horizontal="center"/>
    </xf>
    <xf numFmtId="169" fontId="97" fillId="0" borderId="103" xfId="0" applyNumberFormat="1" applyFont="1" applyBorder="1"/>
    <xf numFmtId="168" fontId="97" fillId="21" borderId="0" xfId="0" applyNumberFormat="1" applyFont="1" applyFill="1" applyProtection="1">
      <protection locked="0"/>
    </xf>
    <xf numFmtId="168" fontId="97" fillId="21" borderId="113" xfId="0" applyNumberFormat="1" applyFont="1" applyFill="1" applyBorder="1" applyProtection="1">
      <protection locked="0"/>
    </xf>
    <xf numFmtId="164" fontId="97" fillId="22" borderId="67" xfId="0" applyNumberFormat="1" applyFont="1" applyFill="1" applyBorder="1" applyProtection="1">
      <protection locked="0"/>
    </xf>
    <xf numFmtId="164" fontId="97" fillId="22" borderId="49" xfId="0" applyNumberFormat="1" applyFont="1" applyFill="1" applyBorder="1" applyProtection="1">
      <protection locked="0"/>
    </xf>
    <xf numFmtId="168" fontId="97" fillId="0" borderId="48" xfId="0" applyNumberFormat="1" applyFont="1" applyBorder="1"/>
    <xf numFmtId="168" fontId="97" fillId="0" borderId="49" xfId="0" applyNumberFormat="1" applyFont="1" applyBorder="1"/>
    <xf numFmtId="168" fontId="93" fillId="0" borderId="116" xfId="0" applyNumberFormat="1" applyFont="1" applyBorder="1"/>
    <xf numFmtId="168" fontId="93" fillId="0" borderId="113" xfId="0" applyNumberFormat="1" applyFont="1" applyBorder="1"/>
    <xf numFmtId="168" fontId="93" fillId="0" borderId="0" xfId="0" applyNumberFormat="1" applyFont="1" applyAlignment="1">
      <alignment horizontal="right"/>
    </xf>
    <xf numFmtId="168" fontId="93" fillId="0" borderId="0" xfId="0" applyNumberFormat="1" applyFont="1" applyAlignment="1">
      <alignment horizontal="center"/>
    </xf>
    <xf numFmtId="168" fontId="93" fillId="0" borderId="41" xfId="0" applyNumberFormat="1" applyFont="1" applyBorder="1"/>
    <xf numFmtId="168" fontId="93" fillId="0" borderId="36" xfId="0" applyNumberFormat="1" applyFont="1" applyBorder="1"/>
    <xf numFmtId="168" fontId="93" fillId="0" borderId="44" xfId="0" applyNumberFormat="1" applyFont="1" applyBorder="1"/>
    <xf numFmtId="168" fontId="93" fillId="0" borderId="55" xfId="0" applyNumberFormat="1" applyFont="1" applyBorder="1"/>
    <xf numFmtId="167" fontId="93" fillId="0" borderId="0" xfId="0" applyNumberFormat="1" applyFont="1" applyAlignment="1">
      <alignment horizontal="center"/>
    </xf>
    <xf numFmtId="167" fontId="93" fillId="0" borderId="0" xfId="0" applyNumberFormat="1" applyFont="1"/>
    <xf numFmtId="167" fontId="93" fillId="0" borderId="21" xfId="0" applyNumberFormat="1" applyFont="1" applyBorder="1"/>
    <xf numFmtId="167" fontId="93" fillId="0" borderId="0" xfId="0" applyNumberFormat="1" applyFont="1" applyAlignment="1">
      <alignment horizontal="right"/>
    </xf>
    <xf numFmtId="169" fontId="93" fillId="0" borderId="0" xfId="0" applyNumberFormat="1" applyFont="1"/>
    <xf numFmtId="168" fontId="93" fillId="0" borderId="38" xfId="0" applyNumberFormat="1" applyFont="1" applyBorder="1"/>
    <xf numFmtId="168" fontId="93" fillId="0" borderId="37" xfId="0" applyNumberFormat="1" applyFont="1" applyBorder="1"/>
    <xf numFmtId="168" fontId="0" fillId="0" borderId="38" xfId="0" applyNumberFormat="1" applyBorder="1"/>
    <xf numFmtId="0" fontId="90" fillId="5" borderId="31" xfId="11" applyFont="1" applyFill="1" applyBorder="1"/>
    <xf numFmtId="0" fontId="117" fillId="5" borderId="31" xfId="0" applyNumberFormat="1" applyFont="1" applyFill="1" applyBorder="1"/>
    <xf numFmtId="0" fontId="113" fillId="5" borderId="31" xfId="11" applyNumberFormat="1" applyFont="1" applyFill="1" applyBorder="1"/>
    <xf numFmtId="0" fontId="90" fillId="5" borderId="31" xfId="13" applyFont="1" applyFill="1" applyBorder="1"/>
    <xf numFmtId="0" fontId="90" fillId="5" borderId="31" xfId="11" applyFont="1" applyFill="1" applyBorder="1" applyAlignment="1">
      <alignment horizontal="center" vertical="center"/>
    </xf>
    <xf numFmtId="1" fontId="90" fillId="5" borderId="31" xfId="11" applyNumberFormat="1" applyFont="1" applyFill="1" applyBorder="1"/>
    <xf numFmtId="0" fontId="113" fillId="5" borderId="31" xfId="11" applyNumberFormat="1" applyFont="1" applyFill="1" applyBorder="1" applyAlignment="1">
      <alignment wrapText="1"/>
    </xf>
    <xf numFmtId="0" fontId="90" fillId="5" borderId="31" xfId="12" applyFont="1" applyFill="1" applyBorder="1"/>
    <xf numFmtId="0" fontId="113" fillId="5" borderId="31" xfId="0" applyFont="1" applyFill="1" applyBorder="1" applyAlignment="1">
      <alignment horizontal="center"/>
    </xf>
    <xf numFmtId="0" fontId="111" fillId="5" borderId="31" xfId="14" applyFill="1" applyBorder="1"/>
    <xf numFmtId="0" fontId="0" fillId="5" borderId="31" xfId="14" applyFont="1" applyFill="1" applyBorder="1"/>
    <xf numFmtId="0" fontId="119" fillId="5" borderId="31" xfId="11" applyFont="1" applyFill="1" applyBorder="1"/>
    <xf numFmtId="0" fontId="119" fillId="5" borderId="31" xfId="11" applyFont="1" applyFill="1" applyBorder="1" applyAlignment="1">
      <alignment horizontal="center" vertical="center"/>
    </xf>
    <xf numFmtId="1" fontId="119" fillId="5" borderId="31" xfId="11" applyNumberFormat="1" applyFont="1" applyFill="1" applyBorder="1"/>
    <xf numFmtId="0" fontId="120" fillId="5" borderId="31" xfId="11" applyFont="1" applyFill="1" applyBorder="1"/>
    <xf numFmtId="0" fontId="121" fillId="5" borderId="31" xfId="0" applyFont="1" applyFill="1" applyBorder="1"/>
    <xf numFmtId="0" fontId="122" fillId="5" borderId="31" xfId="11" applyFont="1" applyFill="1" applyBorder="1"/>
    <xf numFmtId="0" fontId="0" fillId="5" borderId="31" xfId="0" applyFill="1" applyBorder="1" applyAlignment="1">
      <alignment horizontal="center" vertical="center"/>
    </xf>
    <xf numFmtId="1" fontId="0" fillId="5" borderId="31" xfId="0" applyNumberFormat="1" applyFill="1" applyBorder="1"/>
    <xf numFmtId="0" fontId="0" fillId="5" borderId="31" xfId="0" applyFill="1" applyBorder="1" applyAlignment="1">
      <alignment horizontal="center"/>
    </xf>
    <xf numFmtId="0" fontId="100" fillId="5" borderId="0" xfId="0" applyFont="1" applyFill="1" applyBorder="1"/>
    <xf numFmtId="0" fontId="123" fillId="5" borderId="0" xfId="0" applyFont="1" applyFill="1" applyBorder="1" applyProtection="1">
      <protection locked="0"/>
    </xf>
    <xf numFmtId="0" fontId="0" fillId="16" borderId="31" xfId="0" applyFill="1" applyBorder="1" applyAlignment="1">
      <alignment horizontal="center" vertical="center"/>
    </xf>
    <xf numFmtId="1" fontId="0" fillId="16" borderId="31" xfId="0" applyNumberFormat="1" applyFill="1" applyBorder="1"/>
    <xf numFmtId="0" fontId="108" fillId="0" borderId="105" xfId="0" applyFont="1" applyBorder="1" applyAlignment="1">
      <alignment horizontal="center"/>
    </xf>
    <xf numFmtId="0" fontId="0" fillId="0" borderId="71" xfId="0" applyBorder="1"/>
    <xf numFmtId="0" fontId="108" fillId="0" borderId="106" xfId="0" applyFont="1" applyBorder="1" applyAlignment="1">
      <alignment horizontal="center"/>
    </xf>
    <xf numFmtId="0" fontId="0" fillId="0" borderId="84" xfId="0" applyBorder="1"/>
    <xf numFmtId="1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6" borderId="55" xfId="0" applyFill="1" applyBorder="1" applyAlignment="1">
      <alignment horizontal="center"/>
    </xf>
    <xf numFmtId="0" fontId="0" fillId="0" borderId="45" xfId="0" applyBorder="1"/>
    <xf numFmtId="0" fontId="0" fillId="0" borderId="55" xfId="0" applyBorder="1"/>
    <xf numFmtId="0" fontId="100" fillId="0" borderId="0" xfId="1" applyFont="1" applyAlignment="1">
      <alignment horizontal="left"/>
    </xf>
    <xf numFmtId="0" fontId="100" fillId="0" borderId="0" xfId="1" quotePrefix="1" applyFont="1" applyAlignment="1">
      <alignment horizontal="left"/>
    </xf>
    <xf numFmtId="0" fontId="99" fillId="0" borderId="0" xfId="1" quotePrefix="1" applyFont="1" applyAlignment="1">
      <alignment horizontal="left"/>
    </xf>
    <xf numFmtId="0" fontId="88" fillId="0" borderId="0" xfId="1" applyFont="1" applyAlignment="1">
      <alignment horizontal="center"/>
    </xf>
    <xf numFmtId="1" fontId="88" fillId="0" borderId="0" xfId="1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99" fillId="0" borderId="0" xfId="1" applyFont="1" applyAlignment="1">
      <alignment horizontal="left"/>
    </xf>
    <xf numFmtId="0" fontId="92" fillId="0" borderId="0" xfId="1" applyFont="1" applyAlignment="1">
      <alignment horizontal="center"/>
    </xf>
    <xf numFmtId="0" fontId="6" fillId="0" borderId="0" xfId="0" applyFont="1"/>
    <xf numFmtId="1" fontId="92" fillId="0" borderId="0" xfId="1" applyNumberFormat="1" applyFont="1" applyAlignment="1">
      <alignment horizontal="center"/>
    </xf>
    <xf numFmtId="0" fontId="10" fillId="0" borderId="111" xfId="7" applyFont="1" applyBorder="1" applyAlignment="1">
      <alignment horizontal="left"/>
    </xf>
    <xf numFmtId="0" fontId="7" fillId="0" borderId="0" xfId="7" applyFont="1"/>
    <xf numFmtId="0" fontId="0" fillId="0" borderId="19" xfId="0" applyBorder="1"/>
    <xf numFmtId="0" fontId="7" fillId="0" borderId="112" xfId="7" applyFont="1" applyBorder="1" applyAlignment="1">
      <alignment horizontal="center"/>
    </xf>
    <xf numFmtId="0" fontId="0" fillId="0" borderId="53" xfId="0" applyBorder="1"/>
    <xf numFmtId="0" fontId="88" fillId="0" borderId="29" xfId="7" applyFont="1" applyBorder="1" applyAlignment="1">
      <alignment horizontal="left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88" fillId="0" borderId="28" xfId="7" applyFont="1" applyBorder="1" applyAlignment="1">
      <alignment horizontal="left"/>
    </xf>
    <xf numFmtId="0" fontId="0" fillId="0" borderId="17" xfId="0" applyBorder="1"/>
    <xf numFmtId="0" fontId="0" fillId="0" borderId="22" xfId="0" applyBorder="1"/>
    <xf numFmtId="0" fontId="10" fillId="0" borderId="110" xfId="7" applyFont="1" applyBorder="1" applyAlignment="1">
      <alignment horizontal="left"/>
    </xf>
    <xf numFmtId="0" fontId="0" fillId="0" borderId="42" xfId="0" applyBorder="1"/>
    <xf numFmtId="0" fontId="0" fillId="0" borderId="43" xfId="0" applyBorder="1"/>
    <xf numFmtId="0" fontId="98" fillId="0" borderId="46" xfId="7" applyFont="1" applyBorder="1" applyAlignment="1" applyProtection="1">
      <alignment horizontal="left"/>
      <protection locked="0"/>
    </xf>
    <xf numFmtId="0" fontId="0" fillId="0" borderId="46" xfId="0" applyBorder="1"/>
    <xf numFmtId="0" fontId="7" fillId="0" borderId="46" xfId="7" applyFont="1" applyBorder="1" applyAlignment="1" applyProtection="1">
      <alignment horizontal="left"/>
      <protection locked="0"/>
    </xf>
    <xf numFmtId="0" fontId="10" fillId="0" borderId="32" xfId="7" applyFont="1" applyBorder="1"/>
    <xf numFmtId="0" fontId="10" fillId="0" borderId="51" xfId="7" applyFont="1" applyBorder="1"/>
    <xf numFmtId="0" fontId="0" fillId="0" borderId="107" xfId="0" applyBorder="1"/>
    <xf numFmtId="0" fontId="7" fillId="0" borderId="22" xfId="7" applyFont="1" applyBorder="1" applyAlignment="1">
      <alignment vertical="top" wrapText="1"/>
    </xf>
    <xf numFmtId="0" fontId="10" fillId="0" borderId="33" xfId="7" applyFont="1" applyBorder="1" applyAlignment="1">
      <alignment horizontal="left"/>
    </xf>
    <xf numFmtId="0" fontId="7" fillId="0" borderId="108" xfId="7" applyFont="1" applyBorder="1" applyAlignment="1">
      <alignment horizontal="center"/>
    </xf>
    <xf numFmtId="0" fontId="0" fillId="0" borderId="52" xfId="0" applyBorder="1"/>
    <xf numFmtId="0" fontId="7" fillId="0" borderId="109" xfId="7" applyFont="1" applyBorder="1" applyAlignment="1">
      <alignment horizontal="center"/>
    </xf>
    <xf numFmtId="0" fontId="0" fillId="0" borderId="37" xfId="0" applyBorder="1"/>
    <xf numFmtId="0" fontId="2" fillId="4" borderId="4" xfId="0" applyFont="1" applyFill="1" applyBorder="1" applyAlignment="1">
      <alignment horizontal="center" vertical="center" wrapText="1"/>
    </xf>
    <xf numFmtId="0" fontId="0" fillId="0" borderId="12" xfId="0" applyBorder="1"/>
    <xf numFmtId="0" fontId="2" fillId="4" borderId="6" xfId="0" applyFont="1" applyFill="1" applyBorder="1" applyAlignment="1">
      <alignment horizontal="center" vertical="center" wrapText="1"/>
    </xf>
    <xf numFmtId="0" fontId="0" fillId="0" borderId="13" xfId="0" applyBorder="1"/>
    <xf numFmtId="0" fontId="2" fillId="4" borderId="9" xfId="0" applyFont="1" applyFill="1" applyBorder="1" applyAlignment="1">
      <alignment horizontal="center" vertical="center" wrapText="1"/>
    </xf>
    <xf numFmtId="0" fontId="0" fillId="0" borderId="14" xfId="0" applyBorder="1"/>
    <xf numFmtId="0" fontId="2" fillId="4" borderId="11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108" fillId="21" borderId="48" xfId="0" applyFont="1" applyFill="1" applyBorder="1" applyAlignment="1" applyProtection="1">
      <alignment horizontal="center"/>
      <protection locked="0"/>
    </xf>
    <xf numFmtId="0" fontId="0" fillId="0" borderId="48" xfId="0" applyBorder="1"/>
    <xf numFmtId="0" fontId="108" fillId="0" borderId="117" xfId="0" applyFont="1" applyBorder="1" applyAlignment="1">
      <alignment horizontal="center"/>
    </xf>
    <xf numFmtId="0" fontId="0" fillId="0" borderId="92" xfId="0" applyBorder="1"/>
    <xf numFmtId="0" fontId="97" fillId="0" borderId="109" xfId="0" applyFont="1" applyBorder="1" applyAlignment="1">
      <alignment horizontal="center"/>
    </xf>
    <xf numFmtId="1" fontId="108" fillId="21" borderId="48" xfId="0" applyNumberFormat="1" applyFont="1" applyFill="1" applyBorder="1" applyAlignment="1" applyProtection="1">
      <alignment horizontal="center"/>
      <protection locked="0"/>
    </xf>
    <xf numFmtId="0" fontId="97" fillId="0" borderId="25" xfId="0" applyFont="1" applyBorder="1" applyAlignment="1">
      <alignment horizontal="center"/>
    </xf>
    <xf numFmtId="0" fontId="0" fillId="0" borderId="96" xfId="0" applyBorder="1"/>
    <xf numFmtId="0" fontId="0" fillId="0" borderId="95" xfId="0" applyBorder="1"/>
    <xf numFmtId="0" fontId="97" fillId="0" borderId="44" xfId="0" applyFont="1" applyBorder="1" applyAlignment="1">
      <alignment horizontal="center" wrapText="1"/>
    </xf>
    <xf numFmtId="0" fontId="97" fillId="0" borderId="55" xfId="0" applyFont="1" applyBorder="1" applyAlignment="1">
      <alignment horizontal="center" wrapText="1"/>
    </xf>
    <xf numFmtId="0" fontId="97" fillId="0" borderId="24" xfId="0" applyFont="1" applyBorder="1" applyAlignment="1">
      <alignment horizontal="center" wrapText="1"/>
    </xf>
    <xf numFmtId="0" fontId="0" fillId="0" borderId="97" xfId="0" applyBorder="1"/>
    <xf numFmtId="0" fontId="0" fillId="0" borderId="48" xfId="0" applyBorder="1" applyAlignment="1">
      <alignment horizontal="center"/>
    </xf>
    <xf numFmtId="0" fontId="104" fillId="0" borderId="19" xfId="0" applyFont="1" applyBorder="1" applyAlignment="1">
      <alignment horizontal="right" vertical="center"/>
    </xf>
    <xf numFmtId="0" fontId="5" fillId="0" borderId="48" xfId="0" applyFont="1" applyBorder="1" applyAlignment="1">
      <alignment horizontal="center"/>
    </xf>
    <xf numFmtId="0" fontId="103" fillId="0" borderId="0" xfId="0" applyFont="1"/>
    <xf numFmtId="0" fontId="0" fillId="21" borderId="31" xfId="0" applyFill="1" applyBorder="1" applyAlignment="1" applyProtection="1">
      <alignment horizontal="left" vertical="top" wrapText="1"/>
      <protection locked="0"/>
    </xf>
    <xf numFmtId="0" fontId="0" fillId="0" borderId="36" xfId="0" applyBorder="1"/>
    <xf numFmtId="0" fontId="0" fillId="0" borderId="116" xfId="0" applyBorder="1"/>
    <xf numFmtId="0" fontId="93" fillId="0" borderId="0" xfId="0" applyFont="1"/>
    <xf numFmtId="0" fontId="0" fillId="0" borderId="113" xfId="0" applyBorder="1"/>
    <xf numFmtId="0" fontId="0" fillId="0" borderId="47" xfId="0" applyBorder="1"/>
    <xf numFmtId="0" fontId="0" fillId="0" borderId="49" xfId="0" applyBorder="1"/>
    <xf numFmtId="0" fontId="97" fillId="0" borderId="31" xfId="0" applyFont="1" applyBorder="1" applyAlignment="1">
      <alignment horizontal="center"/>
    </xf>
    <xf numFmtId="0" fontId="105" fillId="0" borderId="0" xfId="0" applyFont="1" applyAlignment="1">
      <alignment horizontal="center"/>
    </xf>
    <xf numFmtId="0" fontId="104" fillId="0" borderId="0" xfId="0" applyFont="1" applyAlignment="1">
      <alignment horizontal="center"/>
    </xf>
    <xf numFmtId="0" fontId="93" fillId="0" borderId="54" xfId="0" applyFont="1" applyBorder="1" applyAlignment="1">
      <alignment horizontal="center"/>
    </xf>
    <xf numFmtId="0" fontId="93" fillId="0" borderId="31" xfId="0" applyFont="1" applyBorder="1" applyAlignment="1">
      <alignment horizontal="center"/>
    </xf>
    <xf numFmtId="0" fontId="107" fillId="0" borderId="27" xfId="0" applyFont="1" applyBorder="1" applyAlignment="1">
      <alignment horizontal="center" vertical="center"/>
    </xf>
    <xf numFmtId="0" fontId="0" fillId="0" borderId="18" xfId="0" applyBorder="1"/>
    <xf numFmtId="0" fontId="104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top"/>
    </xf>
    <xf numFmtId="0" fontId="93" fillId="0" borderId="48" xfId="0" applyFont="1" applyBorder="1" applyAlignment="1">
      <alignment horizontal="center"/>
    </xf>
    <xf numFmtId="1" fontId="93" fillId="0" borderId="45" xfId="0" applyNumberFormat="1" applyFont="1" applyBorder="1" applyAlignment="1">
      <alignment horizontal="center"/>
    </xf>
    <xf numFmtId="0" fontId="97" fillId="0" borderId="115" xfId="0" applyFont="1" applyBorder="1" applyAlignment="1">
      <alignment horizontal="center" wrapText="1"/>
    </xf>
    <xf numFmtId="0" fontId="97" fillId="0" borderId="93" xfId="0" applyFont="1" applyBorder="1" applyAlignment="1">
      <alignment horizontal="center" wrapText="1"/>
    </xf>
    <xf numFmtId="0" fontId="97" fillId="0" borderId="46" xfId="0" applyFont="1" applyBorder="1" applyAlignment="1">
      <alignment horizontal="center" wrapText="1"/>
    </xf>
    <xf numFmtId="1" fontId="93" fillId="0" borderId="31" xfId="0" applyNumberFormat="1" applyFont="1" applyBorder="1" applyAlignment="1">
      <alignment horizontal="center"/>
    </xf>
    <xf numFmtId="0" fontId="97" fillId="0" borderId="21" xfId="0" applyFont="1" applyBorder="1" applyAlignment="1">
      <alignment horizontal="center" wrapText="1"/>
    </xf>
    <xf numFmtId="0" fontId="105" fillId="0" borderId="16" xfId="0" applyFont="1" applyBorder="1" applyAlignment="1">
      <alignment horizontal="center" vertical="center"/>
    </xf>
    <xf numFmtId="0" fontId="105" fillId="0" borderId="0" xfId="0" applyFont="1" applyAlignment="1">
      <alignment horizontal="center" vertical="top"/>
    </xf>
    <xf numFmtId="0" fontId="97" fillId="0" borderId="29" xfId="0" applyFont="1" applyBorder="1" applyAlignment="1">
      <alignment horizontal="center" vertical="center" wrapText="1"/>
    </xf>
    <xf numFmtId="0" fontId="0" fillId="0" borderId="30" xfId="0" applyBorder="1"/>
    <xf numFmtId="0" fontId="108" fillId="0" borderId="48" xfId="0" applyFont="1" applyBorder="1" applyAlignment="1">
      <alignment horizontal="center"/>
    </xf>
    <xf numFmtId="1" fontId="108" fillId="0" borderId="48" xfId="0" applyNumberFormat="1" applyFont="1" applyBorder="1" applyAlignment="1">
      <alignment horizontal="center"/>
    </xf>
    <xf numFmtId="0" fontId="93" fillId="0" borderId="25" xfId="0" applyFont="1" applyBorder="1" applyAlignment="1">
      <alignment horizontal="center"/>
    </xf>
    <xf numFmtId="0" fontId="105" fillId="0" borderId="21" xfId="0" applyFont="1" applyBorder="1" applyAlignment="1">
      <alignment horizontal="center"/>
    </xf>
    <xf numFmtId="0" fontId="104" fillId="0" borderId="18" xfId="0" applyFont="1" applyBorder="1" applyAlignment="1">
      <alignment horizontal="left" vertical="center"/>
    </xf>
    <xf numFmtId="1" fontId="93" fillId="26" borderId="31" xfId="0" applyNumberFormat="1" applyFont="1" applyFill="1" applyBorder="1" applyAlignment="1">
      <alignment horizontal="center"/>
    </xf>
    <xf numFmtId="0" fontId="89" fillId="24" borderId="0" xfId="0" applyFont="1" applyFill="1" applyAlignment="1">
      <alignment horizontal="center"/>
    </xf>
    <xf numFmtId="0" fontId="108" fillId="0" borderId="120" xfId="0" applyFont="1" applyBorder="1" applyAlignment="1">
      <alignment horizontal="center"/>
    </xf>
    <xf numFmtId="0" fontId="0" fillId="0" borderId="121" xfId="0" applyBorder="1"/>
    <xf numFmtId="0" fontId="89" fillId="0" borderId="28" xfId="0" applyFont="1" applyBorder="1" applyAlignment="1">
      <alignment horizontal="center"/>
    </xf>
    <xf numFmtId="0" fontId="0" fillId="0" borderId="28" xfId="0" applyBorder="1"/>
    <xf numFmtId="0" fontId="89" fillId="24" borderId="27" xfId="0" applyFont="1" applyFill="1" applyBorder="1" applyAlignment="1">
      <alignment horizontal="center"/>
    </xf>
    <xf numFmtId="0" fontId="89" fillId="24" borderId="15" xfId="0" applyFont="1" applyFill="1" applyBorder="1" applyAlignment="1">
      <alignment horizontal="center"/>
    </xf>
    <xf numFmtId="0" fontId="89" fillId="24" borderId="17" xfId="0" applyFont="1" applyFill="1" applyBorder="1" applyAlignment="1">
      <alignment horizontal="center"/>
    </xf>
  </cellXfs>
  <cellStyles count="15">
    <cellStyle name="Comma" xfId="6" builtinId="3"/>
    <cellStyle name="Error 1" xfId="9"/>
    <cellStyle name="Good 1" xfId="14"/>
    <cellStyle name="Neutral 2" xfId="10"/>
    <cellStyle name="Normal" xfId="0" builtinId="0"/>
    <cellStyle name="Normal 2" xfId="7"/>
    <cellStyle name="Normal 3" xfId="8"/>
    <cellStyle name="Normal 4" xfId="11"/>
    <cellStyle name="Normal 5" xfId="13"/>
    <cellStyle name="Normal 6" xfId="12"/>
    <cellStyle name="Normal_AC&amp;J 06_wellbore schem_rev1" xfId="2"/>
    <cellStyle name="Normal_BP America Delta 01_wellbore schem_rev0" xfId="1"/>
    <cellStyle name="Normal_progform" xfId="4"/>
    <cellStyle name="Normal_Pure Resources A6_wellbore schem_rev0" xfId="3"/>
    <cellStyle name="Normal_Williamson 09_wellbore schem_rev0" xfId="5"/>
  </cellStyles>
  <dxfs count="245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8000"/>
      </font>
    </dxf>
    <dxf>
      <font>
        <color rgb="FFCC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8000"/>
      </font>
    </dxf>
    <dxf>
      <font>
        <color rgb="FFCC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8000"/>
      </font>
    </dxf>
    <dxf>
      <font>
        <color theme="3" tint="0.39994506668294322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8000"/>
      </font>
    </dxf>
    <dxf>
      <font>
        <color rgb="FFCC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6" tint="0.59996337778862885"/>
      </font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/>
        <top/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499984740745262"/>
        </patternFill>
      </fill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left/>
        <right style="thin">
          <color auto="1"/>
        </right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374020073264238E-2"/>
          <c:y val="2.1156300974983309E-2"/>
          <c:w val="0.68327675895609241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v>wellpath</c:v>
          </c:tx>
          <c:spPr>
            <a:ln>
              <a:prstDash val="solid"/>
            </a:ln>
          </c:spPr>
          <c:marker>
            <c:symbol val="square"/>
            <c:size val="3"/>
            <c:spPr>
              <a:ln>
                <a:prstDash val="solid"/>
              </a:ln>
            </c:spPr>
          </c:marker>
          <c:dPt>
            <c:idx val="9"/>
            <c:marker>
              <c:symbol val="square"/>
              <c:size val="6"/>
            </c:marker>
            <c:bubble3D val="0"/>
          </c:dPt>
          <c:xVal>
            <c:numRef>
              <c:f>DisplayPlat!$C$3:$C$30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xVal>
          <c:yVal>
            <c:numRef>
              <c:f>DisplayPlat!$D$3:$D$30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SHL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DisplayPlat!$AF$3:$AF$22</c:f>
              <c:numCache>
                <c:formatCode>General</c:formatCode>
                <c:ptCount val="20"/>
              </c:numCache>
            </c:numRef>
          </c:xVal>
          <c:yVal>
            <c:numRef>
              <c:f>DisplayPlat!$AG$3:$AG$22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2"/>
          <c:order val="2"/>
          <c:tx>
            <c:v>BHL1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DisplayPlat!$AH$3:$AH$22</c:f>
              <c:numCache>
                <c:formatCode>General</c:formatCode>
                <c:ptCount val="20"/>
              </c:numCache>
            </c:numRef>
          </c:xVal>
          <c:yVal>
            <c:numRef>
              <c:f>DisplayPlat!$AI$3:$AI$22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BHL2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DisplayPlat!$AJ$3:$AJ$22</c:f>
              <c:numCache>
                <c:formatCode>General</c:formatCode>
                <c:ptCount val="20"/>
              </c:numCache>
            </c:numRef>
          </c:xVal>
          <c:yVal>
            <c:numRef>
              <c:f>DisplayPlat!$AK$3:$AK$22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BHL3</c:v>
          </c:tx>
          <c:spPr>
            <a:ln>
              <a:prstDash val="solid"/>
            </a:ln>
          </c:spPr>
          <c:marker>
            <c:symbol val="plus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prstDash val="solid"/>
              </a:ln>
            </c:spPr>
          </c:marker>
          <c:xVal>
            <c:numRef>
              <c:f>DisplayPlat!$AL$3:$AL$22</c:f>
              <c:numCache>
                <c:formatCode>General</c:formatCode>
                <c:ptCount val="20"/>
              </c:numCache>
            </c:numRef>
          </c:xVal>
          <c:yVal>
            <c:numRef>
              <c:f>DisplayPlat!$AM$3:$AM$22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5"/>
          <c:order val="5"/>
          <c:tx>
            <c:v>BHL4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DisplayPlat!$AN$3:$AN$22</c:f>
              <c:numCache>
                <c:formatCode>General</c:formatCode>
                <c:ptCount val="20"/>
              </c:numCache>
            </c:numRef>
          </c:xVal>
          <c:yVal>
            <c:numRef>
              <c:f>DisplayPlat!$AO$3:$AO$22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51456"/>
        <c:axId val="566149496"/>
      </c:scatterChart>
      <c:valAx>
        <c:axId val="5661514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66149496"/>
        <c:crosses val="autoZero"/>
        <c:crossBetween val="midCat"/>
        <c:majorUnit val="1320"/>
      </c:valAx>
      <c:valAx>
        <c:axId val="56614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151456"/>
        <c:crosses val="autoZero"/>
        <c:crossBetween val="midCat"/>
        <c:majorUnit val="1320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94979</xdr:colOff>
      <xdr:row>0</xdr:row>
      <xdr:rowOff>44358</xdr:rowOff>
    </xdr:from>
    <xdr:to>
      <xdr:col>28</xdr:col>
      <xdr:colOff>149680</xdr:colOff>
      <xdr:row>59</xdr:row>
      <xdr:rowOff>112939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Backup%20Work/4.24.2021/RewriteAPD/Casing_Review-TE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ing Review"/>
      <sheetName val="Formations"/>
      <sheetName val="DxSurvey"/>
      <sheetName val="Vertical WBD"/>
      <sheetName val="DataPrint"/>
      <sheetName val="BOPE"/>
      <sheetName val="Casing Strengths"/>
      <sheetName val="SHL Section"/>
      <sheetName val="BHL Section 1"/>
      <sheetName val="BHL Section 2"/>
      <sheetName val="BHL Section 3"/>
      <sheetName val="Rev Hist"/>
      <sheetName val="Grid Numbers"/>
      <sheetName val="Sheet1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L69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H21" sqref="H21"/>
    </sheetView>
  </sheetViews>
  <sheetFormatPr defaultRowHeight="15" x14ac:dyDescent="0.25"/>
  <cols>
    <col min="1" max="1" width="16.85546875" style="569" customWidth="1"/>
    <col min="2" max="2" width="23.42578125" style="569" customWidth="1"/>
    <col min="4" max="4" width="14.28515625" style="569" bestFit="1" customWidth="1"/>
    <col min="5" max="5" width="9.140625" style="569" bestFit="1" customWidth="1"/>
    <col min="6" max="6" width="12.85546875" style="569" customWidth="1"/>
    <col min="7" max="7" width="12.5703125" style="569" customWidth="1"/>
    <col min="8" max="8" width="16.42578125" style="569" customWidth="1"/>
    <col min="9" max="9" width="18.140625" style="569" customWidth="1"/>
    <col min="10" max="10" width="15.5703125" style="569" customWidth="1"/>
    <col min="11" max="11" width="17.85546875" style="242" customWidth="1"/>
    <col min="12" max="12" width="16.5703125" style="569" customWidth="1"/>
    <col min="13" max="13" width="16.42578125" style="569" customWidth="1"/>
    <col min="14" max="14" width="16.7109375" style="569" customWidth="1"/>
    <col min="15" max="15" width="16.140625" style="569" customWidth="1"/>
    <col min="16" max="16" width="14.85546875" style="569" bestFit="1" customWidth="1"/>
    <col min="17" max="17" width="16.140625" style="569" customWidth="1"/>
    <col min="19" max="19" width="8.7109375" style="569" customWidth="1"/>
    <col min="21" max="22" width="15.5703125" style="569" customWidth="1"/>
    <col min="23" max="23" width="13.42578125" style="569" customWidth="1"/>
    <col min="24" max="25" width="14.7109375" style="569" customWidth="1"/>
    <col min="26" max="26" width="16" style="569" customWidth="1"/>
    <col min="27" max="27" width="15.42578125" style="569" customWidth="1"/>
    <col min="28" max="28" width="14.28515625" style="569" customWidth="1"/>
    <col min="29" max="29" width="11" style="569" customWidth="1"/>
    <col min="32" max="32" width="9.7109375" style="569" bestFit="1" customWidth="1"/>
    <col min="33" max="35" width="9.7109375" style="569" customWidth="1"/>
    <col min="36" max="36" width="10" style="569" bestFit="1" customWidth="1"/>
  </cols>
  <sheetData>
    <row r="1" spans="1:38" x14ac:dyDescent="0.25">
      <c r="A1" t="s">
        <v>0</v>
      </c>
      <c r="B1" s="599">
        <f>MAX('Rev Hist'!A3:A75)</f>
        <v>8.6</v>
      </c>
      <c r="I1" s="122" t="s">
        <v>1</v>
      </c>
      <c r="J1" s="583"/>
      <c r="K1" s="585"/>
    </row>
    <row r="2" spans="1:38" x14ac:dyDescent="0.25">
      <c r="I2" s="598" t="s">
        <v>2</v>
      </c>
      <c r="K2" s="581">
        <v>1.125</v>
      </c>
    </row>
    <row r="3" spans="1:38" x14ac:dyDescent="0.25">
      <c r="I3" s="598" t="s">
        <v>3</v>
      </c>
      <c r="K3" s="581">
        <v>1</v>
      </c>
    </row>
    <row r="4" spans="1:38" ht="18.75" customHeight="1" x14ac:dyDescent="0.3">
      <c r="A4" s="27" t="s">
        <v>4</v>
      </c>
      <c r="B4" s="260"/>
      <c r="I4" s="598" t="s">
        <v>5</v>
      </c>
      <c r="K4" s="581"/>
    </row>
    <row r="5" spans="1:38" ht="18.75" customHeight="1" x14ac:dyDescent="0.3">
      <c r="A5" s="27" t="s">
        <v>6</v>
      </c>
      <c r="B5" s="260"/>
      <c r="C5" s="156"/>
      <c r="I5" s="598"/>
      <c r="J5" t="s">
        <v>8</v>
      </c>
      <c r="K5" s="581">
        <v>1.8</v>
      </c>
    </row>
    <row r="6" spans="1:38" ht="18.75" customHeight="1" x14ac:dyDescent="0.3">
      <c r="A6" s="27" t="s">
        <v>9</v>
      </c>
      <c r="B6" s="280"/>
      <c r="I6" s="598"/>
      <c r="J6" t="s">
        <v>10</v>
      </c>
      <c r="K6" s="581">
        <v>1.8</v>
      </c>
    </row>
    <row r="7" spans="1:38" ht="18.75" customHeight="1" x14ac:dyDescent="0.3">
      <c r="A7" s="27"/>
      <c r="B7" s="27"/>
      <c r="D7" s="460" t="s">
        <v>11</v>
      </c>
      <c r="E7" s="264" t="s">
        <v>12</v>
      </c>
      <c r="I7" s="598"/>
      <c r="J7" t="s">
        <v>13</v>
      </c>
      <c r="K7" s="581">
        <v>1.6</v>
      </c>
    </row>
    <row r="8" spans="1:38" ht="23.25" customHeight="1" x14ac:dyDescent="0.35">
      <c r="A8" s="22" t="s">
        <v>14</v>
      </c>
      <c r="D8" s="460" t="s">
        <v>15</v>
      </c>
      <c r="E8" s="264" t="s">
        <v>16</v>
      </c>
      <c r="G8" t="s">
        <v>17</v>
      </c>
      <c r="H8" t="s">
        <v>18</v>
      </c>
      <c r="I8" s="598"/>
      <c r="J8" t="s">
        <v>19</v>
      </c>
      <c r="K8" s="581">
        <v>1.5</v>
      </c>
    </row>
    <row r="9" spans="1:38" ht="16.5" customHeight="1" thickBot="1" x14ac:dyDescent="0.3">
      <c r="A9" s="575" t="s">
        <v>20</v>
      </c>
      <c r="B9" s="263">
        <v>1</v>
      </c>
      <c r="C9" t="s">
        <v>21</v>
      </c>
      <c r="D9" s="460" t="s">
        <v>22</v>
      </c>
      <c r="E9" s="264" t="s">
        <v>16</v>
      </c>
      <c r="F9" s="460" t="s">
        <v>23</v>
      </c>
      <c r="G9" s="264"/>
      <c r="H9" s="264"/>
      <c r="I9" s="584"/>
      <c r="J9" s="576" t="s">
        <v>24</v>
      </c>
      <c r="K9" s="577">
        <v>1.6</v>
      </c>
      <c r="P9" s="576"/>
    </row>
    <row r="10" spans="1:38" ht="19.5" customHeight="1" thickBot="1" x14ac:dyDescent="0.35">
      <c r="A10" s="24" t="s">
        <v>25</v>
      </c>
      <c r="B10" s="25" t="s">
        <v>26</v>
      </c>
      <c r="C10" s="25" t="s">
        <v>27</v>
      </c>
      <c r="D10" s="25" t="s">
        <v>17</v>
      </c>
      <c r="E10" s="25" t="s">
        <v>28</v>
      </c>
      <c r="F10" s="25" t="s">
        <v>29</v>
      </c>
      <c r="G10" s="25" t="s">
        <v>30</v>
      </c>
      <c r="H10" s="25" t="s">
        <v>31</v>
      </c>
      <c r="I10" s="25" t="s">
        <v>32</v>
      </c>
      <c r="J10" s="25" t="s">
        <v>33</v>
      </c>
      <c r="K10" s="125" t="s">
        <v>34</v>
      </c>
      <c r="L10" s="25" t="s">
        <v>31</v>
      </c>
      <c r="M10" s="25" t="s">
        <v>32</v>
      </c>
      <c r="N10" s="25" t="s">
        <v>33</v>
      </c>
      <c r="O10" s="25" t="s">
        <v>34</v>
      </c>
      <c r="P10" t="s">
        <v>35</v>
      </c>
      <c r="Q10" s="25" t="s">
        <v>36</v>
      </c>
      <c r="R10" s="127" t="s">
        <v>37</v>
      </c>
      <c r="S10" s="25" t="s">
        <v>38</v>
      </c>
      <c r="T10" s="25" t="s">
        <v>39</v>
      </c>
      <c r="U10" s="25" t="s">
        <v>40</v>
      </c>
      <c r="V10" s="25" t="s">
        <v>41</v>
      </c>
      <c r="W10" s="25" t="s">
        <v>42</v>
      </c>
      <c r="X10" s="25" t="s">
        <v>43</v>
      </c>
      <c r="Y10" s="25" t="s">
        <v>44</v>
      </c>
      <c r="Z10" s="25" t="s">
        <v>45</v>
      </c>
      <c r="AA10" s="25" t="s">
        <v>46</v>
      </c>
      <c r="AB10" s="25" t="s">
        <v>47</v>
      </c>
      <c r="AC10" s="25" t="s">
        <v>48</v>
      </c>
      <c r="AD10" s="26" t="s">
        <v>49</v>
      </c>
      <c r="AE10" s="446" t="s">
        <v>50</v>
      </c>
      <c r="AF10" t="s">
        <v>51</v>
      </c>
      <c r="AG10" t="s">
        <v>52</v>
      </c>
      <c r="AH10" t="s">
        <v>53</v>
      </c>
      <c r="AI10" t="s">
        <v>54</v>
      </c>
      <c r="AK10" s="251" t="s">
        <v>13</v>
      </c>
      <c r="AL10" s="244" t="s">
        <v>55</v>
      </c>
    </row>
    <row r="11" spans="1:38" x14ac:dyDescent="0.25">
      <c r="A11" s="598"/>
      <c r="C11" t="s">
        <v>56</v>
      </c>
      <c r="E11" t="s">
        <v>55</v>
      </c>
      <c r="F11" t="s">
        <v>57</v>
      </c>
      <c r="G11" t="s">
        <v>58</v>
      </c>
      <c r="H11">
        <v>1</v>
      </c>
      <c r="J11">
        <v>2</v>
      </c>
      <c r="L11">
        <v>3</v>
      </c>
      <c r="N11">
        <v>4</v>
      </c>
      <c r="P11" s="159"/>
      <c r="AB11" t="s">
        <v>59</v>
      </c>
      <c r="AD11" s="581" t="s">
        <v>60</v>
      </c>
      <c r="AE11" s="446"/>
      <c r="AF11" t="s">
        <v>61</v>
      </c>
      <c r="AG11" t="s">
        <v>62</v>
      </c>
      <c r="AH11" t="s">
        <v>63</v>
      </c>
      <c r="AK11" s="252" t="s">
        <v>64</v>
      </c>
      <c r="AL11" s="244" t="s">
        <v>65</v>
      </c>
    </row>
    <row r="12" spans="1:38" x14ac:dyDescent="0.25">
      <c r="A12" s="248" t="str">
        <f>IF($H$9=1,"Cmt above DVT","")</f>
        <v/>
      </c>
      <c r="B12" s="264"/>
      <c r="C12" s="264"/>
      <c r="D12" s="264"/>
      <c r="E12" s="264"/>
      <c r="F12" s="264"/>
      <c r="G12" s="264"/>
      <c r="H12" s="264"/>
      <c r="I12" s="264"/>
      <c r="J12" s="468"/>
      <c r="K12" s="263"/>
      <c r="L12" s="264"/>
      <c r="M12" s="264"/>
      <c r="N12" s="264"/>
      <c r="O12" s="264"/>
      <c r="P12">
        <f>$H12*$I12+$J12*$K12+$L12*$M12+$N12*$O12</f>
        <v>0</v>
      </c>
      <c r="Q12" s="446">
        <f>IF($C12&gt;0,(1/(((((B$20/100)*$B12)+$B12)^2-$C12^2)/183.35))*(P12),0)</f>
        <v>0</v>
      </c>
      <c r="R12" s="568">
        <f>IF($H$9=1,IF(Q12&gt;D$12,"Surface",D12-Q12),IF((Q12+Q14+Q16)&gt;MAX(D$12:D$16),"Surface",MAX(D$12:D$16)-Q16-Q14-Q12))</f>
        <v>0</v>
      </c>
      <c r="S12" s="446" t="e">
        <f>0.05194806*B19*B18-B21*B19</f>
        <v>#N/A</v>
      </c>
      <c r="T12" t="e">
        <f>DGET('Casing Strengths'!A$7:P$2700,'Casing Strengths'!D$7,C11:G12)</f>
        <v>#NUM!</v>
      </c>
      <c r="U12" s="446" t="e">
        <f>0.05194806*(B$18-$B$23)*DxSurvey!H57</f>
        <v>#N/A</v>
      </c>
      <c r="V12" s="242" t="e">
        <f>T12/U12</f>
        <v>#NUM!</v>
      </c>
      <c r="W12" t="e">
        <f>DGET('Casing Strengths'!A$7:P$2700,'Casing Strengths'!E7,C11:G12)</f>
        <v>#NUM!</v>
      </c>
      <c r="X12" s="446">
        <f>IF(D12=0,0,IF($B$22=0,MAX((0.05194806*$B$18*DxSurvey!H57),MIN($I$24-($B$19-DxSurvey!H57)*$B$36,$L$24-$B$21*($B$19-DxSurvey!H57))),MAX((0.05194806*($B$18-$B$22)*DxSurvey!H57),MIN(($I$24-($B$19-DxSurvey!H57)*$B$36-(0.05194806*$B$22*DxSurvey!H57)),$L$24-$B$21*($B$19-DxSurvey!H57)-(0.05194806*$B$22*DxSurvey!H57)))))</f>
        <v>0</v>
      </c>
      <c r="Y12" s="242" t="e">
        <f>W12/X12</f>
        <v>#NUM!</v>
      </c>
      <c r="Z12" t="e">
        <f>DGET('Casing Strengths'!A$7:P$2700,'Casing Strengths'!J7,C11:G12)</f>
        <v>#NUM!</v>
      </c>
      <c r="AA12" s="242" t="e">
        <f>IF(B17="Y",Z12/AD12,Z12/AC12)</f>
        <v>#NUM!</v>
      </c>
      <c r="AB12" s="446" t="e">
        <f>DxSurvey!H57*(1-B18/65.4)</f>
        <v>#N/A</v>
      </c>
      <c r="AC12" s="600">
        <f>(AH12+AH14+AH16)/1000</f>
        <v>0</v>
      </c>
      <c r="AD12" s="601" t="e">
        <f>AI12/1000</f>
        <v>#N/A</v>
      </c>
      <c r="AE12" s="602" t="e">
        <f>DGET('Casing Strengths'!A$7:P$2700,'Casing Strengths'!N$7,C11:G12)</f>
        <v>#NUM!</v>
      </c>
      <c r="AF12" s="603" t="e">
        <f>PI()/4*(C12^2-AE12^2)</f>
        <v>#NUM!</v>
      </c>
      <c r="AG12" s="600" t="e">
        <f>0.05194806*B18*DxSurvey!H57</f>
        <v>#N/A</v>
      </c>
      <c r="AH12" s="604">
        <f>E12*DxSurvey!F57</f>
        <v>0</v>
      </c>
      <c r="AI12" s="604" t="e">
        <f>AH12+AH14+AH16-((AG16-AG14)*AF16+(AG14-AG12)*AF14+AG12*AF12)</f>
        <v>#N/A</v>
      </c>
      <c r="AK12" s="253" t="s">
        <v>67</v>
      </c>
      <c r="AL12" s="244" t="s">
        <v>68</v>
      </c>
    </row>
    <row r="13" spans="1:38" s="29" customFormat="1" x14ac:dyDescent="0.25">
      <c r="A13" s="28"/>
      <c r="B13" s="154"/>
      <c r="C13" s="29" t="s">
        <v>56</v>
      </c>
      <c r="E13" s="29" t="s">
        <v>55</v>
      </c>
      <c r="F13" s="29" t="s">
        <v>57</v>
      </c>
      <c r="G13" s="29" t="s">
        <v>58</v>
      </c>
      <c r="H13" s="29">
        <v>5</v>
      </c>
      <c r="J13" s="29">
        <v>6</v>
      </c>
      <c r="K13" s="123" t="s">
        <v>69</v>
      </c>
      <c r="L13" s="29">
        <v>7</v>
      </c>
      <c r="N13" s="29">
        <v>8</v>
      </c>
      <c r="P13" s="158">
        <f>$J12*$K12+$N12*$O12</f>
        <v>0</v>
      </c>
      <c r="Q13" s="133">
        <f>IF($C12&gt;0,IF(H9=1,MIN(D19-G9,(1/((((($B$20/100)*$B12)+$B12)^2-$C12^2)/183.35))*(P13)),(1/((((($B$20/100)*$B12)+$B12)^2-$C12^2)/183.35))*(P13)),0)</f>
        <v>0</v>
      </c>
      <c r="R13" s="132">
        <f>IF((Q13+Q15+Q17)&gt;MAX(D$12:D$16),"Surface",MAX(D$12:D$16)-Q17-Q15-Q13)</f>
        <v>0</v>
      </c>
      <c r="U13" s="446"/>
      <c r="X13" s="446"/>
      <c r="AD13" s="581"/>
      <c r="AF13" t="s">
        <v>70</v>
      </c>
      <c r="AG13" t="s">
        <v>71</v>
      </c>
      <c r="AH13" t="s">
        <v>72</v>
      </c>
      <c r="AK13" s="252" t="s">
        <v>73</v>
      </c>
      <c r="AL13" s="244" t="s">
        <v>74</v>
      </c>
    </row>
    <row r="14" spans="1:38" x14ac:dyDescent="0.25">
      <c r="A14" s="248" t="str">
        <f>IF(H9=1,"Cmt below DVT","")</f>
        <v/>
      </c>
      <c r="B14" s="264"/>
      <c r="C14" s="264"/>
      <c r="D14" s="468"/>
      <c r="E14" s="264"/>
      <c r="F14" s="264"/>
      <c r="G14" s="264"/>
      <c r="H14" s="264"/>
      <c r="I14" s="264"/>
      <c r="J14" s="264"/>
      <c r="K14" s="263"/>
      <c r="L14" s="264"/>
      <c r="M14" s="264"/>
      <c r="N14" s="264"/>
      <c r="O14" s="264"/>
      <c r="P14">
        <f>$H14*$I14+$J14*$K14+$L14*$M14+$N14*$O14</f>
        <v>0</v>
      </c>
      <c r="Q14" s="446">
        <f>IF($C14&gt;0,IF($H$9=1,MIN(D14-D12,(1/(((((B$20/100)*$B14)+$B14)^2-$C14^2)/183.35))*(P14)),(1/(((((B$20/100)*$B14)+$B14)^2-$C14^2)/183.35))*(P14)),0)</f>
        <v>0</v>
      </c>
      <c r="R14" s="568"/>
      <c r="S14" t="s">
        <v>69</v>
      </c>
      <c r="T14" t="e">
        <f>DGET('Casing Strengths'!A$7:P$2700,'Casing Strengths'!D$7,C13:G14)</f>
        <v>#NUM!</v>
      </c>
      <c r="U14" s="446" t="e">
        <f>0.05194806*(B$18-$B$23)*DxSurvey!H58</f>
        <v>#N/A</v>
      </c>
      <c r="V14" s="242" t="e">
        <f>T14/U14</f>
        <v>#NUM!</v>
      </c>
      <c r="W14" t="e">
        <f>DGET('Casing Strengths'!A$7:P$2700,'Casing Strengths'!E7,C13:G14)</f>
        <v>#NUM!</v>
      </c>
      <c r="X14" s="446">
        <f>IF(D14=0,0,IF($B$22=0,MAX((0.05194806*$B$18*DxSurvey!H58),MIN($I$24-($B$19-DxSurvey!H58)*$B$36,$L$24-$B$21*($B$19-DxSurvey!H58))),MAX((0.05194806*($B$18-$B$22)*DxSurvey!H58),MIN(($I$24-($B$19-DxSurvey!H58)*$B$36-(0.05194806*$B$22*DxSurvey!H58)),$L$24-$B$21*($B$19-DxSurvey!H58)-(0.05194806*$B$22*DxSurvey!H58)))))</f>
        <v>0</v>
      </c>
      <c r="Y14" s="242" t="e">
        <f>W14/X14</f>
        <v>#NUM!</v>
      </c>
      <c r="Z14" t="e">
        <f>DGET('Casing Strengths'!A$7:P$2700,'Casing Strengths'!J7,C13:G14)</f>
        <v>#NUM!</v>
      </c>
      <c r="AA14" s="242" t="e">
        <f>IF(B17="Y",Z14/AD14,Z14/AC14)</f>
        <v>#NUM!</v>
      </c>
      <c r="AB14" s="446" t="e">
        <f>DxSurvey!H58*(1-B18/65.4)</f>
        <v>#N/A</v>
      </c>
      <c r="AC14" s="600">
        <f>(AH14+AH16)/1000</f>
        <v>0</v>
      </c>
      <c r="AD14" s="601" t="e">
        <f>AI14/1000</f>
        <v>#N/A</v>
      </c>
      <c r="AE14" s="602">
        <f>IF(C14=0,0,DGET('Casing Strengths'!A$7:P$2700,'Casing Strengths'!N$7,C13:G14))</f>
        <v>0</v>
      </c>
      <c r="AF14" s="603">
        <f>PI()/4*(C14^2-AE14^2)</f>
        <v>0</v>
      </c>
      <c r="AG14" t="e">
        <f>0.05194806*B18*DxSurvey!H58</f>
        <v>#N/A</v>
      </c>
      <c r="AH14" s="604">
        <f>E14*(DxSurvey!F58-DxSurvey!F57)</f>
        <v>0</v>
      </c>
      <c r="AI14" s="604" t="e">
        <f>AH14+AH16-((AG16-AG14)*AF16+AG14*AF14)</f>
        <v>#N/A</v>
      </c>
      <c r="AK14" s="252" t="s">
        <v>10</v>
      </c>
      <c r="AL14" s="244" t="s">
        <v>75</v>
      </c>
    </row>
    <row r="15" spans="1:38" s="29" customFormat="1" x14ac:dyDescent="0.25">
      <c r="A15" s="28"/>
      <c r="B15" s="154"/>
      <c r="C15" s="29" t="s">
        <v>56</v>
      </c>
      <c r="E15" s="29" t="s">
        <v>55</v>
      </c>
      <c r="F15" s="29" t="s">
        <v>57</v>
      </c>
      <c r="G15" s="29" t="s">
        <v>58</v>
      </c>
      <c r="H15" s="29">
        <v>9</v>
      </c>
      <c r="J15" s="29">
        <v>10</v>
      </c>
      <c r="K15" s="123"/>
      <c r="L15" s="29">
        <v>11</v>
      </c>
      <c r="N15" s="29">
        <v>12</v>
      </c>
      <c r="P15" s="158">
        <f>$J14*$K14+$N14*$O14</f>
        <v>0</v>
      </c>
      <c r="Q15" s="133">
        <f>IF($C14&gt;0,(1/((((($B$20/100)*$B14)+$B14)^2-$C14^2)/183.35))*(P15), 0)</f>
        <v>0</v>
      </c>
      <c r="R15" s="570"/>
      <c r="U15" s="446"/>
      <c r="X15" s="446"/>
      <c r="AD15" s="581"/>
      <c r="AF15" t="s">
        <v>76</v>
      </c>
      <c r="AG15" t="s">
        <v>77</v>
      </c>
      <c r="AH15" t="s">
        <v>78</v>
      </c>
      <c r="AK15" s="252" t="s">
        <v>79</v>
      </c>
      <c r="AL15" s="244" t="s">
        <v>80</v>
      </c>
    </row>
    <row r="16" spans="1:38" ht="15.75" customHeight="1" thickBot="1" x14ac:dyDescent="0.3">
      <c r="A16" s="598"/>
      <c r="B16" s="264"/>
      <c r="C16" s="264"/>
      <c r="D16" s="264"/>
      <c r="E16" s="264"/>
      <c r="F16" s="264"/>
      <c r="G16" s="264"/>
      <c r="H16" s="264"/>
      <c r="I16" s="264"/>
      <c r="J16" s="264"/>
      <c r="K16" s="263"/>
      <c r="L16" s="264"/>
      <c r="M16" s="264"/>
      <c r="N16" s="264"/>
      <c r="O16" s="264"/>
      <c r="P16">
        <f>$H16*$I16+$J16*$K16+$L16*$M16+$N16*$O16</f>
        <v>0</v>
      </c>
      <c r="Q16" s="446">
        <f>IF($C16&gt;0,(1/(((((B$20/100)*$B16)+$B16)^2-$C16^2)/183.35))*(P16), 0)</f>
        <v>0</v>
      </c>
      <c r="R16" s="568"/>
      <c r="S16" t="s">
        <v>69</v>
      </c>
      <c r="T16" t="e">
        <f>DGET('Casing Strengths'!A$7:P$2700,'Casing Strengths'!D$7,C14:G16)</f>
        <v>#NUM!</v>
      </c>
      <c r="U16" s="446" t="e">
        <f>0.05194806*(B$18-$B$23)*DxSurvey!H59</f>
        <v>#N/A</v>
      </c>
      <c r="V16" t="e">
        <f>T16/U16</f>
        <v>#NUM!</v>
      </c>
      <c r="W16" t="e">
        <f>DGET('Casing Strengths'!A$7:P$2700,'Casing Strengths'!E7,C15:G16)</f>
        <v>#NUM!</v>
      </c>
      <c r="X16" s="446">
        <f>IF(D16=0,0,IF($B$22=0,MAX((0.05194806*$B$18*DxSurvey!H59),MIN($I$24,$L$24-$B$21*($B$19-DxSurvey!H59))),MAX((0.05194806*($B$18-$B$22)*DxSurvey!H59),MIN(($I$24-(0.05194806*$B$22*DxSurvey!H59)),$L$24-$B$21*($B$19-DxSurvey!H59)-(0.05194806*$B$22*DxSurvey!H59)))))</f>
        <v>0</v>
      </c>
      <c r="Y16" t="e">
        <f>W16/X16</f>
        <v>#NUM!</v>
      </c>
      <c r="Z16" t="e">
        <f>DGET('Casing Strengths'!A$7:P$2700,'Casing Strengths'!J7,C15:G16)</f>
        <v>#NUM!</v>
      </c>
      <c r="AA16" t="e">
        <f>IF(B17="Y",Z16/AD16,Z16/AC16)</f>
        <v>#NUM!</v>
      </c>
      <c r="AB16" t="e">
        <f>DxSurvey!H59*(1-B18/65.4)</f>
        <v>#N/A</v>
      </c>
      <c r="AC16" s="600">
        <f>(AH16)/1000</f>
        <v>0</v>
      </c>
      <c r="AD16" s="601" t="e">
        <f>AI16/1000</f>
        <v>#N/A</v>
      </c>
      <c r="AE16" s="602">
        <f>IF(C16=0,0,DGET('Casing Strengths'!A$7:P$2700,'Casing Strengths'!N$7,C15:G16))</f>
        <v>0</v>
      </c>
      <c r="AF16">
        <f>PI()/4*(C16^2-AE16^2)</f>
        <v>0</v>
      </c>
      <c r="AG16" t="e">
        <f>0.05194806*B18*DxSurvey!H59</f>
        <v>#N/A</v>
      </c>
      <c r="AH16" s="604">
        <f>E16*(DxSurvey!F59-DxSurvey!F58)</f>
        <v>0</v>
      </c>
      <c r="AI16" s="604" t="e">
        <f>AH16-(AG16*AF16)</f>
        <v>#N/A</v>
      </c>
      <c r="AK16" s="253" t="s">
        <v>8</v>
      </c>
      <c r="AL16" s="244" t="s">
        <v>81</v>
      </c>
    </row>
    <row r="17" spans="1:38" x14ac:dyDescent="0.25">
      <c r="A17" s="429" t="s">
        <v>82</v>
      </c>
      <c r="B17" s="161" t="s">
        <v>16</v>
      </c>
      <c r="C17" s="585"/>
      <c r="P17" s="158">
        <f>$J16*$K16+$N16*$O16</f>
        <v>0</v>
      </c>
      <c r="Q17" s="133">
        <f>IF($C16&gt;0,(1/((((($B$20/100)*$B16)+$B16)^2-$C16^2)/183.35))*(P17), 0)</f>
        <v>0</v>
      </c>
      <c r="AD17" s="581"/>
      <c r="AE17" s="446"/>
      <c r="AK17" s="253" t="s">
        <v>83</v>
      </c>
      <c r="AL17" s="244" t="s">
        <v>84</v>
      </c>
    </row>
    <row r="18" spans="1:38" x14ac:dyDescent="0.25">
      <c r="A18" s="598" t="s">
        <v>85</v>
      </c>
      <c r="B18" s="264"/>
      <c r="C18" s="581" t="s">
        <v>86</v>
      </c>
      <c r="AD18" s="581"/>
      <c r="AE18" s="446"/>
      <c r="AK18" s="252" t="s">
        <v>87</v>
      </c>
      <c r="AL18" s="244" t="s">
        <v>88</v>
      </c>
    </row>
    <row r="19" spans="1:38" x14ac:dyDescent="0.25">
      <c r="A19" s="598" t="s">
        <v>89</v>
      </c>
      <c r="B19" s="446" t="e">
        <f>IF(AND($E$9="y", E$8="Y"),VLOOKUP(MAX(D12:D23),DxSurvey!$B$16:$H$54,7,FALSE),IF(AND(E$9="y",E$7="y"),MAX(DxSurvey!H$57:H$59),MAX($D$12:D$23)))</f>
        <v>#N/A</v>
      </c>
      <c r="C19" s="581" t="s">
        <v>90</v>
      </c>
      <c r="D19">
        <f>MAX(D12:D16)</f>
        <v>0</v>
      </c>
      <c r="E19" t="s">
        <v>91</v>
      </c>
      <c r="AD19" s="581"/>
      <c r="AE19" s="602" t="e">
        <f>D12/$D$19*AE12+(D14-D12)/$D$19*AE14+(D16-D14)/$D$19*AE16</f>
        <v>#DIV/0!</v>
      </c>
      <c r="AK19" s="253" t="s">
        <v>92</v>
      </c>
      <c r="AL19" s="244" t="s">
        <v>93</v>
      </c>
    </row>
    <row r="20" spans="1:38" x14ac:dyDescent="0.25">
      <c r="A20" s="598" t="s">
        <v>94</v>
      </c>
      <c r="B20" s="264">
        <v>10</v>
      </c>
      <c r="C20" s="581" t="s">
        <v>95</v>
      </c>
      <c r="AD20" s="581"/>
      <c r="AE20" s="446"/>
      <c r="AK20" s="253" t="s">
        <v>96</v>
      </c>
      <c r="AL20" s="244" t="s">
        <v>97</v>
      </c>
    </row>
    <row r="21" spans="1:38" x14ac:dyDescent="0.25">
      <c r="A21" s="598" t="s">
        <v>98</v>
      </c>
      <c r="B21" s="264">
        <v>0.12</v>
      </c>
      <c r="C21" s="581" t="s">
        <v>21</v>
      </c>
      <c r="AD21" s="581"/>
      <c r="AE21" s="446"/>
      <c r="AK21" s="254"/>
      <c r="AL21" s="244" t="s">
        <v>99</v>
      </c>
    </row>
    <row r="22" spans="1:38" x14ac:dyDescent="0.25">
      <c r="A22" s="598" t="s">
        <v>100</v>
      </c>
      <c r="B22" s="264">
        <v>0</v>
      </c>
      <c r="C22" s="581" t="s">
        <v>86</v>
      </c>
      <c r="AD22" s="581"/>
      <c r="AE22" s="446"/>
      <c r="AL22" s="244" t="s">
        <v>101</v>
      </c>
    </row>
    <row r="23" spans="1:38" ht="15.75" customHeight="1" thickBot="1" x14ac:dyDescent="0.3">
      <c r="A23" s="584" t="s">
        <v>102</v>
      </c>
      <c r="B23" s="155">
        <v>0</v>
      </c>
      <c r="C23" s="577" t="s">
        <v>86</v>
      </c>
      <c r="D23" s="576"/>
      <c r="E23" s="576"/>
      <c r="F23" s="576"/>
      <c r="G23" s="576"/>
      <c r="H23" s="576"/>
      <c r="I23" s="576"/>
      <c r="J23" s="576"/>
      <c r="K23" s="124"/>
      <c r="L23" s="576"/>
      <c r="M23" s="576"/>
      <c r="N23" s="576"/>
      <c r="O23" s="576"/>
      <c r="P23" s="576"/>
      <c r="Q23" s="576"/>
      <c r="R23" s="576"/>
      <c r="S23" s="576"/>
      <c r="T23" s="576"/>
      <c r="U23" s="576"/>
      <c r="V23" s="576"/>
      <c r="W23" s="576"/>
      <c r="X23" s="576"/>
      <c r="Y23" s="576"/>
      <c r="Z23" s="576"/>
      <c r="AA23" s="576"/>
      <c r="AB23" s="576"/>
      <c r="AC23" s="576"/>
      <c r="AD23" s="577"/>
      <c r="AE23" s="446"/>
      <c r="AL23" s="244" t="s">
        <v>103</v>
      </c>
    </row>
    <row r="24" spans="1:38" ht="15.75" customHeight="1" thickBot="1" x14ac:dyDescent="0.3">
      <c r="A24" s="598" t="s">
        <v>104</v>
      </c>
      <c r="B24" s="446" t="e">
        <f>IF(B34&gt;0,B34,IF(B49&gt;0,B49,IF(B64&gt;0,B64,B79)))</f>
        <v>#N/A</v>
      </c>
      <c r="C24" s="581" t="s">
        <v>105</v>
      </c>
      <c r="D24">
        <f>IF(D27&gt;0,B33,B48)</f>
        <v>0</v>
      </c>
      <c r="E24" t="s">
        <v>106</v>
      </c>
      <c r="F24" s="446" t="e">
        <f>IF(B34&gt;0,D24*B34*0.05194806,IF(B49&gt;0,D24*B49*0.05194806,IF(B64&gt;0,D24*B64*0.05194806,D24*B79*0.05194806)))</f>
        <v>#N/A</v>
      </c>
      <c r="G24" t="s">
        <v>107</v>
      </c>
      <c r="I24" s="446" t="e">
        <f>B$9*B19</f>
        <v>#N/A</v>
      </c>
      <c r="J24" t="s">
        <v>108</v>
      </c>
      <c r="L24" s="446" t="e">
        <f>IF(B34&gt;0,F24-(B34-B19)*B36,IF(B49&gt;0,F39-(B49-B19)*B51,IF(B64&gt;0,F54-(B64-B19)*B66,B19*B18*0.05194806)))</f>
        <v>#N/A</v>
      </c>
      <c r="AD24" s="581"/>
      <c r="AE24" s="446"/>
      <c r="AL24" s="244" t="s">
        <v>66</v>
      </c>
    </row>
    <row r="25" spans="1:38" ht="19.5" customHeight="1" thickBot="1" x14ac:dyDescent="0.35">
      <c r="A25" s="23" t="s">
        <v>109</v>
      </c>
      <c r="B25" s="25" t="s">
        <v>26</v>
      </c>
      <c r="C25" s="25" t="s">
        <v>27</v>
      </c>
      <c r="D25" s="25" t="s">
        <v>17</v>
      </c>
      <c r="E25" s="25" t="s">
        <v>28</v>
      </c>
      <c r="F25" s="25" t="s">
        <v>29</v>
      </c>
      <c r="G25" s="25" t="s">
        <v>30</v>
      </c>
      <c r="H25" s="25" t="s">
        <v>31</v>
      </c>
      <c r="I25" s="25" t="s">
        <v>32</v>
      </c>
      <c r="J25" s="25" t="s">
        <v>33</v>
      </c>
      <c r="K25" s="125" t="s">
        <v>34</v>
      </c>
      <c r="L25" s="25" t="s">
        <v>31</v>
      </c>
      <c r="M25" s="25" t="s">
        <v>32</v>
      </c>
      <c r="N25" s="25" t="s">
        <v>33</v>
      </c>
      <c r="O25" s="25" t="s">
        <v>34</v>
      </c>
      <c r="P25" s="159" t="s">
        <v>35</v>
      </c>
      <c r="Q25" s="25" t="s">
        <v>36</v>
      </c>
      <c r="R25" s="25" t="s">
        <v>37</v>
      </c>
      <c r="S25" s="25" t="s">
        <v>38</v>
      </c>
      <c r="T25" s="25" t="s">
        <v>39</v>
      </c>
      <c r="U25" s="25" t="s">
        <v>40</v>
      </c>
      <c r="V25" s="25" t="s">
        <v>41</v>
      </c>
      <c r="W25" s="25" t="s">
        <v>42</v>
      </c>
      <c r="X25" s="25" t="s">
        <v>43</v>
      </c>
      <c r="Y25" s="25" t="s">
        <v>44</v>
      </c>
      <c r="Z25" s="25" t="s">
        <v>45</v>
      </c>
      <c r="AA25" s="25" t="s">
        <v>46</v>
      </c>
      <c r="AB25" s="25" t="s">
        <v>47</v>
      </c>
      <c r="AC25" s="25" t="s">
        <v>48</v>
      </c>
      <c r="AD25" s="26" t="s">
        <v>49</v>
      </c>
      <c r="AE25" s="446" t="s">
        <v>50</v>
      </c>
      <c r="AF25" t="s">
        <v>51</v>
      </c>
      <c r="AG25" t="s">
        <v>52</v>
      </c>
      <c r="AH25" t="s">
        <v>53</v>
      </c>
      <c r="AI25" t="s">
        <v>54</v>
      </c>
      <c r="AL25" s="244" t="s">
        <v>110</v>
      </c>
    </row>
    <row r="26" spans="1:38" ht="18.75" customHeight="1" x14ac:dyDescent="0.3">
      <c r="A26" s="23"/>
      <c r="B26" s="583"/>
      <c r="C26" s="583" t="s">
        <v>56</v>
      </c>
      <c r="D26" s="583"/>
      <c r="E26" s="583" t="s">
        <v>55</v>
      </c>
      <c r="F26" s="583" t="s">
        <v>57</v>
      </c>
      <c r="G26" s="583" t="s">
        <v>58</v>
      </c>
      <c r="H26" s="583"/>
      <c r="I26" s="583"/>
      <c r="J26" s="583"/>
      <c r="K26" s="126"/>
      <c r="L26" s="583"/>
      <c r="M26" s="583"/>
      <c r="N26" s="583"/>
      <c r="O26" s="583"/>
      <c r="P26" s="583"/>
      <c r="Q26" s="583"/>
      <c r="R26" s="583"/>
      <c r="S26" s="583"/>
      <c r="T26" s="583"/>
      <c r="U26" s="583"/>
      <c r="V26" s="583"/>
      <c r="W26" s="583"/>
      <c r="X26" s="583"/>
      <c r="Y26" s="583"/>
      <c r="Z26" s="583"/>
      <c r="AA26" s="583"/>
      <c r="AB26" s="583"/>
      <c r="AC26" s="583"/>
      <c r="AD26" s="585"/>
      <c r="AE26" s="446"/>
      <c r="AF26" t="s">
        <v>61</v>
      </c>
      <c r="AG26" t="s">
        <v>62</v>
      </c>
      <c r="AH26" t="s">
        <v>63</v>
      </c>
      <c r="AL26" s="244" t="s">
        <v>111</v>
      </c>
    </row>
    <row r="27" spans="1:38" ht="15.75" customHeight="1" thickBot="1" x14ac:dyDescent="0.3">
      <c r="A27" s="248" t="str">
        <f>IF($H$9=2,"Cmt above DVT","")</f>
        <v/>
      </c>
      <c r="B27" s="264"/>
      <c r="C27" s="264"/>
      <c r="D27" s="264"/>
      <c r="E27" s="264"/>
      <c r="F27" s="264"/>
      <c r="G27" s="264"/>
      <c r="H27" s="264"/>
      <c r="I27" s="264"/>
      <c r="J27" s="264"/>
      <c r="K27" s="263"/>
      <c r="L27" s="263"/>
      <c r="M27" s="264"/>
      <c r="N27" s="264"/>
      <c r="O27" s="264"/>
      <c r="P27">
        <f>$H27*$I27+$J27*$K27+$L27*$M27+$N27*$O27</f>
        <v>0</v>
      </c>
      <c r="Q27" s="446">
        <f>IF($C27&gt;0,MIN((1/((((($B$35/100)*$B27)+$B27)^2-$C27^2)/183.35))*(P27),$D$34-$D$19)+MAX(($P27-((((($B$35/100)*$B27)+$B27)^2-$C27^2)/183.35)*($D$34-$D$19))*(1/(($AE$19^2-$C27^2)/183.35)),0), 0)</f>
        <v>0</v>
      </c>
      <c r="R27" s="568">
        <f>IF($H$9=2,IF(Q27&gt;D$27,"Surface",D27-Q27),IF((Q27+Q29+Q31)&gt;MAX(D$27:D$31),"Surface",MAX(D$27:D$31)-Q31-Q29-Q27))</f>
        <v>0</v>
      </c>
      <c r="S27" s="446" t="e">
        <f>0.05194806*B34*B33-B36*B34</f>
        <v>#N/A</v>
      </c>
      <c r="T27" t="e">
        <f>DGET('Casing Strengths'!A$7:P$2700,'Casing Strengths'!D$7,C26:G27)</f>
        <v>#NUM!</v>
      </c>
      <c r="U27" s="446" t="e">
        <f>0.05194806*(B$33-$B$38)*DxSurvey!H60</f>
        <v>#N/A</v>
      </c>
      <c r="V27" s="242" t="e">
        <f>T27/U27</f>
        <v>#NUM!</v>
      </c>
      <c r="W27" t="e">
        <f>DGET('Casing Strengths'!A$7:P$2700,'Casing Strengths'!E7,C26:G27)</f>
        <v>#NUM!</v>
      </c>
      <c r="X27" s="446">
        <f>IF(D27=0,0,IF($B$37=0,MAX((0.05194806*$B$33*DxSurvey!H60),MIN($I$39,$L$39-$B$36*($B$34-DxSurvey!H60))),MAX((0.05194806*($B$33-$B$37)*DxSurvey!H60),MIN(($I$39-(0.05194806*$B$37*DxSurvey!H60)),$L$39-$B$36*($B$34-DxSurvey!H60)-(0.05194806*$B$37*DxSurvey!H60)))))</f>
        <v>0</v>
      </c>
      <c r="Y27" s="242" t="e">
        <f>W27/X27</f>
        <v>#NUM!</v>
      </c>
      <c r="Z27" t="e">
        <f>DGET('Casing Strengths'!A$7:P$2700,'Casing Strengths'!J7,C26:G27)</f>
        <v>#NUM!</v>
      </c>
      <c r="AA27" s="242" t="e">
        <f>IF(B32="Y",Z27/AD27,Z27/AC27)</f>
        <v>#NUM!</v>
      </c>
      <c r="AB27" s="446" t="e">
        <f>DxSurvey!H60*(1-B33/65.4)</f>
        <v>#N/A</v>
      </c>
      <c r="AC27" s="600">
        <f>(AH27+AH29+AH31)/1000</f>
        <v>0</v>
      </c>
      <c r="AD27" s="601" t="e">
        <f>AI27/1000</f>
        <v>#N/A</v>
      </c>
      <c r="AE27" s="602" t="e">
        <f>DGET('Casing Strengths'!A$7:P$2700,'Casing Strengths'!N$7,C26:G27)</f>
        <v>#NUM!</v>
      </c>
      <c r="AF27" s="603" t="e">
        <f>PI()/4*(C27^2-AE27^2)</f>
        <v>#NUM!</v>
      </c>
      <c r="AG27" s="604" t="e">
        <f>0.05194806*B33*DxSurvey!H60</f>
        <v>#N/A</v>
      </c>
      <c r="AH27" s="604">
        <f>E27*DxSurvey!F60</f>
        <v>0</v>
      </c>
      <c r="AI27" s="604" t="e">
        <f>AH27+AH29+AH31-((AG31-AG29)*AF31+(AG29-AG27)*AF29+AG27*AF27)</f>
        <v>#N/A</v>
      </c>
      <c r="AL27" s="244" t="s">
        <v>112</v>
      </c>
    </row>
    <row r="28" spans="1:38" s="29" customFormat="1" x14ac:dyDescent="0.25">
      <c r="A28" s="28"/>
      <c r="B28" s="154"/>
      <c r="C28" s="30" t="s">
        <v>56</v>
      </c>
      <c r="D28" s="30"/>
      <c r="E28" s="30" t="s">
        <v>55</v>
      </c>
      <c r="F28" s="30" t="s">
        <v>57</v>
      </c>
      <c r="G28" s="30" t="s">
        <v>58</v>
      </c>
      <c r="K28" s="123"/>
      <c r="P28" s="158">
        <f>$J27*$K27+$N27*$O27</f>
        <v>0</v>
      </c>
      <c r="Q28" s="133">
        <f>IF($C27&gt;0,(1/((((($B$35/100)*$B27)+$B27)^2-$C27^2)/183.35))*(P28), 0)</f>
        <v>0</v>
      </c>
      <c r="R28" s="132">
        <f>IF((Q28+Q30+Q32)&gt;MAX(D$27:D$31),"Surface",MAX(D$27:D$31)-Q32-Q30-Q28)</f>
        <v>0</v>
      </c>
      <c r="U28" s="446"/>
      <c r="X28" s="446"/>
      <c r="AD28" s="581"/>
      <c r="AF28" t="s">
        <v>70</v>
      </c>
      <c r="AG28" t="s">
        <v>71</v>
      </c>
      <c r="AH28" t="s">
        <v>72</v>
      </c>
      <c r="AL28" s="244" t="s">
        <v>113</v>
      </c>
    </row>
    <row r="29" spans="1:38" ht="15.75" customHeight="1" thickBot="1" x14ac:dyDescent="0.3">
      <c r="A29" s="248" t="str">
        <f>IF($H$9=2,"Cmt below DVT","")</f>
        <v/>
      </c>
      <c r="B29" s="264"/>
      <c r="C29" s="264"/>
      <c r="D29" s="264"/>
      <c r="E29" s="264"/>
      <c r="F29" s="264"/>
      <c r="G29" s="264"/>
      <c r="H29" s="264"/>
      <c r="I29" s="264"/>
      <c r="J29" s="264"/>
      <c r="K29" s="263"/>
      <c r="L29" s="264"/>
      <c r="M29" s="264"/>
      <c r="N29" s="264"/>
      <c r="O29" s="264"/>
      <c r="P29">
        <f>$H29*$I29+$J29*$K29+$L29*$M29+$N29*$O29</f>
        <v>0</v>
      </c>
      <c r="Q29" s="446">
        <f>IF($C29&gt;0,IF($H$9=2,MIN(D29-D27,MIN((1/((((($B$35/100)*$B29)+$B29)^2-$C29^2)/183.35))*(P29),$D$34-$D$19)+MAX(($P29-((((($B$35/100)*$B29)+$B29)^2-$C29^2)/183.35)*($D$34-$D$19))*(1/(($AE$19^2-$C29^2)/183.35)),0)),MIN((1/((((($B$35/100)*$B29)+$B29)^2-$C29^2)/183.35))*(P29),$D$34-$D$19)+MAX(($P29-((((($B$35/100)*$B29)+$B29)^2-$C29^2)/183.35)*($D$34-$D$19))*(1/(($AE$19^2-$C29^2)/183.35)),0)),0)</f>
        <v>0</v>
      </c>
      <c r="R29" s="568"/>
      <c r="T29" t="e">
        <f>DGET('Casing Strengths'!A$7:P$2700,'Casing Strengths'!D$7,C28:G29)</f>
        <v>#NUM!</v>
      </c>
      <c r="U29" s="446" t="e">
        <f>0.05194806*(B$33-$B$38)*DxSurvey!H61</f>
        <v>#N/A</v>
      </c>
      <c r="V29" s="242" t="e">
        <f>T29/U29</f>
        <v>#NUM!</v>
      </c>
      <c r="W29" t="e">
        <f>DGET('Casing Strengths'!A$7:P$2700,'Casing Strengths'!E7,C28:G29)</f>
        <v>#NUM!</v>
      </c>
      <c r="X29" s="446">
        <f>IF(D29=0,0,IF($B$37=0,MAX((0.05194806*$B$33*DxSurvey!H61),MIN($I$39,$L$39-$B$36*($B$34-DxSurvey!H61))),MAX((0.05194806*($B$33-$B$37)*DxSurvey!H61),MIN(($I$39-(0.05194806*$B$37*DxSurvey!H61)),$L$39-$B$36*($B$34-DxSurvey!H61)-(0.05194806*$B$37*DxSurvey!H61)))))</f>
        <v>0</v>
      </c>
      <c r="Y29" s="242" t="e">
        <f>W29/X29</f>
        <v>#NUM!</v>
      </c>
      <c r="Z29" t="e">
        <f>DGET('Casing Strengths'!A$7:P$2700,'Casing Strengths'!J7,C28:G29)</f>
        <v>#NUM!</v>
      </c>
      <c r="AA29" s="242" t="e">
        <f>IF(B32="Y",Z29/AD29,Z29/AC29)</f>
        <v>#NUM!</v>
      </c>
      <c r="AB29" s="446" t="e">
        <f>DxSurvey!H61*(1-B33/65.4)</f>
        <v>#N/A</v>
      </c>
      <c r="AC29" s="600">
        <f>(AH29+AH31)/1000</f>
        <v>0</v>
      </c>
      <c r="AD29" s="601" t="e">
        <f>AI29/1000</f>
        <v>#N/A</v>
      </c>
      <c r="AE29" s="602">
        <f>IF(C29=0,0,DGET('Casing Strengths'!A$7:P$2700,'Casing Strengths'!N$7,C28:G29))</f>
        <v>0</v>
      </c>
      <c r="AF29" s="603">
        <f>PI()/4*(C29^2-AE29^2)</f>
        <v>0</v>
      </c>
      <c r="AG29" s="604" t="e">
        <f>0.05194806*B33*DxSurvey!H61</f>
        <v>#N/A</v>
      </c>
      <c r="AH29" s="604">
        <f>E29*(DxSurvey!F61-DxSurvey!F60)</f>
        <v>0</v>
      </c>
      <c r="AI29" s="604" t="e">
        <f>AH29+AH31-((AG31-AG29)*AF31+AG29*AF29)</f>
        <v>#N/A</v>
      </c>
      <c r="AL29" s="244" t="s">
        <v>114</v>
      </c>
    </row>
    <row r="30" spans="1:38" s="29" customFormat="1" x14ac:dyDescent="0.25">
      <c r="A30" s="28"/>
      <c r="B30" s="154"/>
      <c r="C30" s="30" t="s">
        <v>56</v>
      </c>
      <c r="D30" s="30"/>
      <c r="E30" s="30" t="s">
        <v>55</v>
      </c>
      <c r="F30" s="30" t="s">
        <v>57</v>
      </c>
      <c r="G30" s="30" t="s">
        <v>58</v>
      </c>
      <c r="K30" s="123"/>
      <c r="P30" s="158">
        <f>$J29*$K29+$N29*$O29</f>
        <v>0</v>
      </c>
      <c r="Q30" s="133">
        <f>IF($C29&gt;0,(1/((((($B$35/100)*$B29)+$B29)^2-$C29^2)/183.35))*(P30), 0)</f>
        <v>0</v>
      </c>
      <c r="U30" s="446"/>
      <c r="X30" s="446"/>
      <c r="AD30" s="581"/>
      <c r="AF30" t="s">
        <v>76</v>
      </c>
      <c r="AG30" t="s">
        <v>77</v>
      </c>
      <c r="AH30" t="s">
        <v>78</v>
      </c>
      <c r="AL30" s="244" t="s">
        <v>115</v>
      </c>
    </row>
    <row r="31" spans="1:38" ht="15.75" customHeight="1" thickBot="1" x14ac:dyDescent="0.3">
      <c r="A31" s="598"/>
      <c r="B31" s="264"/>
      <c r="C31" s="264"/>
      <c r="D31" s="264"/>
      <c r="E31" s="264"/>
      <c r="F31" s="264"/>
      <c r="G31" s="264"/>
      <c r="H31" s="264"/>
      <c r="I31" s="264"/>
      <c r="J31" s="264"/>
      <c r="K31" s="263"/>
      <c r="L31" s="264"/>
      <c r="M31" s="264"/>
      <c r="N31" s="264"/>
      <c r="O31" s="264"/>
      <c r="P31">
        <f>$H31*$I31+$J31*$K31+$L31*$M31+$N31*$O31</f>
        <v>0</v>
      </c>
      <c r="Q31" s="446">
        <f>IF($C31&gt;0,MIN((1/((((($B$35/100)*$B31)+$B31)^2-$C31^2)/183.35))*(P31),$D$34-$D$19)+MAX(($P31-((((($B$35/100)*$B31)+$B31)^2-$C31^2)/183.35)*($D$34-$D$19))*(1/(($AE$19^2-$C31^2)/183.35)),0), 0)</f>
        <v>0</v>
      </c>
      <c r="R31" s="568"/>
      <c r="T31" t="e">
        <f>DGET('Casing Strengths'!A$7:P$2700,'Casing Strengths'!D$7,C30:G31)</f>
        <v>#NUM!</v>
      </c>
      <c r="U31" s="446" t="e">
        <f>0.05194806*(B$33-$B$38)*DxSurvey!H62</f>
        <v>#N/A</v>
      </c>
      <c r="V31" s="242" t="e">
        <f>T31/U31</f>
        <v>#NUM!</v>
      </c>
      <c r="W31" t="e">
        <f>DGET('Casing Strengths'!A$7:P$2700,'Casing Strengths'!E7,C30:G31)</f>
        <v>#NUM!</v>
      </c>
      <c r="X31" s="446">
        <f>IF(D31=0,0,IF($B$37=0,MAX((0.05194806*$B$33*DxSurvey!H62),MIN($I$39,$L$39-$B$36*($B$34-DxSurvey!H62))),MAX((0.05194806*($B$33-$B$37)*DxSurvey!H62),MIN(($I$39-(0.05194806*$B$37*DxSurvey!H62)),$L$39-$B$36*($B$34-DxSurvey!H62)-(0.05194806*$B$37*DxSurvey!H62)))))</f>
        <v>0</v>
      </c>
      <c r="Y31" s="242" t="e">
        <f>W31/X31</f>
        <v>#NUM!</v>
      </c>
      <c r="Z31" t="e">
        <f>DGET('Casing Strengths'!A$7:P$2700,'Casing Strengths'!J7,C30:G31)</f>
        <v>#NUM!</v>
      </c>
      <c r="AA31" s="242" t="e">
        <f>IF(B32="Y",Z31/AD31,Z31/AC31)</f>
        <v>#NUM!</v>
      </c>
      <c r="AB31" s="446" t="e">
        <f>DxSurvey!H62*(1-B33/65.4)</f>
        <v>#N/A</v>
      </c>
      <c r="AC31" s="600">
        <f>(AH31)/1000</f>
        <v>0</v>
      </c>
      <c r="AD31" s="601" t="e">
        <f>AI31/1000</f>
        <v>#N/A</v>
      </c>
      <c r="AE31">
        <f>IF(C31=0,0,DGET('Casing Strengths'!A$7:P$2700,'Casing Strengths'!N$7,C30:G31))</f>
        <v>0</v>
      </c>
      <c r="AF31">
        <f>PI()/4*(C31^2-AE31^2)</f>
        <v>0</v>
      </c>
      <c r="AG31" t="e">
        <f>0.05194806*B33*DxSurvey!H62</f>
        <v>#N/A</v>
      </c>
      <c r="AH31" s="604">
        <f>E31*(DxSurvey!F62-DxSurvey!F61)</f>
        <v>0</v>
      </c>
      <c r="AI31" s="604" t="e">
        <f>AH31-(AG31*AF31)</f>
        <v>#N/A</v>
      </c>
      <c r="AL31" s="244" t="s">
        <v>116</v>
      </c>
    </row>
    <row r="32" spans="1:38" x14ac:dyDescent="0.25">
      <c r="A32" s="429" t="s">
        <v>82</v>
      </c>
      <c r="B32" s="161" t="s">
        <v>16</v>
      </c>
      <c r="C32" s="585"/>
      <c r="P32" s="158">
        <f>$J31*$K31+$N31*$O31</f>
        <v>0</v>
      </c>
      <c r="Q32" s="133">
        <f>IF($C31&gt;0,(1/((((($B$35/100)*$B31)+$B31)^2-$C31^2)/183.35))*(P32), 0)</f>
        <v>0</v>
      </c>
      <c r="AD32" s="581"/>
      <c r="AE32" s="446"/>
      <c r="AL32" s="244" t="s">
        <v>117</v>
      </c>
    </row>
    <row r="33" spans="1:38" x14ac:dyDescent="0.25">
      <c r="A33" s="598" t="s">
        <v>85</v>
      </c>
      <c r="B33" s="264"/>
      <c r="C33" s="581" t="s">
        <v>86</v>
      </c>
      <c r="AD33" s="581"/>
      <c r="AE33" s="446"/>
      <c r="AL33" s="244" t="s">
        <v>118</v>
      </c>
    </row>
    <row r="34" spans="1:38" x14ac:dyDescent="0.25">
      <c r="A34" s="598" t="s">
        <v>89</v>
      </c>
      <c r="B34" s="446" t="e">
        <f>IF(AND($E$9="y", E$8="Y"),VLOOKUP(MAX(D27:D38),DxSurvey!$B$16:$H$54,7,FALSE),IF(AND(E$9="y",E$7="y"),MAX(DxSurvey!H$60:H$62),MAX($D$27:D$31)))</f>
        <v>#N/A</v>
      </c>
      <c r="C34" s="581" t="s">
        <v>90</v>
      </c>
      <c r="D34">
        <f>MAX(D27:D31)</f>
        <v>0</v>
      </c>
      <c r="E34" t="s">
        <v>91</v>
      </c>
      <c r="AD34" s="581"/>
      <c r="AE34" s="602" t="e">
        <f>D27/$D34*AE27+(D29-D27)/$D34*AE29+(D31-D29)/$D34*AE31</f>
        <v>#DIV/0!</v>
      </c>
      <c r="AL34" s="244" t="s">
        <v>119</v>
      </c>
    </row>
    <row r="35" spans="1:38" x14ac:dyDescent="0.25">
      <c r="A35" s="598" t="s">
        <v>94</v>
      </c>
      <c r="B35" s="264">
        <v>4</v>
      </c>
      <c r="C35" s="581" t="s">
        <v>95</v>
      </c>
      <c r="AD35" s="581"/>
      <c r="AE35" s="446"/>
      <c r="AL35" s="244" t="s">
        <v>55</v>
      </c>
    </row>
    <row r="36" spans="1:38" x14ac:dyDescent="0.25">
      <c r="A36" s="598" t="s">
        <v>98</v>
      </c>
      <c r="B36" s="264">
        <v>0.22</v>
      </c>
      <c r="C36" s="581" t="s">
        <v>21</v>
      </c>
      <c r="AD36" s="581"/>
      <c r="AE36" s="446"/>
      <c r="AL36" s="244" t="s">
        <v>120</v>
      </c>
    </row>
    <row r="37" spans="1:38" x14ac:dyDescent="0.25">
      <c r="A37" s="598" t="s">
        <v>100</v>
      </c>
      <c r="B37" s="264">
        <v>0</v>
      </c>
      <c r="C37" s="581" t="s">
        <v>86</v>
      </c>
      <c r="AD37" s="581"/>
      <c r="AE37" s="446"/>
      <c r="AL37" s="244" t="s">
        <v>121</v>
      </c>
    </row>
    <row r="38" spans="1:38" ht="15.75" customHeight="1" thickBot="1" x14ac:dyDescent="0.3">
      <c r="A38" s="584" t="s">
        <v>102</v>
      </c>
      <c r="B38" s="155">
        <v>0</v>
      </c>
      <c r="C38" s="577" t="s">
        <v>86</v>
      </c>
      <c r="D38" s="576"/>
      <c r="E38" s="576"/>
      <c r="F38" s="576"/>
      <c r="G38" s="576"/>
      <c r="H38" s="576"/>
      <c r="I38" s="576"/>
      <c r="J38" s="576"/>
      <c r="K38" s="124"/>
      <c r="L38" s="576"/>
      <c r="M38" s="576"/>
      <c r="N38" s="576"/>
      <c r="O38" s="576"/>
      <c r="P38" s="576"/>
      <c r="Q38" s="576"/>
      <c r="R38" s="576"/>
      <c r="S38" s="576"/>
      <c r="T38" s="576"/>
      <c r="U38" s="576"/>
      <c r="V38" s="576"/>
      <c r="W38" s="576"/>
      <c r="X38" s="576"/>
      <c r="Y38" s="576"/>
      <c r="Z38" s="576"/>
      <c r="AA38" s="576"/>
      <c r="AB38" s="576"/>
      <c r="AC38" s="576"/>
      <c r="AD38" s="577"/>
      <c r="AE38" s="446"/>
      <c r="AL38" s="244" t="s">
        <v>122</v>
      </c>
    </row>
    <row r="39" spans="1:38" ht="15.75" customHeight="1" thickBot="1" x14ac:dyDescent="0.3">
      <c r="A39" s="598" t="s">
        <v>104</v>
      </c>
      <c r="B39" s="446" t="e">
        <f>IF(B49&gt;0,B49,IF(B64&gt;0,B64,IF(B79&gt;0,B79,B94)))</f>
        <v>#N/A</v>
      </c>
      <c r="C39" s="581" t="s">
        <v>105</v>
      </c>
      <c r="D39">
        <f>IF(D42&gt;0,B48,B63)</f>
        <v>0</v>
      </c>
      <c r="E39" t="s">
        <v>106</v>
      </c>
      <c r="F39" s="446" t="e">
        <f>IF(B49&gt;0,D39*B49*0.05194806,IF(B64&gt;0,D39*B64*0.05194806,IF(B79&gt;0,D39*B79*0.05194806,D39*B104*0.05194806)))</f>
        <v>#N/A</v>
      </c>
      <c r="G39" t="s">
        <v>107</v>
      </c>
      <c r="I39" s="446" t="e">
        <f>B$9*B34</f>
        <v>#N/A</v>
      </c>
      <c r="J39" t="s">
        <v>108</v>
      </c>
      <c r="L39" s="446" t="e">
        <f>IF(B49&gt;0,F39-(B49-B34)*B51,IF(B64&gt;0,F54-(B64-B34)*B66,B34*B33*0.05194806))</f>
        <v>#N/A</v>
      </c>
      <c r="AD39" s="581"/>
      <c r="AE39" s="446"/>
    </row>
    <row r="40" spans="1:38" ht="19.5" customHeight="1" thickBot="1" x14ac:dyDescent="0.35">
      <c r="A40" s="23" t="s">
        <v>123</v>
      </c>
      <c r="B40" s="25" t="s">
        <v>26</v>
      </c>
      <c r="C40" s="25" t="s">
        <v>27</v>
      </c>
      <c r="D40" s="25" t="s">
        <v>17</v>
      </c>
      <c r="E40" s="25" t="s">
        <v>28</v>
      </c>
      <c r="F40" s="25" t="s">
        <v>29</v>
      </c>
      <c r="G40" s="25" t="s">
        <v>30</v>
      </c>
      <c r="H40" s="25" t="s">
        <v>31</v>
      </c>
      <c r="I40" s="25" t="s">
        <v>32</v>
      </c>
      <c r="J40" s="25" t="s">
        <v>33</v>
      </c>
      <c r="K40" s="125" t="s">
        <v>34</v>
      </c>
      <c r="L40" s="25" t="s">
        <v>31</v>
      </c>
      <c r="M40" s="25" t="s">
        <v>32</v>
      </c>
      <c r="N40" s="25" t="s">
        <v>33</v>
      </c>
      <c r="O40" s="25" t="s">
        <v>34</v>
      </c>
      <c r="P40" s="159" t="s">
        <v>35</v>
      </c>
      <c r="Q40" s="25" t="s">
        <v>36</v>
      </c>
      <c r="R40" s="25" t="s">
        <v>37</v>
      </c>
      <c r="S40" s="25" t="s">
        <v>38</v>
      </c>
      <c r="T40" s="25" t="s">
        <v>39</v>
      </c>
      <c r="U40" s="25" t="s">
        <v>40</v>
      </c>
      <c r="V40" s="25" t="s">
        <v>41</v>
      </c>
      <c r="W40" s="25" t="s">
        <v>42</v>
      </c>
      <c r="X40" s="25" t="s">
        <v>43</v>
      </c>
      <c r="Y40" s="25" t="s">
        <v>44</v>
      </c>
      <c r="Z40" s="25" t="s">
        <v>45</v>
      </c>
      <c r="AA40" s="25" t="s">
        <v>46</v>
      </c>
      <c r="AB40" s="25" t="s">
        <v>47</v>
      </c>
      <c r="AC40" s="25" t="s">
        <v>48</v>
      </c>
      <c r="AD40" s="26" t="s">
        <v>49</v>
      </c>
      <c r="AE40" s="446" t="s">
        <v>50</v>
      </c>
      <c r="AF40" t="s">
        <v>51</v>
      </c>
      <c r="AG40" t="s">
        <v>52</v>
      </c>
      <c r="AH40" t="s">
        <v>53</v>
      </c>
      <c r="AI40" t="s">
        <v>54</v>
      </c>
    </row>
    <row r="41" spans="1:38" ht="18.75" customHeight="1" x14ac:dyDescent="0.3">
      <c r="A41" s="23"/>
      <c r="B41" s="583"/>
      <c r="C41" s="583" t="s">
        <v>56</v>
      </c>
      <c r="D41" s="583"/>
      <c r="E41" s="583" t="s">
        <v>55</v>
      </c>
      <c r="F41" s="583" t="s">
        <v>57</v>
      </c>
      <c r="G41" s="583" t="s">
        <v>58</v>
      </c>
      <c r="H41" s="583"/>
      <c r="I41" s="583"/>
      <c r="J41" s="583"/>
      <c r="K41" s="126"/>
      <c r="L41" s="583"/>
      <c r="M41" s="583"/>
      <c r="N41" s="583"/>
      <c r="O41" s="583"/>
      <c r="P41" s="583"/>
      <c r="Q41" s="583"/>
      <c r="R41" s="583"/>
      <c r="S41" s="583"/>
      <c r="T41" s="583"/>
      <c r="U41" s="583"/>
      <c r="V41" s="583"/>
      <c r="W41" s="583"/>
      <c r="X41" s="583"/>
      <c r="Y41" s="583"/>
      <c r="Z41" s="583"/>
      <c r="AA41" s="583"/>
      <c r="AB41" s="583"/>
      <c r="AC41" s="583"/>
      <c r="AD41" s="585"/>
      <c r="AE41" s="446"/>
      <c r="AF41" t="s">
        <v>61</v>
      </c>
      <c r="AG41" t="s">
        <v>62</v>
      </c>
      <c r="AH41" t="s">
        <v>63</v>
      </c>
    </row>
    <row r="42" spans="1:38" ht="15.75" customHeight="1" thickBot="1" x14ac:dyDescent="0.3">
      <c r="A42" s="598"/>
      <c r="B42" s="264"/>
      <c r="C42" s="264"/>
      <c r="D42" s="264"/>
      <c r="E42" s="264"/>
      <c r="F42" s="264"/>
      <c r="G42" s="264"/>
      <c r="H42" s="264"/>
      <c r="I42" s="264"/>
      <c r="J42" s="264"/>
      <c r="K42" s="263"/>
      <c r="L42" s="264"/>
      <c r="M42" s="264"/>
      <c r="N42" s="264"/>
      <c r="O42" s="264"/>
      <c r="P42">
        <f>$H42*$I42+$J42*$K42+$L42*$M42+$N42*$O42</f>
        <v>0</v>
      </c>
      <c r="Q42" s="446">
        <f>IF($C42&gt;0,MIN((1/((((($B$50/100)*$B42)+$B42)^2-$C42^2)/183.35))*(P42),$D$49-$D$34)+MAX(($P42-((((($B$50/100)*$B42)+$B42)^2-$C42^2)/183.35)*($D$49-$D$34))*(1/(($AE$34^2-$C42^2)/183.35)),0), 0)</f>
        <v>0</v>
      </c>
      <c r="R42" s="568">
        <f>IF((Q42+Q44+Q46)&gt;MAX(D$42:D$46),"Surface",MAX(D$42:D$46)-Q46-Q44-Q42)</f>
        <v>0</v>
      </c>
      <c r="S42" s="446" t="e">
        <f>0.05194806*B49*B48-B51*B49</f>
        <v>#N/A</v>
      </c>
      <c r="T42" t="e">
        <f>DGET('Casing Strengths'!A$7:P$2700,'Casing Strengths'!D$7,C41:G42)</f>
        <v>#NUM!</v>
      </c>
      <c r="U42" s="446" t="e">
        <f>0.05194806*(B$48-$B$53)*DxSurvey!H63</f>
        <v>#N/A</v>
      </c>
      <c r="V42" s="242" t="e">
        <f>T42/U42</f>
        <v>#NUM!</v>
      </c>
      <c r="W42" t="e">
        <f>DGET('Casing Strengths'!A$7:P$2700,'Casing Strengths'!E7,C41:G42)</f>
        <v>#NUM!</v>
      </c>
      <c r="X42" s="446">
        <f>IF(D42=0,0,IF($B$52=0,MAX((0.05194806*$B$48*DxSurvey!H63),MIN($I$54,$L$54-$B$51*($B$49-DxSurvey!H63))),MAX((0.05194806*($B$48-$B$52)*DxSurvey!H63),MIN(($I$54-(0.05194806*$B$52*DxSurvey!H63)),$L$54-$B$51*($B$49-DxSurvey!H63)-(0.05194806*$B$52*DxSurvey!H63)))))</f>
        <v>0</v>
      </c>
      <c r="Y42" s="242" t="e">
        <f>W42/X42</f>
        <v>#NUM!</v>
      </c>
      <c r="Z42" t="e">
        <f>DGET('Casing Strengths'!A$7:P$2700,'Casing Strengths'!J7,C41:G42)</f>
        <v>#NUM!</v>
      </c>
      <c r="AA42" s="242" t="e">
        <f>IF(B47="Y",Z42/AD42,Z42/AC42)</f>
        <v>#NUM!</v>
      </c>
      <c r="AB42" s="446" t="e">
        <f>DxSurvey!H63*(1-B48/65.4)</f>
        <v>#N/A</v>
      </c>
      <c r="AC42" s="600">
        <f>(AH42+AH44+AH46)/1000</f>
        <v>0</v>
      </c>
      <c r="AD42" s="601" t="e">
        <f>AI42/1000</f>
        <v>#N/A</v>
      </c>
      <c r="AE42" t="e">
        <f>DGET('Casing Strengths'!A$7:P$2700,'Casing Strengths'!N$7,C41:G42)</f>
        <v>#NUM!</v>
      </c>
      <c r="AF42" s="603" t="e">
        <f>PI()/4*(C42^2-AE42^2)</f>
        <v>#NUM!</v>
      </c>
      <c r="AG42" t="e">
        <f>0.05194806*B48*DxSurvey!H63</f>
        <v>#N/A</v>
      </c>
      <c r="AH42">
        <f>E42*DxSurvey!F63</f>
        <v>0</v>
      </c>
      <c r="AI42" s="604" t="e">
        <f>AH42+AH44+AH46-((AG46-AG44)*AF46+(AG44-AG42)*AF44+AG42*AF42)</f>
        <v>#N/A</v>
      </c>
    </row>
    <row r="43" spans="1:38" s="29" customFormat="1" x14ac:dyDescent="0.25">
      <c r="A43" s="28"/>
      <c r="B43" s="154"/>
      <c r="C43" s="30" t="s">
        <v>56</v>
      </c>
      <c r="D43" s="30"/>
      <c r="E43" s="30" t="s">
        <v>55</v>
      </c>
      <c r="F43" s="30" t="s">
        <v>57</v>
      </c>
      <c r="G43" s="30" t="s">
        <v>58</v>
      </c>
      <c r="K43" s="123"/>
      <c r="P43" s="158">
        <f>$J42*$K42+$N42*$O42</f>
        <v>0</v>
      </c>
      <c r="Q43" s="133">
        <f>IF($C42&gt;0,(1/((((($B$50/100)*$B42)+$B42)^2-$C42^2)/183.35))*(P43), 0)</f>
        <v>0</v>
      </c>
      <c r="R43" s="132">
        <f>IF((Q43+Q45+Q47)&gt;MAX(D$42:D$46),"Surface",MAX(D$42:D$46)-Q47-Q45-Q43)</f>
        <v>0</v>
      </c>
      <c r="U43" s="446"/>
      <c r="X43" s="446"/>
      <c r="AD43" s="581"/>
      <c r="AF43" t="s">
        <v>70</v>
      </c>
      <c r="AG43" t="s">
        <v>71</v>
      </c>
      <c r="AH43" t="s">
        <v>72</v>
      </c>
    </row>
    <row r="44" spans="1:38" ht="15.75" customHeight="1" thickBot="1" x14ac:dyDescent="0.3">
      <c r="A44" s="598"/>
      <c r="B44" s="264"/>
      <c r="C44" s="264"/>
      <c r="D44" s="264"/>
      <c r="E44" s="264"/>
      <c r="F44" s="264"/>
      <c r="G44" s="264"/>
      <c r="H44" s="264"/>
      <c r="I44" s="264"/>
      <c r="J44" s="264"/>
      <c r="K44" s="263"/>
      <c r="L44" s="264"/>
      <c r="M44" s="264"/>
      <c r="N44" s="264"/>
      <c r="O44" s="264"/>
      <c r="P44">
        <f>$H44*$I44+$J44*$K44+$L44*$M44+$N44*$O44</f>
        <v>0</v>
      </c>
      <c r="Q44" s="446">
        <f>IF($C44&gt;0,MIN((1/((((($B$50/100)*$B44)+$B44)^2-$C44^2)/183.35))*(P44),$D$49-$D$34)+MAX(($P44-((((($B$50/100)*$B44)+$B44)^2-$C44^2)/183.35)*($D$49-$D$34))*(1/(($AE$34^2-$C44^2)/183.35)),0), 0)</f>
        <v>0</v>
      </c>
      <c r="R44" s="446"/>
      <c r="T44" t="e">
        <f>DGET('Casing Strengths'!A$7:P$2700,'Casing Strengths'!D$7,C43:G44)</f>
        <v>#NUM!</v>
      </c>
      <c r="U44" s="446" t="e">
        <f>0.05194806*(B$48-$B$53)*DxSurvey!H64</f>
        <v>#N/A</v>
      </c>
      <c r="V44" s="242" t="e">
        <f>T44/U44</f>
        <v>#NUM!</v>
      </c>
      <c r="W44" t="e">
        <f>DGET('Casing Strengths'!A$7:P$2700,'Casing Strengths'!E7,C43:G44)</f>
        <v>#NUM!</v>
      </c>
      <c r="X44" s="446">
        <f>IF(D44=0,0,IF($B$52=0,MAX((0.05194806*$B$48*DxSurvey!H64),MIN($I$54,$L$54-$B$51*($B$49-DxSurvey!H64))),MAX((0.05194806*($B$48-$B$52)*DxSurvey!H64),MIN(($I$54-(0.05194806*$B$52*DxSurvey!H64)),$L$54-$B$51*($B$49-DxSurvey!H64)-(0.05194806*$B$52*DxSurvey!H64)))))</f>
        <v>0</v>
      </c>
      <c r="Y44" s="242" t="e">
        <f>W44/X44</f>
        <v>#NUM!</v>
      </c>
      <c r="Z44" t="e">
        <f>DGET('Casing Strengths'!A$7:P$2700,'Casing Strengths'!J7,C43:G44)</f>
        <v>#NUM!</v>
      </c>
      <c r="AA44" s="242" t="e">
        <f>IF(B47="Y",Z44/AD44,Z44/AC44)</f>
        <v>#NUM!</v>
      </c>
      <c r="AB44" s="446" t="e">
        <f>DxSurvey!H64*(1-B48/65.4)</f>
        <v>#N/A</v>
      </c>
      <c r="AC44" s="600">
        <f>(AH44+AH46)/1000</f>
        <v>0</v>
      </c>
      <c r="AD44" s="601" t="e">
        <f>AI44/1000</f>
        <v>#N/A</v>
      </c>
      <c r="AE44">
        <f>IF(C44=0,0,DGET('Casing Strengths'!A$7:P$2700,'Casing Strengths'!N$7,C43:G44))</f>
        <v>0</v>
      </c>
      <c r="AF44" s="603">
        <f>PI()/4*(C44^2-AE44^2)</f>
        <v>0</v>
      </c>
      <c r="AG44" t="e">
        <f>0.05194806*B48*DxSurvey!H64</f>
        <v>#N/A</v>
      </c>
      <c r="AH44">
        <f>E44*(DxSurvey!F64-DxSurvey!F63)</f>
        <v>0</v>
      </c>
      <c r="AI44" s="604" t="e">
        <f>AH44+AH46-((AG46-AG44)*AF46+AG44*AF44)</f>
        <v>#N/A</v>
      </c>
    </row>
    <row r="45" spans="1:38" s="29" customFormat="1" x14ac:dyDescent="0.25">
      <c r="A45" s="28"/>
      <c r="B45" s="154"/>
      <c r="C45" s="30" t="s">
        <v>56</v>
      </c>
      <c r="D45" s="30"/>
      <c r="E45" s="30" t="s">
        <v>55</v>
      </c>
      <c r="F45" s="30" t="s">
        <v>57</v>
      </c>
      <c r="G45" s="30" t="s">
        <v>58</v>
      </c>
      <c r="K45" s="123"/>
      <c r="P45" s="158">
        <f>$J44*$K44+$N44*$O44</f>
        <v>0</v>
      </c>
      <c r="Q45" s="133">
        <f>IF($C44&gt;0,(1/((((($B$50/100)*$B44)+$B44)^2-$C44^2)/183.35))*(P45), 0)</f>
        <v>0</v>
      </c>
      <c r="U45" s="446"/>
      <c r="X45" s="446"/>
      <c r="AD45" s="581"/>
      <c r="AF45" t="s">
        <v>76</v>
      </c>
      <c r="AG45" t="s">
        <v>77</v>
      </c>
      <c r="AH45" t="s">
        <v>78</v>
      </c>
    </row>
    <row r="46" spans="1:38" ht="15.75" customHeight="1" thickBot="1" x14ac:dyDescent="0.3">
      <c r="A46" s="598"/>
      <c r="B46" s="264"/>
      <c r="C46" s="264"/>
      <c r="D46" s="264"/>
      <c r="E46" s="264"/>
      <c r="F46" s="264"/>
      <c r="G46" s="264"/>
      <c r="H46" s="264"/>
      <c r="I46" s="264"/>
      <c r="J46" s="264"/>
      <c r="K46" s="263"/>
      <c r="L46" s="264"/>
      <c r="M46" s="264"/>
      <c r="N46" s="264"/>
      <c r="O46" s="264"/>
      <c r="P46">
        <f>$H46*$I46+$J46*$K46+$L46*$M46+$N46*$O46</f>
        <v>0</v>
      </c>
      <c r="Q46" s="446">
        <f>IF($C46&gt;0,MIN((1/((((($B$50/100)*$B46)+$B46)^2-$C46^2)/183.35))*(P46),$D$49-$D$34)+MAX(($P46-((((($B$50/100)*$B46)+$B46)^2-$C46^2)/183.35)*($D$49-$D$34))*(1/(($AE$34^2-$C46^2)/183.35)),0), 0)</f>
        <v>0</v>
      </c>
      <c r="R46" s="446"/>
      <c r="T46" t="e">
        <f>DGET('Casing Strengths'!A$7:P$2700,'Casing Strengths'!D$7,C45:G46)</f>
        <v>#NUM!</v>
      </c>
      <c r="U46" s="446" t="e">
        <f>0.05194806*(B$48-$B$53)*DxSurvey!H65</f>
        <v>#N/A</v>
      </c>
      <c r="V46" t="e">
        <f>T46/U46</f>
        <v>#NUM!</v>
      </c>
      <c r="W46" t="e">
        <f>DGET('Casing Strengths'!A$7:P$2700,'Casing Strengths'!E7,C45:G46)</f>
        <v>#NUM!</v>
      </c>
      <c r="X46" s="446">
        <f>IF(D46=0,0,IF($B$52=0,MAX((0.05194806*$B$48*DxSurvey!H65),MIN($I$54,$L$54-$B$51*($B$49-DxSurvey!H65))),MAX((0.05194806*($B$48-$B$52)*DxSurvey!H65),MIN(($I$54-(0.05194806*$B$52*DxSurvey!H65)),$L$54-$B$51*($B$49-DxSurvey!H65)-(0.05194806*$B$52*DxSurvey!H65)))))</f>
        <v>0</v>
      </c>
      <c r="Y46" t="e">
        <f>W46/X46</f>
        <v>#NUM!</v>
      </c>
      <c r="Z46" t="e">
        <f>DGET('Casing Strengths'!A$7:P$2700,'Casing Strengths'!J7,C45:G46)</f>
        <v>#NUM!</v>
      </c>
      <c r="AA46" t="e">
        <f>IF(B47="Y",Z46/AD46,Z46/AC46)</f>
        <v>#NUM!</v>
      </c>
      <c r="AB46" t="e">
        <f>DxSurvey!H65*(1-B48/65.4)</f>
        <v>#N/A</v>
      </c>
      <c r="AC46" s="600">
        <f>(AH46)/1000</f>
        <v>0</v>
      </c>
      <c r="AD46" s="601" t="e">
        <f>AI46/1000</f>
        <v>#N/A</v>
      </c>
      <c r="AE46">
        <f>IF(C46=0,0,DGET('Casing Strengths'!A$7:P$2700,'Casing Strengths'!N$7,C45:G46))</f>
        <v>0</v>
      </c>
      <c r="AF46">
        <f>PI()/4*(C46^2-AE46^2)</f>
        <v>0</v>
      </c>
      <c r="AG46" t="e">
        <f>0.05194806*B48*DxSurvey!H65</f>
        <v>#N/A</v>
      </c>
      <c r="AH46">
        <f>E46*(DxSurvey!F65-DxSurvey!F64)</f>
        <v>0</v>
      </c>
      <c r="AI46" s="604" t="e">
        <f>AH46-(AG46*AF46)</f>
        <v>#N/A</v>
      </c>
      <c r="AK46" t="s">
        <v>124</v>
      </c>
    </row>
    <row r="47" spans="1:38" x14ac:dyDescent="0.25">
      <c r="A47" s="429" t="s">
        <v>82</v>
      </c>
      <c r="B47" s="161" t="s">
        <v>16</v>
      </c>
      <c r="C47" s="585"/>
      <c r="P47" s="158">
        <f>$J46*$K46+$N46*$O46</f>
        <v>0</v>
      </c>
      <c r="Q47" s="133">
        <f>IF($C46&gt;0,(1/((((($B$50/100)*$B46)+$B46)^2-$C46^2)/183.35))*(P47), 0)</f>
        <v>0</v>
      </c>
      <c r="AD47" s="581"/>
      <c r="AE47" s="446"/>
      <c r="AI47" t="e">
        <f>AI42+AI44+AI46</f>
        <v>#N/A</v>
      </c>
      <c r="AJ47" t="e">
        <f>DxSurvey!H63*'Casing Review'!E42</f>
        <v>#N/A</v>
      </c>
      <c r="AK47" t="e">
        <f>IF(AI47-AJ47&gt;0,(AI47-AJ47)/E44+DxSurvey!H63)</f>
        <v>#N/A</v>
      </c>
      <c r="AL47" t="s">
        <v>89</v>
      </c>
    </row>
    <row r="48" spans="1:38" x14ac:dyDescent="0.25">
      <c r="A48" s="598" t="s">
        <v>85</v>
      </c>
      <c r="B48" s="264"/>
      <c r="C48" s="581" t="s">
        <v>86</v>
      </c>
      <c r="AD48" s="581"/>
      <c r="AE48" s="446"/>
      <c r="AJ48" t="e">
        <f>DxSurvey!H64*'Casing Review'!E44</f>
        <v>#N/A</v>
      </c>
    </row>
    <row r="49" spans="1:35" x14ac:dyDescent="0.25">
      <c r="A49" s="598" t="s">
        <v>89</v>
      </c>
      <c r="B49" s="446" t="e">
        <f>IF(AND($E$9="y", E$8="Y"),VLOOKUP(MAX(D42:D53),DxSurvey!$B$16:$H$54,7,FALSE),IF(AND(E$9="y",E$7="y"),MAX(DxSurvey!H$63:H$65),MAX($D$42:D$46)))</f>
        <v>#N/A</v>
      </c>
      <c r="C49" s="581" t="s">
        <v>90</v>
      </c>
      <c r="D49">
        <f>MAX(D42:D46)</f>
        <v>0</v>
      </c>
      <c r="E49" t="s">
        <v>91</v>
      </c>
      <c r="AD49" s="581"/>
      <c r="AE49" s="602">
        <f>IF(B42=0,0,D42/$D49*AE42+(D44-D42)/$D49*AE44+(D46-D44)/$D49*AE46)</f>
        <v>0</v>
      </c>
    </row>
    <row r="50" spans="1:35" x14ac:dyDescent="0.25">
      <c r="A50" s="598" t="s">
        <v>94</v>
      </c>
      <c r="B50" s="264">
        <v>4</v>
      </c>
      <c r="C50" s="581" t="s">
        <v>95</v>
      </c>
      <c r="AD50" s="581"/>
      <c r="AE50" s="446"/>
    </row>
    <row r="51" spans="1:35" x14ac:dyDescent="0.25">
      <c r="A51" s="598" t="s">
        <v>98</v>
      </c>
      <c r="B51" s="264">
        <v>0.22</v>
      </c>
      <c r="C51" s="581" t="s">
        <v>21</v>
      </c>
      <c r="AD51" s="581"/>
      <c r="AE51" s="446"/>
    </row>
    <row r="52" spans="1:35" x14ac:dyDescent="0.25">
      <c r="A52" s="598" t="s">
        <v>100</v>
      </c>
      <c r="B52" s="264">
        <v>0</v>
      </c>
      <c r="C52" s="581" t="s">
        <v>86</v>
      </c>
      <c r="AD52" s="581"/>
      <c r="AE52" s="446"/>
    </row>
    <row r="53" spans="1:35" ht="15.75" customHeight="1" thickBot="1" x14ac:dyDescent="0.3">
      <c r="A53" s="584" t="s">
        <v>102</v>
      </c>
      <c r="B53" s="155">
        <v>0</v>
      </c>
      <c r="C53" s="577" t="s">
        <v>86</v>
      </c>
      <c r="D53" s="576"/>
      <c r="E53" s="576"/>
      <c r="F53" s="576"/>
      <c r="G53" s="576"/>
      <c r="H53" s="576"/>
      <c r="I53" s="576"/>
      <c r="J53" s="576"/>
      <c r="K53" s="124"/>
      <c r="L53" s="576"/>
      <c r="M53" s="576"/>
      <c r="N53" s="576"/>
      <c r="O53" s="576"/>
      <c r="P53" s="576"/>
      <c r="Q53" s="576"/>
      <c r="R53" s="576"/>
      <c r="S53" s="576"/>
      <c r="T53" s="576"/>
      <c r="U53" s="576"/>
      <c r="V53" s="576"/>
      <c r="W53" s="576"/>
      <c r="X53" s="576"/>
      <c r="Y53" s="576"/>
      <c r="Z53" s="576"/>
      <c r="AA53" s="576"/>
      <c r="AB53" s="576"/>
      <c r="AC53" s="576"/>
      <c r="AD53" s="577"/>
      <c r="AE53" s="446"/>
    </row>
    <row r="54" spans="1:35" ht="15.75" customHeight="1" thickBot="1" x14ac:dyDescent="0.3">
      <c r="A54" s="598" t="s">
        <v>104</v>
      </c>
      <c r="B54" s="446" t="e">
        <f>IF(B64&gt;0,B64,IF(B79&gt;0,B79,IF(B94&gt;0,B94,B99)))</f>
        <v>#N/A</v>
      </c>
      <c r="C54" t="s">
        <v>105</v>
      </c>
      <c r="D54">
        <f>IF(D57&gt;0,B63,B84)</f>
        <v>0</v>
      </c>
      <c r="E54" t="s">
        <v>106</v>
      </c>
      <c r="F54" s="446" t="e">
        <f>IF(B64&gt;0,D54*B64*0.05194806,IF(B79&gt;0,D54*B79*0.05194806,IF(B104&gt;0,D54*B104*0.05194806,D54*B119*0.05194806)))</f>
        <v>#N/A</v>
      </c>
      <c r="G54" t="s">
        <v>107</v>
      </c>
      <c r="I54" s="446" t="e">
        <f>B$9*B49</f>
        <v>#N/A</v>
      </c>
      <c r="J54" t="s">
        <v>108</v>
      </c>
      <c r="L54" s="446" t="e">
        <f>IF(B64&gt;0,F54-(B64-B49)*B66,B49*B48*0.05194806)</f>
        <v>#N/A</v>
      </c>
      <c r="AD54" s="581"/>
      <c r="AE54" s="446"/>
    </row>
    <row r="55" spans="1:35" ht="19.5" customHeight="1" thickBot="1" x14ac:dyDescent="0.35">
      <c r="A55" s="23" t="s">
        <v>125</v>
      </c>
      <c r="B55" s="25" t="s">
        <v>26</v>
      </c>
      <c r="C55" s="25" t="s">
        <v>27</v>
      </c>
      <c r="D55" s="25" t="s">
        <v>17</v>
      </c>
      <c r="E55" s="25" t="s">
        <v>28</v>
      </c>
      <c r="F55" s="25" t="s">
        <v>29</v>
      </c>
      <c r="G55" s="25" t="s">
        <v>30</v>
      </c>
      <c r="H55" s="25" t="s">
        <v>31</v>
      </c>
      <c r="I55" s="25" t="s">
        <v>32</v>
      </c>
      <c r="J55" s="25" t="s">
        <v>33</v>
      </c>
      <c r="K55" s="125" t="s">
        <v>34</v>
      </c>
      <c r="L55" s="25" t="s">
        <v>31</v>
      </c>
      <c r="M55" s="25" t="s">
        <v>32</v>
      </c>
      <c r="N55" s="25" t="s">
        <v>33</v>
      </c>
      <c r="O55" s="159" t="s">
        <v>34</v>
      </c>
      <c r="P55" s="159" t="s">
        <v>35</v>
      </c>
      <c r="Q55" s="25" t="s">
        <v>36</v>
      </c>
      <c r="R55" s="25" t="s">
        <v>37</v>
      </c>
      <c r="S55" s="25" t="s">
        <v>38</v>
      </c>
      <c r="T55" s="25" t="s">
        <v>39</v>
      </c>
      <c r="U55" s="25" t="s">
        <v>40</v>
      </c>
      <c r="V55" s="25" t="s">
        <v>41</v>
      </c>
      <c r="W55" s="25" t="s">
        <v>42</v>
      </c>
      <c r="X55" s="25" t="s">
        <v>43</v>
      </c>
      <c r="Y55" s="25" t="s">
        <v>44</v>
      </c>
      <c r="Z55" s="25" t="s">
        <v>45</v>
      </c>
      <c r="AA55" s="25" t="s">
        <v>46</v>
      </c>
      <c r="AB55" s="25" t="s">
        <v>47</v>
      </c>
      <c r="AC55" s="25" t="s">
        <v>48</v>
      </c>
      <c r="AD55" s="26" t="s">
        <v>49</v>
      </c>
      <c r="AE55" s="446" t="s">
        <v>50</v>
      </c>
      <c r="AF55" t="s">
        <v>51</v>
      </c>
      <c r="AG55" t="s">
        <v>52</v>
      </c>
      <c r="AH55" t="s">
        <v>53</v>
      </c>
      <c r="AI55" t="s">
        <v>54</v>
      </c>
    </row>
    <row r="56" spans="1:35" ht="18.75" customHeight="1" x14ac:dyDescent="0.3">
      <c r="A56" s="23"/>
      <c r="B56" s="583"/>
      <c r="C56" s="583" t="s">
        <v>56</v>
      </c>
      <c r="D56" s="583"/>
      <c r="E56" s="583" t="s">
        <v>55</v>
      </c>
      <c r="F56" s="583" t="s">
        <v>57</v>
      </c>
      <c r="G56" s="583" t="s">
        <v>58</v>
      </c>
      <c r="H56" s="583"/>
      <c r="I56" s="583"/>
      <c r="J56" s="583"/>
      <c r="K56" s="126"/>
      <c r="L56" s="583"/>
      <c r="M56" s="583"/>
      <c r="N56" s="583"/>
      <c r="O56" s="583"/>
      <c r="P56" s="583"/>
      <c r="Q56" s="583"/>
      <c r="R56" s="583"/>
      <c r="S56" s="583"/>
      <c r="T56" s="583"/>
      <c r="U56" s="583"/>
      <c r="V56" s="583"/>
      <c r="W56" s="583"/>
      <c r="X56" s="583"/>
      <c r="Y56" s="583"/>
      <c r="Z56" s="583"/>
      <c r="AA56" s="583"/>
      <c r="AB56" s="583"/>
      <c r="AC56" s="583"/>
      <c r="AD56" s="585"/>
      <c r="AE56" s="446"/>
      <c r="AF56" t="s">
        <v>61</v>
      </c>
      <c r="AG56" t="s">
        <v>62</v>
      </c>
      <c r="AH56" t="s">
        <v>63</v>
      </c>
    </row>
    <row r="57" spans="1:35" ht="15.75" customHeight="1" thickBot="1" x14ac:dyDescent="0.3">
      <c r="A57" s="598"/>
      <c r="B57" s="264"/>
      <c r="C57" s="264"/>
      <c r="D57" s="263"/>
      <c r="E57" s="264"/>
      <c r="F57" s="264"/>
      <c r="G57" s="264"/>
      <c r="H57" s="264"/>
      <c r="I57" s="264"/>
      <c r="J57" s="264"/>
      <c r="K57" s="263"/>
      <c r="L57" s="264"/>
      <c r="M57" s="264"/>
      <c r="N57" s="264"/>
      <c r="O57" s="264"/>
      <c r="P57">
        <f>$H57*$I57+$J57*$K57+$L57*$M57+$N57*$O57</f>
        <v>0</v>
      </c>
      <c r="Q57" s="446">
        <f>IF($C57&gt;0,MIN((1/((((($B$65/100)*$B57)+$B57)^2-$C57^2)/183.35))*(P57),$D$64-MAX($D$49,$D$34))+MAX(($P57-((((($B$65/100)*$B57)+$B57)^2-$C57^2)/183.35)*($D$64-MAX($D$49,$D$34)))*(1/(((IF(MIN($AE$49,$AE$34)=0,MAX($AE$49,$AE$34),MIN($AE$49,$AE$34)))^2-$C57^2)/183.35)),0), 0)</f>
        <v>0</v>
      </c>
      <c r="R57" s="568">
        <f>IF((Q57+Q59+Q61)&gt;(MAX(D$57:D$61)-$B$69),"TOL",MAX(D$57:D$61)-Q61-Q59-Q57)</f>
        <v>0</v>
      </c>
      <c r="S57" s="446" t="e">
        <f>0.05194806*B64*B63-B66*B64</f>
        <v>#N/A</v>
      </c>
      <c r="T57" t="e">
        <f>DGET('Casing Strengths'!A$7:'Casing Strengths'!P$2700,'Casing Strengths'!D$7,C56:G57)</f>
        <v>#NUM!</v>
      </c>
      <c r="U57" s="446" t="e">
        <f>0.05194806*(B$63-$B$68)*DxSurvey!H66</f>
        <v>#N/A</v>
      </c>
      <c r="V57" s="242" t="e">
        <f>T57/U57</f>
        <v>#NUM!</v>
      </c>
      <c r="W57" t="e">
        <f>DGET('Casing Strengths'!A$7:P$2700,'Casing Strengths'!E7,C56:G57)</f>
        <v>#NUM!</v>
      </c>
      <c r="X57" s="446">
        <f>IF(D57=0,0,IF($B$67=0,MAX((0.05194806*$B$63*DxSurvey!H66),MIN($I$69,$L$69-$B$66*($B$64-DxSurvey!H66))),MAX((0.05194806*($B$63-$B$67)*DxSurvey!H66),MIN(($I$69-(0.05194806*$B$67*DxSurvey!H66)),$L$69-$B$66*($B$64-DxSurvey!H66)-(0.05194806*$B$67*DxSurvey!H66)))))</f>
        <v>0</v>
      </c>
      <c r="Y57" s="242" t="e">
        <f>W57/X57</f>
        <v>#NUM!</v>
      </c>
      <c r="Z57" t="e">
        <f>DGET('Casing Strengths'!A$7:P$2700,'Casing Strengths'!J7,C56:G57)</f>
        <v>#NUM!</v>
      </c>
      <c r="AA57" s="242" t="e">
        <f>IF(B62="Y",Z57/AD57,Z57/AC57)</f>
        <v>#NUM!</v>
      </c>
      <c r="AB57" s="446" t="e">
        <f>(DxSurvey!H66-DxSurvey!$H$69)*(1-$B$63/65.4)+$B$69</f>
        <v>#N/A</v>
      </c>
      <c r="AC57" s="600">
        <f>(AH57+AH59+AH61)/1000</f>
        <v>0</v>
      </c>
      <c r="AD57" s="601" t="e">
        <f>AI57/1000</f>
        <v>#N/A</v>
      </c>
      <c r="AE57" t="e">
        <f>DGET('Casing Strengths'!A$7:P$2700,'Casing Strengths'!N$7,C56:G57)</f>
        <v>#NUM!</v>
      </c>
      <c r="AF57" s="603" t="e">
        <f>PI()/4*(C57^2-AE57^2)</f>
        <v>#NUM!</v>
      </c>
      <c r="AG57" t="e">
        <f>0.05194806*B63*(DxSurvey!H66-DxSurvey!H69)</f>
        <v>#N/A</v>
      </c>
      <c r="AH57">
        <f>E57*(DxSurvey!F66-DxSurvey!F69)</f>
        <v>0</v>
      </c>
      <c r="AI57" s="604" t="e">
        <f>AH57+AH59+AH61-((AG61-AG59)*AF61+(AG59-AG57)*AF59+AG57*AF57)</f>
        <v>#N/A</v>
      </c>
    </row>
    <row r="58" spans="1:35" s="29" customFormat="1" x14ac:dyDescent="0.25">
      <c r="A58" s="28"/>
      <c r="B58" s="154"/>
      <c r="C58" s="30" t="s">
        <v>56</v>
      </c>
      <c r="D58" s="30"/>
      <c r="E58" s="30" t="s">
        <v>55</v>
      </c>
      <c r="F58" s="30" t="s">
        <v>57</v>
      </c>
      <c r="G58" s="30" t="s">
        <v>58</v>
      </c>
      <c r="K58" s="123"/>
      <c r="P58" s="158">
        <f>$J57*$K57+$N57*$O57</f>
        <v>0</v>
      </c>
      <c r="Q58" s="133">
        <f>IF($C57&gt;0,(1/((((($B$65/100)*$B57)+$B57)^2-$C57^2)/183.35))*(P58), 0)</f>
        <v>0</v>
      </c>
      <c r="R58" s="132">
        <f>IF((Q58+Q60+Q62)&gt;(MAX(D$57:D$61)-$B$69),"TOL",MAX(D$57:D$61)-Q62-Q60-Q58)</f>
        <v>0</v>
      </c>
      <c r="U58" s="446"/>
      <c r="X58" s="446"/>
      <c r="AD58" s="581"/>
      <c r="AF58" t="s">
        <v>70</v>
      </c>
      <c r="AG58" t="s">
        <v>71</v>
      </c>
      <c r="AH58" t="s">
        <v>72</v>
      </c>
    </row>
    <row r="59" spans="1:35" ht="15.75" customHeight="1" thickBot="1" x14ac:dyDescent="0.3">
      <c r="A59" s="598"/>
      <c r="B59" s="264"/>
      <c r="C59" s="264"/>
      <c r="D59" s="264"/>
      <c r="E59" s="264"/>
      <c r="F59" s="264"/>
      <c r="G59" s="264"/>
      <c r="H59" s="264"/>
      <c r="I59" s="264"/>
      <c r="J59" s="264"/>
      <c r="K59" s="263"/>
      <c r="L59" s="264"/>
      <c r="M59" s="264"/>
      <c r="N59" s="264"/>
      <c r="O59" s="264"/>
      <c r="P59">
        <f>$H59*$I59+$J59*$K59+$L59*$M59+$N59*$O59</f>
        <v>0</v>
      </c>
      <c r="Q59" s="446">
        <f>IF($C59&gt;0,MIN((1/((((($B$65/100)*$B59)+$B59)^2-$C59^2)/183.35))*(P59),$D$64-MAX($D$49,$D$34))+MAX(($P59-((((($B$65/100)*$B59)+$B59)^2-$C59^2)/183.35)*($D$64-MAX($D$49,$D$34)))*(1/(((IF(MIN($AE$49,$AE$34)=0,MAX($AE$49,$AE$34),MIN($AE$49,$AE$34)))^2-$C59^2)/183.35)),0), 0)</f>
        <v>0</v>
      </c>
      <c r="R59" s="446"/>
      <c r="T59" t="e">
        <f>DGET('Casing Strengths'!A$7:P$2700,'Casing Strengths'!D$7,C58:G59)</f>
        <v>#NUM!</v>
      </c>
      <c r="U59" s="446" t="e">
        <f>0.05194806*(B$63-$B$68)*DxSurvey!H67</f>
        <v>#N/A</v>
      </c>
      <c r="V59" s="242" t="e">
        <f>T59/U59</f>
        <v>#NUM!</v>
      </c>
      <c r="W59" t="e">
        <f>DGET('Casing Strengths'!A$7:P$2700,'Casing Strengths'!E7,C58:G59)</f>
        <v>#NUM!</v>
      </c>
      <c r="X59" s="446">
        <f>IF(D59=0,0,IF($B$67=0,MAX((0.05194806*$B$63*DxSurvey!H67),MIN($I$69,$L$69-$B$66*($B$64-DxSurvey!H67))),MAX((0.05194806*($B$63-$B$67)*DxSurvey!H67),MIN(($I$69-(0.05194806*$B$67*DxSurvey!H67)),$L$69-$B$66*($B$64-DxSurvey!H67)-(0.05194806*$B$67*DxSurvey!H67)))))</f>
        <v>0</v>
      </c>
      <c r="Y59" s="242" t="e">
        <f>W59/X59</f>
        <v>#NUM!</v>
      </c>
      <c r="Z59" t="e">
        <f>DGET('Casing Strengths'!A$7:P$2700,'Casing Strengths'!J7,C58:G59)</f>
        <v>#NUM!</v>
      </c>
      <c r="AA59" s="242" t="e">
        <f>IF(B62="Y",Z59/AD59,Z59/AC59)</f>
        <v>#NUM!</v>
      </c>
      <c r="AB59" s="446">
        <f>IF(D59=0,0,(DxSurvey!H67-DxSurvey!$H$69)*(1-$B$63/65.4)+$B$69)</f>
        <v>0</v>
      </c>
      <c r="AC59" s="600">
        <f>(AH59+AH61)/1000</f>
        <v>0</v>
      </c>
      <c r="AD59" s="601" t="e">
        <f>AI59/1000</f>
        <v>#N/A</v>
      </c>
      <c r="AE59">
        <f>IF(C59=0,0,DGET('Casing Strengths'!A$7:P$2700,'Casing Strengths'!N$7,C58:G59))</f>
        <v>0</v>
      </c>
      <c r="AF59" s="603">
        <f>PI()/4*(C59^2-AE59^2)</f>
        <v>0</v>
      </c>
      <c r="AG59" t="e">
        <f>0.05194806*B63*DxSurvey!H67</f>
        <v>#N/A</v>
      </c>
      <c r="AH59">
        <f>E59*(DxSurvey!F67-DxSurvey!F66)</f>
        <v>0</v>
      </c>
      <c r="AI59" s="604" t="e">
        <f>AH59+AH61-((AG61-AG59)*AF61+AG59*AF59)</f>
        <v>#N/A</v>
      </c>
    </row>
    <row r="60" spans="1:35" s="29" customFormat="1" x14ac:dyDescent="0.25">
      <c r="A60" s="28"/>
      <c r="B60" s="154"/>
      <c r="C60" s="30" t="s">
        <v>56</v>
      </c>
      <c r="D60" s="30"/>
      <c r="E60" s="30" t="s">
        <v>55</v>
      </c>
      <c r="F60" s="30" t="s">
        <v>57</v>
      </c>
      <c r="G60" s="30" t="s">
        <v>58</v>
      </c>
      <c r="K60" s="123"/>
      <c r="P60" s="158">
        <f>$J59*$K59+$N59*$O59</f>
        <v>0</v>
      </c>
      <c r="Q60" s="133">
        <f>IF($C59&gt;0,(1/((((($B$65/100)*$B59)+$B59)^2-$C59^2)/183.35))*(P60), 0)</f>
        <v>0</v>
      </c>
      <c r="U60" s="446"/>
      <c r="X60" s="446"/>
      <c r="AD60" s="581"/>
      <c r="AF60" t="s">
        <v>76</v>
      </c>
      <c r="AG60" t="s">
        <v>77</v>
      </c>
      <c r="AH60" t="s">
        <v>78</v>
      </c>
    </row>
    <row r="61" spans="1:35" ht="15.75" customHeight="1" thickBot="1" x14ac:dyDescent="0.3">
      <c r="A61" s="598"/>
      <c r="B61" s="264"/>
      <c r="C61" s="264"/>
      <c r="D61" s="264"/>
      <c r="E61" s="264"/>
      <c r="F61" s="264"/>
      <c r="G61" s="264"/>
      <c r="H61" s="264"/>
      <c r="I61" s="264"/>
      <c r="J61" s="264"/>
      <c r="K61" s="263"/>
      <c r="L61" s="264"/>
      <c r="M61" s="264"/>
      <c r="N61" s="264"/>
      <c r="O61" s="264"/>
      <c r="P61">
        <f>$H61*$I61+$J61*$K61+$L61*$M61+$N61*$O61</f>
        <v>0</v>
      </c>
      <c r="Q61" s="446">
        <f>IF($C61&gt;0,MIN((1/((((($B$65/100)*$B61)+$B61)^2-$C61^2)/183.35))*(P61),$D$64-MAX($D$49,$D$34))+MAX(($P61-((((($B$65/100)*$B61)+$B61)^2-$C61^2)/183.35)*($D$64-MAX($D$49,$D$34)))*(1/(((IF(MIN($AE$49,$AE$34)=0,MAX($AE$49,$AE$34),MIN($AE$49,$AE$34)))^2-$C61^2)/183.35)),0), 0)</f>
        <v>0</v>
      </c>
      <c r="R61" s="446"/>
      <c r="T61" t="e">
        <f>DGET('Casing Strengths'!A$7:P$2700,'Casing Strengths'!D$7,C60:G61)</f>
        <v>#NUM!</v>
      </c>
      <c r="U61" s="446" t="e">
        <f>0.05194806*(B$63-$B$68)*DxSurvey!H68</f>
        <v>#N/A</v>
      </c>
      <c r="V61" t="e">
        <f>T61/U61</f>
        <v>#NUM!</v>
      </c>
      <c r="W61" t="e">
        <f>DGET('Casing Strengths'!A$7:P$2700,'Casing Strengths'!E7,C60:G61)</f>
        <v>#NUM!</v>
      </c>
      <c r="X61" s="446">
        <f>IF(D61=0,0,IF($B$67=0,MAX((0.05194806*$B$63*DxSurvey!H68),MIN($I$69,$L$69-$B$66*($B$64-DxSurvey!H68))),MAX((0.05194806*($B$63-$B$67)*DxSurvey!H68),MIN(($I$69-(0.05194806*$B$67*DxSurvey!H68)),$L$69-$B$66*($B$64-DxSurvey!H68)-(0.05194806*$B$67*DxSurvey!H68)))))</f>
        <v>0</v>
      </c>
      <c r="Y61" t="e">
        <f>W61/X61</f>
        <v>#NUM!</v>
      </c>
      <c r="Z61" t="e">
        <f>DGET('Casing Strengths'!A$7:P$2700,'Casing Strengths'!J7,C60:G61)</f>
        <v>#NUM!</v>
      </c>
      <c r="AA61" t="e">
        <f>IF(B62="Y",Z61/AD61,Z61/AC61)</f>
        <v>#NUM!</v>
      </c>
      <c r="AB61" s="446">
        <f>IF(D61=0,0,(DxSurvey!H68-DxSurvey!$H$69)*(1-$B$63/65.4)+$B$69)</f>
        <v>0</v>
      </c>
      <c r="AC61" s="600">
        <f>(AH61)/1000</f>
        <v>0</v>
      </c>
      <c r="AD61" s="601">
        <f>AI61/1000</f>
        <v>0</v>
      </c>
      <c r="AE61">
        <f>IF(C61=0,0,DGET('Casing Strengths'!A$7:P$2700,'Casing Strengths'!N$7,C60:G61))</f>
        <v>0</v>
      </c>
      <c r="AF61" s="603">
        <f>PI()/4*(C61^2-AE61^2)</f>
        <v>0</v>
      </c>
      <c r="AG61">
        <f>0.05194806*B63*DxSurvey!H80</f>
        <v>0</v>
      </c>
      <c r="AH61">
        <f>E61*(DxSurvey!F68-DxSurvey!F67)</f>
        <v>0</v>
      </c>
      <c r="AI61" s="604">
        <f>AH61-(AG61*AF61)</f>
        <v>0</v>
      </c>
    </row>
    <row r="62" spans="1:35" x14ac:dyDescent="0.25">
      <c r="A62" s="429" t="s">
        <v>82</v>
      </c>
      <c r="B62" s="161" t="s">
        <v>16</v>
      </c>
      <c r="C62" s="585"/>
      <c r="P62" s="158">
        <f>$J61*$K61+$N61*$O61</f>
        <v>0</v>
      </c>
      <c r="Q62" s="133">
        <f>IF($C61&gt;0,(1/((((($B$65/100)*$B61)+$B61)^2-$C61^2)/183.35))*(P62), 0)</f>
        <v>0</v>
      </c>
      <c r="AD62" s="581"/>
    </row>
    <row r="63" spans="1:35" x14ac:dyDescent="0.25">
      <c r="A63" s="598" t="s">
        <v>85</v>
      </c>
      <c r="B63" s="264"/>
      <c r="C63" s="581" t="s">
        <v>86</v>
      </c>
      <c r="AD63" s="581"/>
    </row>
    <row r="64" spans="1:35" x14ac:dyDescent="0.25">
      <c r="A64" s="598" t="s">
        <v>89</v>
      </c>
      <c r="B64" s="446" t="e">
        <f>IF(AND($E$9="y", E$8="Y"),VLOOKUP(MAX(D57:D68),DxSurvey!$B$16:$H$54,7,FALSE),IF(AND(E$9="y",E$7="y"),MAX(DxSurvey!H$66:H$68),MAX($D$57:D$61)))</f>
        <v>#N/A</v>
      </c>
      <c r="C64" s="581" t="s">
        <v>90</v>
      </c>
      <c r="D64">
        <f>MAX(D57:D61)</f>
        <v>0</v>
      </c>
      <c r="E64" t="s">
        <v>91</v>
      </c>
      <c r="AD64" s="581"/>
      <c r="AE64" s="602"/>
    </row>
    <row r="65" spans="1:30" x14ac:dyDescent="0.25">
      <c r="A65" s="598" t="s">
        <v>94</v>
      </c>
      <c r="B65" s="264">
        <v>5</v>
      </c>
      <c r="C65" s="581" t="s">
        <v>95</v>
      </c>
      <c r="AD65" s="581"/>
    </row>
    <row r="66" spans="1:30" x14ac:dyDescent="0.25">
      <c r="A66" s="598" t="s">
        <v>98</v>
      </c>
      <c r="B66" s="264">
        <v>0.22</v>
      </c>
      <c r="C66" s="581" t="s">
        <v>21</v>
      </c>
      <c r="AD66" s="581"/>
    </row>
    <row r="67" spans="1:30" x14ac:dyDescent="0.25">
      <c r="A67" s="598" t="s">
        <v>100</v>
      </c>
      <c r="B67" s="264">
        <v>0</v>
      </c>
      <c r="C67" s="581" t="s">
        <v>86</v>
      </c>
      <c r="AD67" s="581"/>
    </row>
    <row r="68" spans="1:30" ht="15.75" customHeight="1" thickBot="1" x14ac:dyDescent="0.3">
      <c r="A68" s="598" t="s">
        <v>102</v>
      </c>
      <c r="B68" s="264">
        <v>0</v>
      </c>
      <c r="C68" s="581" t="s">
        <v>86</v>
      </c>
      <c r="AD68" s="581"/>
    </row>
    <row r="69" spans="1:30" ht="15.75" customHeight="1" thickBot="1" x14ac:dyDescent="0.3">
      <c r="A69" s="584" t="s">
        <v>126</v>
      </c>
      <c r="B69" s="155"/>
      <c r="C69" s="577" t="s">
        <v>127</v>
      </c>
      <c r="D69" s="130" t="e">
        <f>DxSurvey!H69</f>
        <v>#N/A</v>
      </c>
      <c r="E69" s="129" t="s">
        <v>128</v>
      </c>
      <c r="F69" s="192">
        <f>D64-B69</f>
        <v>0</v>
      </c>
      <c r="G69" s="128" t="s">
        <v>107</v>
      </c>
      <c r="H69" s="589"/>
      <c r="I69" s="135" t="e">
        <f>B$9*B64</f>
        <v>#N/A</v>
      </c>
      <c r="J69" s="128" t="s">
        <v>108</v>
      </c>
      <c r="K69" s="131"/>
      <c r="L69" s="135" t="e">
        <f>B64*B63*0.05194806</f>
        <v>#N/A</v>
      </c>
      <c r="M69" s="576"/>
      <c r="N69" s="576"/>
      <c r="O69" s="576"/>
      <c r="P69" s="576"/>
      <c r="Q69" s="576"/>
      <c r="R69" s="576"/>
      <c r="S69" s="576"/>
      <c r="T69" s="576"/>
      <c r="U69" s="576"/>
      <c r="V69" s="576"/>
      <c r="W69" s="576"/>
      <c r="X69" s="576"/>
      <c r="Y69" s="576"/>
      <c r="Z69" s="576"/>
      <c r="AA69" s="576"/>
      <c r="AB69" s="576"/>
      <c r="AC69" s="576"/>
      <c r="AD69" s="577"/>
    </row>
  </sheetData>
  <conditionalFormatting sqref="V61 V59 V57 V46 V44 V42 V31 V29 V27 V16 V14 V12">
    <cfRule type="cellIs" dxfId="2458" priority="3" operator="lessThan">
      <formula>$K$2</formula>
    </cfRule>
  </conditionalFormatting>
  <conditionalFormatting sqref="Y12 Y14 Y16 Y27 Y29 Y31 Y42 Y44 Y46 Y57 Y59 Y61">
    <cfRule type="cellIs" dxfId="2457" priority="2" operator="lessThan">
      <formula>$K$3</formula>
    </cfRule>
  </conditionalFormatting>
  <conditionalFormatting sqref="AA61 AA59 AA57 AA46 AA44 AA42 AA31 AA29 AA27 AA16 AA14 AA12">
    <cfRule type="cellIs" dxfId="2456" priority="1" operator="lessThan">
      <formula>$K$5</formula>
    </cfRule>
  </conditionalFormatting>
  <dataValidations count="2">
    <dataValidation type="list" showInputMessage="1" showErrorMessage="1" sqref="G59 G61 G14 G16 G27 G29 G31 G42 G44 G46 G57 G12">
      <formula1>Casing_Collar</formula1>
    </dataValidation>
    <dataValidation type="list" showInputMessage="1" showErrorMessage="1" sqref="F61 F59 F57 F46 F44 F42 F14 F16 F27 F29 F31 F12">
      <formula1>Casing_Grade</formula1>
    </dataValidation>
  </dataValidations>
  <pageMargins left="0.7" right="0.7" top="0.75" bottom="0.75" header="0.3" footer="0.3"/>
  <pageSetup paperSize="3" scale="64" orientation="landscape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D155"/>
  <sheetViews>
    <sheetView zoomScaleNormal="100" workbookViewId="0">
      <selection activeCell="C3" sqref="C3:G3"/>
    </sheetView>
  </sheetViews>
  <sheetFormatPr defaultColWidth="9.140625" defaultRowHeight="15" x14ac:dyDescent="0.25"/>
  <cols>
    <col min="1" max="1" width="8.28515625" style="569" customWidth="1"/>
    <col min="2" max="2" width="8.5703125" style="569" customWidth="1"/>
    <col min="3" max="3" width="4.7109375" style="569" customWidth="1"/>
    <col min="4" max="4" width="8.5703125" style="569" customWidth="1"/>
    <col min="5" max="6" width="7.7109375" style="569" customWidth="1"/>
    <col min="7" max="7" width="9.7109375" style="569" customWidth="1"/>
    <col min="8" max="14" width="7.7109375" style="569" customWidth="1"/>
    <col min="15" max="15" width="8.5703125" style="569" customWidth="1"/>
    <col min="16" max="16" width="6.140625" style="569" customWidth="1"/>
    <col min="17" max="17" width="9.7109375" style="569" customWidth="1"/>
    <col min="18" max="18" width="7.7109375" style="569" customWidth="1"/>
    <col min="19" max="19" width="8.5703125" style="569" customWidth="1"/>
    <col min="20" max="20" width="6.7109375" style="569" customWidth="1"/>
    <col min="21" max="21" width="7.7109375" style="569" customWidth="1"/>
    <col min="22" max="22" width="4.7109375" style="569" customWidth="1"/>
    <col min="23" max="23" width="8.5703125" style="569" customWidth="1"/>
    <col min="24" max="24" width="6.7109375" style="569" customWidth="1"/>
    <col min="25" max="25" width="3.5703125" style="593" customWidth="1"/>
    <col min="26" max="26" width="9.7109375" style="593" customWidth="1"/>
    <col min="27" max="28" width="9.140625" style="596" customWidth="1"/>
    <col min="29" max="46" width="7.7109375" style="596" customWidth="1"/>
    <col min="47" max="47" width="12.85546875" style="596" customWidth="1"/>
    <col min="48" max="48" width="9.28515625" style="596" customWidth="1"/>
    <col min="49" max="77" width="9.140625" style="596" customWidth="1"/>
    <col min="78" max="79" width="9.140625" style="569" customWidth="1"/>
    <col min="80" max="16384" width="9.140625" style="569"/>
  </cols>
  <sheetData>
    <row r="1" spans="1:81" ht="8.25" customHeight="1" x14ac:dyDescent="0.25"/>
    <row r="2" spans="1:81" x14ac:dyDescent="0.25">
      <c r="B2" s="345" t="s">
        <v>321</v>
      </c>
      <c r="C2" s="778">
        <f>'SHL Section'!$C$2:$G$2</f>
        <v>0</v>
      </c>
      <c r="D2" s="735"/>
      <c r="E2" s="735"/>
      <c r="F2" s="735"/>
      <c r="G2" s="735"/>
      <c r="AA2" s="593"/>
      <c r="AB2" s="593"/>
      <c r="BZ2" s="596"/>
      <c r="CA2" s="596"/>
    </row>
    <row r="3" spans="1:81" x14ac:dyDescent="0.25">
      <c r="B3" s="345" t="s">
        <v>322</v>
      </c>
      <c r="C3" s="779">
        <f>'SHL Section'!$C$3:$G$3</f>
        <v>0</v>
      </c>
      <c r="D3" s="735"/>
      <c r="E3" s="735"/>
      <c r="F3" s="735"/>
      <c r="G3" s="735"/>
      <c r="BZ3" s="596"/>
      <c r="CA3" s="596"/>
    </row>
    <row r="4" spans="1:81" ht="7.5" customHeight="1" thickBot="1" x14ac:dyDescent="0.3">
      <c r="S4" s="593"/>
      <c r="T4" s="596"/>
      <c r="U4" s="596"/>
      <c r="V4" s="596"/>
      <c r="BZ4" s="596"/>
      <c r="CA4" s="596"/>
    </row>
    <row r="5" spans="1:81" ht="26.25" customHeight="1" x14ac:dyDescent="0.25">
      <c r="B5" s="414"/>
      <c r="C5" s="411"/>
      <c r="D5" s="413" t="s">
        <v>328</v>
      </c>
      <c r="E5" s="745" t="s">
        <v>329</v>
      </c>
      <c r="F5" s="741"/>
      <c r="G5" s="741"/>
      <c r="H5" s="746"/>
      <c r="I5" s="745" t="s">
        <v>330</v>
      </c>
      <c r="J5" s="741"/>
      <c r="K5" s="741"/>
      <c r="L5" s="746"/>
      <c r="M5" s="583"/>
      <c r="N5" s="583"/>
      <c r="O5" s="583"/>
      <c r="P5" s="583"/>
      <c r="Q5" s="583"/>
      <c r="R5" s="583"/>
      <c r="S5" s="410"/>
      <c r="T5" s="780" t="s">
        <v>498</v>
      </c>
      <c r="U5" s="741"/>
      <c r="V5" s="742"/>
      <c r="BZ5" s="596"/>
      <c r="CA5" s="596"/>
    </row>
    <row r="6" spans="1:81" ht="15" customHeight="1" x14ac:dyDescent="0.25">
      <c r="B6" s="738"/>
      <c r="C6" s="722"/>
      <c r="D6" s="409" t="s">
        <v>335</v>
      </c>
      <c r="E6" s="743" t="s">
        <v>336</v>
      </c>
      <c r="F6" s="682"/>
      <c r="G6" s="744" t="s">
        <v>337</v>
      </c>
      <c r="H6" s="683"/>
      <c r="I6" s="743" t="s">
        <v>338</v>
      </c>
      <c r="J6" s="682"/>
      <c r="K6" s="744" t="s">
        <v>339</v>
      </c>
      <c r="L6" s="683"/>
      <c r="M6" s="448" t="s">
        <v>340</v>
      </c>
      <c r="N6" s="448" t="s">
        <v>171</v>
      </c>
      <c r="O6" s="448" t="s">
        <v>341</v>
      </c>
      <c r="P6" s="448" t="s">
        <v>342</v>
      </c>
      <c r="Q6" s="448" t="s">
        <v>343</v>
      </c>
      <c r="R6" s="448" t="s">
        <v>344</v>
      </c>
      <c r="S6" s="448" t="s">
        <v>233</v>
      </c>
      <c r="T6" s="409" t="s">
        <v>345</v>
      </c>
      <c r="U6" s="448" t="s">
        <v>346</v>
      </c>
      <c r="V6" s="408" t="s">
        <v>347</v>
      </c>
      <c r="BZ6" s="596"/>
      <c r="CA6" s="596"/>
    </row>
    <row r="7" spans="1:81" x14ac:dyDescent="0.25">
      <c r="B7" s="736" t="s">
        <v>256</v>
      </c>
      <c r="C7" s="737"/>
      <c r="D7" s="442">
        <v>0</v>
      </c>
      <c r="E7" s="442"/>
      <c r="F7" s="439"/>
      <c r="G7" s="441"/>
      <c r="H7" s="439"/>
      <c r="I7" s="442">
        <f>'SHL Section'!$I$7</f>
        <v>0</v>
      </c>
      <c r="J7" s="439" t="str">
        <f>IF('SHL Section'!$J$7=1,"FNL","FSL")</f>
        <v>FSL</v>
      </c>
      <c r="K7" s="441">
        <f>'SHL Section'!$K$7</f>
        <v>0</v>
      </c>
      <c r="L7" s="440" t="str">
        <f>IF('SHL Section'!$L$7=1,"FEL","FWL")</f>
        <v>FWL</v>
      </c>
      <c r="M7" s="403" t="str">
        <f>'SHL Section'!$M$7</f>
        <v/>
      </c>
      <c r="N7" s="403">
        <f>'SHL Section'!$N$7</f>
        <v>0</v>
      </c>
      <c r="O7" s="439">
        <f>'SHL Section'!$O$7</f>
        <v>0</v>
      </c>
      <c r="P7" s="439" t="str">
        <f>IF('SHL Section'!$P$7=1,"N","S")</f>
        <v>S</v>
      </c>
      <c r="Q7" s="439">
        <f>'SHL Section'!$Q$7</f>
        <v>0</v>
      </c>
      <c r="R7" s="439" t="str">
        <f>IF('SHL Section'!$R$7=1,"E","W")</f>
        <v>W</v>
      </c>
      <c r="S7" s="439" t="str">
        <f>IF('SHL Section'!$S$7=1,"Salt Lake","Uintah")</f>
        <v>Uintah</v>
      </c>
      <c r="T7" s="438">
        <f>'SHL Section'!$T$7</f>
        <v>558548.96699999995</v>
      </c>
      <c r="U7" s="437">
        <f>'SHL Section'!$U$7</f>
        <v>4451004.9469999997</v>
      </c>
      <c r="V7" s="436">
        <f>'SHL Section'!$V$7</f>
        <v>12</v>
      </c>
      <c r="AD7" s="593"/>
      <c r="BZ7" s="596"/>
      <c r="CA7" s="596"/>
    </row>
    <row r="8" spans="1:81" x14ac:dyDescent="0.25">
      <c r="B8" s="674" t="s">
        <v>141</v>
      </c>
      <c r="C8" s="675"/>
      <c r="D8" s="435">
        <f>'SHL Section'!$D$8</f>
        <v>0</v>
      </c>
      <c r="E8" s="435" t="e">
        <f>'SHL Section'!$AI$8</f>
        <v>#N/A</v>
      </c>
      <c r="F8" s="387" t="e">
        <f>IF('SHL Section'!$AJ$8=1,"N","S")</f>
        <v>#N/A</v>
      </c>
      <c r="G8" s="434" t="e">
        <f>'SHL Section'!$AK$8</f>
        <v>#N/A</v>
      </c>
      <c r="H8" s="387" t="e">
        <f>IF('SHL Section'!$AL$8=1,"E","W")</f>
        <v>#N/A</v>
      </c>
      <c r="I8" s="435" t="str">
        <f>IF(ISNUMBER($AE$66),$AE$66,IF(ISNUMBER($AG$66),$AG$66,IF(ISNUMBER($AI$66),$AI$66,IF(ISNUMBER($AK$66),$AK$66,""))))</f>
        <v/>
      </c>
      <c r="J8" s="387" t="str">
        <f>IF(ISNUMBER($AE$66),$AE$61,IF(ISNUMBER($AG$66),$AG$61,IF(ISNUMBER($AI$66),$AI$61,IF(ISNUMBER($AK$66),$AK$61,""))))</f>
        <v/>
      </c>
      <c r="K8" s="434" t="str">
        <f>IF(ISNUMBER($AF$66),$AF$66,IF(ISNUMBER($AH$66),$AH$66,IF(ISNUMBER($AJ$66),$AJ$66,IF(ISNUMBER($AL$66),$AL$66,""))))</f>
        <v/>
      </c>
      <c r="L8" s="388" t="str">
        <f>IF(ISNUMBER($AF$66),$AF$61,IF(ISNUMBER($AH$66),$AH$61,IF(ISNUMBER($AJ$66),$AJ$61,IF(ISNUMBER($AL$66),$AL$61,""))))</f>
        <v/>
      </c>
      <c r="M8" s="387" t="str">
        <f>IF(OR(ISNUMBER($AE$58),ISNUMBER($AG$58),ISNUMBER($AI$58),ISNUMBER($AK$58)),VLOOKUP(MAX($AE$58:$AL$58),$AV$56:$AZ$59,1+IF(ISNUMBER($AE$58),$AE$46,IF(ISNUMBER($AG$58),$AG$46,IF(ISNUMBER($AI$58),$AI$46,IF(ISNUMBER($AK$58),$AK$46,"")))),FALSE),"")</f>
        <v/>
      </c>
      <c r="N8" s="387" t="e">
        <f>'SHL Section'!$N$8</f>
        <v>#VALUE!</v>
      </c>
      <c r="O8" s="387">
        <f>'SHL Section'!$O$8</f>
        <v>0</v>
      </c>
      <c r="P8" s="387" t="str">
        <f>'SHL Section'!$P$8</f>
        <v>S</v>
      </c>
      <c r="Q8" s="387">
        <f>'SHL Section'!$Q$8</f>
        <v>0</v>
      </c>
      <c r="R8" s="387" t="str">
        <f>'SHL Section'!$R$8</f>
        <v>W</v>
      </c>
      <c r="S8" s="387" t="str">
        <f>IF('SHL Section'!$S$8=1,"Salt Lake","Uintah")</f>
        <v>Uintah</v>
      </c>
      <c r="T8" s="385" t="e">
        <f>IF($H8=1,$T$7+$G8/3.28084,$T$7-$G8/3.28084)</f>
        <v>#N/A</v>
      </c>
      <c r="U8" s="434" t="e">
        <f>IF($F8=1,$U$7+$E8/3.28084,$U$7-$E8/3.28084)</f>
        <v>#N/A</v>
      </c>
      <c r="V8" s="433">
        <f>$V$7</f>
        <v>12</v>
      </c>
      <c r="AD8" s="593"/>
      <c r="BZ8" s="596"/>
      <c r="CA8" s="596"/>
    </row>
    <row r="9" spans="1:81" x14ac:dyDescent="0.25">
      <c r="B9" s="674" t="s">
        <v>144</v>
      </c>
      <c r="C9" s="675"/>
      <c r="D9" s="435">
        <f>'SHL Section'!$D$9</f>
        <v>0</v>
      </c>
      <c r="E9" s="435" t="e">
        <f>'SHL Section'!$AI$9</f>
        <v>#N/A</v>
      </c>
      <c r="F9" s="387" t="e">
        <f>IF('SHL Section'!$AJ$9=1,"N","S")</f>
        <v>#N/A</v>
      </c>
      <c r="G9" s="434" t="e">
        <f>'SHL Section'!$AK$9</f>
        <v>#N/A</v>
      </c>
      <c r="H9" s="387" t="e">
        <f>IF('SHL Section'!$AL$9=1,"E","W")</f>
        <v>#N/A</v>
      </c>
      <c r="I9" s="435" t="str">
        <f>IF(ISNUMBER($AE$77),$AE$77,IF(ISNUMBER($AG$77),$AG$77,IF(ISNUMBER($AI$77),$AI$77,IF(ISNUMBER($AK$77),$AK$77,""))))</f>
        <v/>
      </c>
      <c r="J9" s="387" t="str">
        <f>IF(ISNUMBER($AE$77),$AE$72,IF(ISNUMBER($AG$77),$AG$72,IF(ISNUMBER($AI$77),$AI$72,IF(ISNUMBER($AK$77),$AK$72,""))))</f>
        <v/>
      </c>
      <c r="K9" s="434" t="str">
        <f>IF(ISNUMBER($AF$77),$AF$77,IF(ISNUMBER($AH$77),$AH$77,IF(ISNUMBER($AJ$77),$AJ$77,IF(ISNUMBER($AL$77),$AL$77,""))))</f>
        <v/>
      </c>
      <c r="L9" s="388" t="str">
        <f>IF(ISNUMBER($AF$77),$AF$72,IF(ISNUMBER($AH$77),$AH$72,IF(ISNUMBER($AJ$77),$AJ$72,IF(ISNUMBER($AL$77),$AL$72,""))))</f>
        <v/>
      </c>
      <c r="M9" s="387" t="str">
        <f>IF(OR(ISNUMBER($AE$69),ISNUMBER($AG$69),ISNUMBER($AI$69),ISNUMBER($AK$69)),VLOOKUP(MAX($AE$69:$AL$69),$AV$56:$AZ$59,1+IF(ISNUMBER($AE$69),$AE$46,IF(ISNUMBER($AG$69),$AG$46,IF(ISNUMBER($AI$69),$AI$46,IF(ISNUMBER($AK$69),$AK$46,"")))),FALSE),"")</f>
        <v/>
      </c>
      <c r="N9" s="387" t="e">
        <f>'SHL Section'!$N$9</f>
        <v>#VALUE!</v>
      </c>
      <c r="O9" s="387">
        <f>'SHL Section'!$O$9</f>
        <v>0</v>
      </c>
      <c r="P9" s="387" t="str">
        <f>'SHL Section'!$P$9</f>
        <v>S</v>
      </c>
      <c r="Q9" s="387">
        <f>'SHL Section'!$Q$9</f>
        <v>0</v>
      </c>
      <c r="R9" s="387" t="str">
        <f>'SHL Section'!$R$9</f>
        <v>W</v>
      </c>
      <c r="S9" s="387" t="str">
        <f>IF('SHL Section'!$S$9=1,"Salt Lake","Uintah")</f>
        <v>Uintah</v>
      </c>
      <c r="T9" s="385" t="e">
        <f>IF($H9=1,$T$7+$G9/3.28084,$T$7-$G9/3.28084)</f>
        <v>#N/A</v>
      </c>
      <c r="U9" s="434" t="e">
        <f>IF($F9=1,$U$7+$E9/3.28084,$U$7-$E9/3.28084)</f>
        <v>#N/A</v>
      </c>
      <c r="V9" s="433">
        <f>$V$7</f>
        <v>12</v>
      </c>
      <c r="AD9" s="593"/>
      <c r="BZ9" s="596"/>
      <c r="CA9" s="596"/>
    </row>
    <row r="10" spans="1:81" ht="15.75" customHeight="1" thickBot="1" x14ac:dyDescent="0.3">
      <c r="B10" s="676" t="s">
        <v>149</v>
      </c>
      <c r="C10" s="677"/>
      <c r="D10" s="432">
        <f>'SHL Section'!$D$10</f>
        <v>0</v>
      </c>
      <c r="E10" s="432" t="e">
        <f>'SHL Section'!$AI$10</f>
        <v>#N/A</v>
      </c>
      <c r="F10" s="379" t="e">
        <f>IF('SHL Section'!$AJ$10=1,"N","S")</f>
        <v>#N/A</v>
      </c>
      <c r="G10" s="431" t="e">
        <f>'SHL Section'!$AK$10</f>
        <v>#N/A</v>
      </c>
      <c r="H10" s="379" t="e">
        <f>IF('SHL Section'!$AL$10=1,"E","W")</f>
        <v>#N/A</v>
      </c>
      <c r="I10" s="432" t="str">
        <f>IF(ISNUMBER($AE$88),$AE$88,IF(ISNUMBER($AG$88),$AG$88,IF(ISNUMBER($AI$88),$AI$88,IF(ISNUMBER($AK$88),$AK$88,""))))</f>
        <v/>
      </c>
      <c r="J10" s="379" t="str">
        <f>IF(ISNUMBER($AE$88),$AE$83,IF(ISNUMBER($AG$88),$AG$83,IF(ISNUMBER($AI$88),$AI$83,IF(ISNUMBER($AK$88),$AK$83,""))))</f>
        <v/>
      </c>
      <c r="K10" s="431" t="str">
        <f>IF(ISNUMBER($AF$88),$AF$88,IF(ISNUMBER($AH$88),$AH$88,IF(ISNUMBER($AJ$88),$AJ$88,IF(ISNUMBER($AL$88),$AL$88,""))))</f>
        <v/>
      </c>
      <c r="L10" s="380" t="str">
        <f>IF(ISNUMBER($AF$88),$AF$83,IF(ISNUMBER($AH$88),$AH$83,IF(ISNUMBER($AJ$88),$AJ$83,IF(ISNUMBER($AL$88),$AL$83,""))))</f>
        <v/>
      </c>
      <c r="M10" s="379" t="str">
        <f>IF(OR(ISNUMBER($AE$80),ISNUMBER($AG$80),ISNUMBER($AI$80),ISNUMBER($AK$80)),VLOOKUP(MAX($AE$80:$AL$80),$AV$56:$AZ$59,1+IF(ISNUMBER($AE$80),$AE$46,IF(ISNUMBER($AG$80),$AG$46,IF(ISNUMBER($AI$80),$AI$46,IF(ISNUMBER($AK$80),$AK$46,"")))),FALSE),"")</f>
        <v/>
      </c>
      <c r="N10" s="379" t="e">
        <f>'SHL Section'!$N$10</f>
        <v>#VALUE!</v>
      </c>
      <c r="O10" s="379">
        <f>'SHL Section'!$O$10</f>
        <v>0</v>
      </c>
      <c r="P10" s="379" t="str">
        <f>'SHL Section'!$P$10</f>
        <v>S</v>
      </c>
      <c r="Q10" s="379">
        <f>'SHL Section'!$Q$10</f>
        <v>0</v>
      </c>
      <c r="R10" s="379" t="str">
        <f>'SHL Section'!$R$10</f>
        <v>W</v>
      </c>
      <c r="S10" s="379" t="str">
        <f>IF('SHL Section'!$S$10=1,"Salt Lake","Uintah")</f>
        <v>Uintah</v>
      </c>
      <c r="T10" s="377" t="e">
        <f>IF($H10=1,$T$7+$G10/3.28084,$T$7-$G10/3.28084)</f>
        <v>#N/A</v>
      </c>
      <c r="U10" s="431" t="e">
        <f>IF($F10=1,$U$7+$E10/3.28084,$U$7-$E10/3.28084)</f>
        <v>#N/A</v>
      </c>
      <c r="V10" s="430">
        <f>$V$7</f>
        <v>12</v>
      </c>
      <c r="AD10" s="593"/>
      <c r="BZ10" s="596"/>
      <c r="CA10" s="596"/>
    </row>
    <row r="11" spans="1:81" ht="15.75" customHeight="1" thickBot="1" x14ac:dyDescent="0.3">
      <c r="G11" s="373"/>
      <c r="H11" s="358"/>
      <c r="I11" s="358"/>
      <c r="J11" s="358"/>
      <c r="K11" s="358"/>
      <c r="L11" s="358"/>
      <c r="M11" s="551" t="s">
        <v>349</v>
      </c>
      <c r="N11" s="552" t="e">
        <f>L38</f>
        <v>#VALUE!</v>
      </c>
      <c r="O11" s="552">
        <f>O10</f>
        <v>0</v>
      </c>
      <c r="P11" s="552" t="str">
        <f>P10</f>
        <v>S</v>
      </c>
      <c r="Q11" s="552">
        <f>Q10</f>
        <v>0</v>
      </c>
      <c r="R11" s="552" t="str">
        <f>R10</f>
        <v>W</v>
      </c>
      <c r="S11" s="552" t="str">
        <f>S10</f>
        <v>Uintah</v>
      </c>
      <c r="T11" s="358"/>
      <c r="U11" s="358"/>
      <c r="V11" s="358"/>
      <c r="W11" s="358"/>
      <c r="AD11" s="593"/>
      <c r="AE11" s="417"/>
      <c r="AF11" s="358"/>
      <c r="BZ11" s="596"/>
      <c r="CA11" s="596"/>
      <c r="CB11" s="596"/>
      <c r="CC11" s="596"/>
    </row>
    <row r="12" spans="1:81" x14ac:dyDescent="0.25">
      <c r="B12" s="372" t="s">
        <v>350</v>
      </c>
      <c r="C12" s="371"/>
      <c r="D12" s="371"/>
      <c r="E12" s="371"/>
      <c r="F12" s="371"/>
      <c r="G12" s="371"/>
      <c r="H12" s="371"/>
      <c r="I12" s="371"/>
      <c r="J12" s="371"/>
      <c r="K12" s="371"/>
      <c r="L12" s="358"/>
      <c r="M12" s="358"/>
      <c r="N12" s="358"/>
      <c r="O12" s="358"/>
      <c r="P12" s="358"/>
      <c r="Q12" s="358"/>
      <c r="R12" s="358"/>
      <c r="S12" s="358"/>
      <c r="T12" s="358"/>
      <c r="U12" s="358"/>
      <c r="AA12" s="358"/>
      <c r="AB12" s="358"/>
      <c r="AC12" s="358"/>
      <c r="AD12" s="593"/>
      <c r="AE12" s="358"/>
      <c r="AF12" s="358"/>
      <c r="AG12" s="358"/>
      <c r="AH12" s="356"/>
      <c r="AI12" s="358"/>
      <c r="AJ12" s="358"/>
      <c r="AL12" s="358"/>
      <c r="AM12" s="358"/>
      <c r="BZ12" s="596"/>
      <c r="CA12" s="596"/>
    </row>
    <row r="13" spans="1:81" x14ac:dyDescent="0.25">
      <c r="B13" s="367" t="s">
        <v>356</v>
      </c>
      <c r="C13" s="366"/>
      <c r="D13" s="366"/>
      <c r="E13" s="366"/>
      <c r="F13" s="366"/>
      <c r="G13" s="366"/>
      <c r="H13" s="366"/>
      <c r="I13" s="366"/>
      <c r="J13" s="366"/>
      <c r="K13" s="366"/>
      <c r="L13" s="358"/>
      <c r="M13" s="358"/>
      <c r="N13" s="358"/>
      <c r="O13" s="358"/>
      <c r="P13" s="358"/>
      <c r="Q13" s="358"/>
      <c r="R13" s="358"/>
      <c r="S13" s="358"/>
      <c r="T13" s="358"/>
      <c r="U13" s="358"/>
      <c r="V13" s="358"/>
      <c r="W13" s="358"/>
      <c r="X13" s="358"/>
      <c r="Y13" s="358"/>
      <c r="Z13" s="358"/>
      <c r="AA13" s="358"/>
      <c r="AB13" s="358"/>
      <c r="AC13" s="358"/>
      <c r="AD13" s="593"/>
      <c r="AE13" s="358"/>
      <c r="AF13" s="358"/>
      <c r="AG13" s="358"/>
      <c r="AH13" s="356"/>
      <c r="AI13" s="358"/>
      <c r="AJ13" s="358"/>
      <c r="AK13" s="358"/>
      <c r="AL13" s="358"/>
      <c r="AM13" s="358"/>
      <c r="BZ13" s="596"/>
      <c r="CA13" s="596"/>
    </row>
    <row r="14" spans="1:81" s="339" customFormat="1" x14ac:dyDescent="0.25">
      <c r="N14" s="358"/>
      <c r="O14" s="358"/>
      <c r="P14" s="358"/>
      <c r="Q14" s="358"/>
      <c r="R14" s="358"/>
      <c r="S14" s="358"/>
      <c r="T14" s="358"/>
      <c r="U14" s="358"/>
      <c r="V14" s="358"/>
      <c r="W14" s="358"/>
      <c r="X14" s="358"/>
      <c r="Y14" s="358"/>
      <c r="Z14" s="358"/>
      <c r="AA14" s="593"/>
      <c r="AB14" s="593"/>
      <c r="AC14" s="596"/>
      <c r="AD14" s="593"/>
      <c r="AE14" s="447"/>
      <c r="AF14" s="596"/>
      <c r="AG14" s="596"/>
      <c r="AH14" s="596"/>
      <c r="AI14" s="596"/>
      <c r="AJ14" s="596"/>
      <c r="AK14" s="596"/>
      <c r="AL14" s="596"/>
      <c r="AM14" s="596"/>
      <c r="AN14" s="596"/>
      <c r="AO14" s="596"/>
      <c r="AP14" s="596"/>
      <c r="AQ14" s="596"/>
      <c r="AR14" s="596"/>
      <c r="AS14" s="596"/>
      <c r="AT14" s="596"/>
      <c r="AU14" s="596"/>
      <c r="AV14" s="596"/>
      <c r="AW14" s="596"/>
      <c r="AX14" s="596"/>
      <c r="AY14" s="596"/>
      <c r="AZ14" s="596"/>
      <c r="BA14" s="596"/>
      <c r="BB14" s="596"/>
      <c r="BC14" s="596"/>
      <c r="BD14" s="596"/>
      <c r="BE14" s="596"/>
      <c r="BF14" s="596"/>
      <c r="BG14" s="596"/>
      <c r="BH14" s="596"/>
      <c r="BI14" s="596"/>
      <c r="BJ14" s="596"/>
      <c r="BK14" s="596"/>
      <c r="BL14" s="596"/>
      <c r="BM14" s="596"/>
      <c r="BN14" s="596"/>
      <c r="BO14" s="596"/>
      <c r="BP14" s="596"/>
      <c r="BQ14" s="596"/>
      <c r="BR14" s="596"/>
      <c r="BS14" s="596"/>
      <c r="BT14" s="596"/>
      <c r="BU14" s="596"/>
      <c r="BV14" s="596"/>
      <c r="BW14" s="596"/>
      <c r="BX14" s="596"/>
      <c r="BY14" s="596"/>
      <c r="BZ14" s="596"/>
      <c r="CA14" s="596"/>
    </row>
    <row r="15" spans="1:81" s="339" customFormat="1" x14ac:dyDescent="0.25">
      <c r="N15" s="358"/>
      <c r="O15" s="358"/>
      <c r="P15" s="358"/>
      <c r="Q15" s="358"/>
      <c r="R15" s="358"/>
      <c r="S15" s="358"/>
      <c r="T15" s="358"/>
      <c r="U15" s="358"/>
      <c r="V15" s="358"/>
      <c r="W15" s="358"/>
      <c r="X15" s="358"/>
      <c r="Y15" s="358"/>
      <c r="Z15" s="358"/>
      <c r="AA15" s="593"/>
      <c r="AB15" s="593"/>
      <c r="AC15" s="340"/>
      <c r="AD15" s="340"/>
      <c r="AE15" s="340"/>
      <c r="AF15" s="340"/>
      <c r="AG15" s="340"/>
      <c r="AH15" s="340"/>
      <c r="AI15" s="340"/>
      <c r="AJ15" s="340"/>
      <c r="AK15" s="340"/>
      <c r="AL15" s="340"/>
      <c r="AM15" s="340"/>
      <c r="AN15" s="340"/>
      <c r="AO15" s="340"/>
      <c r="AP15" s="340"/>
      <c r="AQ15" s="340"/>
      <c r="AR15" s="340"/>
      <c r="AS15" s="340"/>
      <c r="AT15" s="340"/>
      <c r="AU15" s="340"/>
      <c r="AV15" s="340"/>
      <c r="AW15" s="340"/>
      <c r="AX15" s="340"/>
      <c r="AY15" s="340"/>
      <c r="AZ15" s="340"/>
      <c r="BA15" s="340"/>
      <c r="BB15" s="340"/>
      <c r="BC15" s="340"/>
      <c r="BD15" s="340"/>
      <c r="BE15" s="340"/>
      <c r="BF15" s="340"/>
      <c r="BG15" s="340"/>
      <c r="BH15" s="340"/>
      <c r="BI15" s="340"/>
      <c r="BJ15" s="340"/>
      <c r="BK15" s="340"/>
      <c r="BL15" s="340"/>
      <c r="BM15" s="340"/>
      <c r="BN15" s="340"/>
      <c r="BO15" s="340"/>
      <c r="BP15" s="340"/>
      <c r="BQ15" s="340"/>
      <c r="BR15" s="340"/>
      <c r="BS15" s="340"/>
      <c r="BT15" s="340"/>
      <c r="BU15" s="340"/>
      <c r="BV15" s="340"/>
      <c r="BW15" s="340"/>
      <c r="BX15" s="340"/>
      <c r="BY15" s="340"/>
      <c r="BZ15" s="340"/>
      <c r="CA15" s="340"/>
    </row>
    <row r="16" spans="1:81" x14ac:dyDescent="0.25">
      <c r="A16" s="339"/>
      <c r="B16" s="339"/>
      <c r="C16" s="339"/>
      <c r="D16" s="339"/>
      <c r="E16" s="339"/>
      <c r="F16" s="339"/>
      <c r="G16" s="339"/>
      <c r="H16" s="339"/>
      <c r="I16" s="339"/>
      <c r="J16" s="339"/>
      <c r="K16" s="339"/>
      <c r="L16" s="358"/>
      <c r="M16" s="358"/>
      <c r="AA16" s="593"/>
      <c r="AB16" s="593"/>
      <c r="AC16" s="340"/>
      <c r="AD16" s="340"/>
      <c r="AE16" s="340"/>
      <c r="AF16" s="340"/>
      <c r="AG16" s="340"/>
      <c r="AH16" s="340"/>
      <c r="AI16" s="340"/>
      <c r="AJ16" s="340"/>
      <c r="AK16" s="340"/>
      <c r="AL16" s="340"/>
      <c r="AM16" s="340"/>
      <c r="AN16" s="340"/>
      <c r="AO16" s="340"/>
      <c r="AP16" s="340"/>
      <c r="AQ16" s="340"/>
      <c r="AR16" s="340"/>
      <c r="AS16" s="340"/>
      <c r="AT16" s="340"/>
      <c r="AU16" s="340"/>
      <c r="AV16" s="340"/>
      <c r="AW16" s="340"/>
      <c r="AX16" s="340"/>
      <c r="AY16" s="340"/>
      <c r="AZ16" s="340"/>
      <c r="BA16" s="340"/>
      <c r="BB16" s="340"/>
      <c r="BC16" s="340"/>
      <c r="BD16" s="340"/>
      <c r="BE16" s="340"/>
      <c r="BF16" s="340"/>
      <c r="BG16" s="340"/>
      <c r="BH16" s="340"/>
      <c r="BI16" s="340"/>
      <c r="BJ16" s="340"/>
      <c r="BK16" s="340"/>
      <c r="BL16" s="340"/>
      <c r="BM16" s="340"/>
      <c r="BN16" s="340"/>
      <c r="BO16" s="340"/>
      <c r="BP16" s="340"/>
      <c r="BQ16" s="340"/>
      <c r="BR16" s="340"/>
      <c r="BS16" s="340"/>
      <c r="BT16" s="340"/>
      <c r="BU16" s="340"/>
      <c r="BV16" s="340"/>
      <c r="BW16" s="340"/>
      <c r="BX16" s="340"/>
      <c r="BY16" s="340"/>
      <c r="BZ16" s="340"/>
      <c r="CA16" s="340"/>
      <c r="CB16" s="339"/>
    </row>
    <row r="17" spans="1:82" ht="12" customHeight="1" x14ac:dyDescent="0.25">
      <c r="B17" s="573"/>
      <c r="E17" s="417" t="e">
        <f>E18</f>
        <v>#VALUE!</v>
      </c>
      <c r="F17" s="446"/>
      <c r="G17" s="446"/>
      <c r="H17" s="446"/>
      <c r="I17" s="446"/>
      <c r="J17" s="446"/>
      <c r="K17" s="417" t="e">
        <f>K18</f>
        <v>#VALUE!</v>
      </c>
      <c r="L17" s="446"/>
      <c r="M17" s="446"/>
      <c r="N17" s="446"/>
      <c r="O17" s="417" t="e">
        <f>O18</f>
        <v>#VALUE!</v>
      </c>
      <c r="P17" s="446"/>
      <c r="Q17" s="446"/>
      <c r="R17" s="446"/>
      <c r="S17" s="446"/>
      <c r="T17" s="446"/>
      <c r="U17" s="417" t="e">
        <f>U18</f>
        <v>#VALUE!</v>
      </c>
      <c r="AA17" s="593"/>
      <c r="AB17" s="593"/>
      <c r="AC17" s="767" t="s">
        <v>367</v>
      </c>
      <c r="AD17" s="735"/>
      <c r="AE17" s="735"/>
      <c r="AF17" s="735"/>
      <c r="AG17" s="735"/>
      <c r="AH17" s="735"/>
      <c r="AI17" s="735"/>
      <c r="AJ17" s="735"/>
      <c r="AK17" s="735"/>
      <c r="AL17" s="735"/>
      <c r="AM17" s="735"/>
      <c r="AN17" s="735"/>
      <c r="AO17" s="735"/>
      <c r="AP17" s="735"/>
      <c r="AQ17" s="735"/>
      <c r="AR17" s="735"/>
      <c r="AS17" s="735"/>
      <c r="AT17" s="735"/>
      <c r="AU17" s="333" t="s">
        <v>368</v>
      </c>
      <c r="AV17" s="761" t="s">
        <v>369</v>
      </c>
      <c r="AW17" s="757"/>
      <c r="AX17" s="761" t="s">
        <v>370</v>
      </c>
      <c r="AY17" s="757"/>
      <c r="AZ17" s="761" t="s">
        <v>371</v>
      </c>
      <c r="BA17" s="757"/>
      <c r="BB17" s="761" t="s">
        <v>372</v>
      </c>
      <c r="BC17" s="757"/>
      <c r="BD17" s="761" t="s">
        <v>373</v>
      </c>
      <c r="BE17" s="757"/>
      <c r="BF17" s="761" t="s">
        <v>374</v>
      </c>
      <c r="BG17" s="757"/>
      <c r="BH17" s="761" t="s">
        <v>375</v>
      </c>
      <c r="BI17" s="757"/>
      <c r="BJ17" s="761" t="s">
        <v>376</v>
      </c>
      <c r="BK17" s="757"/>
      <c r="BL17" s="761" t="s">
        <v>377</v>
      </c>
      <c r="BM17" s="757"/>
      <c r="BN17" s="761" t="s">
        <v>378</v>
      </c>
      <c r="BO17" s="757"/>
      <c r="BP17" s="761" t="s">
        <v>379</v>
      </c>
      <c r="BQ17" s="757"/>
      <c r="BR17" s="761" t="s">
        <v>380</v>
      </c>
      <c r="BS17" s="757"/>
      <c r="BT17" s="761" t="s">
        <v>381</v>
      </c>
      <c r="BU17" s="757"/>
      <c r="BV17" s="761" t="s">
        <v>382</v>
      </c>
      <c r="BW17" s="757"/>
      <c r="BX17" s="761" t="s">
        <v>383</v>
      </c>
      <c r="BY17" s="757"/>
      <c r="BZ17" s="761" t="s">
        <v>384</v>
      </c>
      <c r="CA17" s="757"/>
    </row>
    <row r="18" spans="1:82" ht="12" customHeight="1" x14ac:dyDescent="0.25">
      <c r="B18" s="345"/>
      <c r="C18" s="344"/>
      <c r="D18" s="426" t="s">
        <v>385</v>
      </c>
      <c r="E18" s="299" t="e">
        <f>IF(NOT(ISBLANK(F18)),F18,DGET('Grid Numbers'!$A$2:$L$4952,'Grid Numbers'!$H$2,$L$66:$R$67))</f>
        <v>#VALUE!</v>
      </c>
      <c r="F18" s="486"/>
      <c r="H18" s="297"/>
      <c r="I18" s="297"/>
      <c r="J18" s="426" t="s">
        <v>385</v>
      </c>
      <c r="K18" s="301" t="e">
        <f>IF(NOT(ISBLANK(L18)),L18,DGET('Grid Numbers'!$A$2:$L$4952,'Grid Numbers'!$H$2,$L$68:$R$69))</f>
        <v>#VALUE!</v>
      </c>
      <c r="L18" s="486"/>
      <c r="N18" s="426" t="s">
        <v>385</v>
      </c>
      <c r="O18" s="299" t="e">
        <f>IF(NOT(ISBLANK(P18)),P18,DGET('Grid Numbers'!$A$2:$L$4952,'Grid Numbers'!$H$2,$L$70:$R$71))</f>
        <v>#VALUE!</v>
      </c>
      <c r="P18" s="486"/>
      <c r="Q18" s="297"/>
      <c r="R18" s="297"/>
      <c r="T18" s="426" t="s">
        <v>385</v>
      </c>
      <c r="U18" s="299" t="e">
        <f>IF(NOT(ISBLANK(V18)),V18,DGET('Grid Numbers'!$A$2:$L$4952,'Grid Numbers'!$H$2,$L$72:$R$73))</f>
        <v>#VALUE!</v>
      </c>
      <c r="V18" s="486"/>
      <c r="AA18" s="593"/>
      <c r="AB18" s="593"/>
      <c r="AC18" s="298"/>
      <c r="AD18" s="340"/>
      <c r="AE18" s="761" t="s">
        <v>386</v>
      </c>
      <c r="AF18" s="757"/>
      <c r="AG18" s="761" t="s">
        <v>387</v>
      </c>
      <c r="AH18" s="757"/>
      <c r="AI18" s="761" t="s">
        <v>388</v>
      </c>
      <c r="AJ18" s="757"/>
      <c r="AK18" s="761" t="s">
        <v>389</v>
      </c>
      <c r="AL18" s="757"/>
      <c r="AM18" s="761" t="s">
        <v>390</v>
      </c>
      <c r="AN18" s="757"/>
      <c r="AO18" s="761" t="s">
        <v>391</v>
      </c>
      <c r="AP18" s="757"/>
      <c r="AQ18" s="761" t="s">
        <v>392</v>
      </c>
      <c r="AR18" s="757"/>
      <c r="AS18" s="761" t="s">
        <v>393</v>
      </c>
      <c r="AT18" s="757"/>
      <c r="AU18" s="333" t="s">
        <v>394</v>
      </c>
      <c r="AV18" s="464" t="s">
        <v>336</v>
      </c>
      <c r="AW18" s="465" t="s">
        <v>337</v>
      </c>
      <c r="AX18" s="464" t="s">
        <v>336</v>
      </c>
      <c r="AY18" s="465" t="s">
        <v>337</v>
      </c>
      <c r="AZ18" s="464" t="s">
        <v>336</v>
      </c>
      <c r="BA18" s="465" t="s">
        <v>337</v>
      </c>
      <c r="BB18" s="464" t="s">
        <v>336</v>
      </c>
      <c r="BC18" s="465" t="s">
        <v>337</v>
      </c>
      <c r="BD18" s="464" t="s">
        <v>336</v>
      </c>
      <c r="BE18" s="465" t="s">
        <v>337</v>
      </c>
      <c r="BF18" s="464" t="s">
        <v>336</v>
      </c>
      <c r="BG18" s="465" t="s">
        <v>337</v>
      </c>
      <c r="BH18" s="464" t="s">
        <v>336</v>
      </c>
      <c r="BI18" s="465" t="s">
        <v>337</v>
      </c>
      <c r="BJ18" s="464" t="s">
        <v>336</v>
      </c>
      <c r="BK18" s="465" t="s">
        <v>337</v>
      </c>
      <c r="BL18" s="464" t="s">
        <v>336</v>
      </c>
      <c r="BM18" s="465" t="s">
        <v>337</v>
      </c>
      <c r="BN18" s="464" t="s">
        <v>336</v>
      </c>
      <c r="BO18" s="465" t="s">
        <v>337</v>
      </c>
      <c r="BP18" s="464" t="s">
        <v>336</v>
      </c>
      <c r="BQ18" s="465" t="s">
        <v>337</v>
      </c>
      <c r="BR18" s="464" t="s">
        <v>336</v>
      </c>
      <c r="BS18" s="465" t="s">
        <v>337</v>
      </c>
      <c r="BT18" s="464" t="s">
        <v>336</v>
      </c>
      <c r="BU18" s="465" t="s">
        <v>337</v>
      </c>
      <c r="BV18" s="464" t="s">
        <v>336</v>
      </c>
      <c r="BW18" s="465" t="s">
        <v>337</v>
      </c>
      <c r="BX18" s="464" t="s">
        <v>336</v>
      </c>
      <c r="BY18" s="465" t="s">
        <v>337</v>
      </c>
      <c r="BZ18" s="464" t="s">
        <v>336</v>
      </c>
      <c r="CA18" s="465" t="s">
        <v>337</v>
      </c>
    </row>
    <row r="19" spans="1:82" ht="12" customHeight="1" x14ac:dyDescent="0.25">
      <c r="B19" s="345"/>
      <c r="C19" s="344"/>
      <c r="D19" s="426" t="s">
        <v>395</v>
      </c>
      <c r="E19" s="293" t="e">
        <f>IF(NOT(ISBLANK(F19)),F19,DGET('Grid Numbers'!$A$2:$L$4952,'Grid Numbers'!$I$2,$L$66:$R$67))</f>
        <v>#VALUE!</v>
      </c>
      <c r="F19" s="486"/>
      <c r="J19" s="426" t="s">
        <v>395</v>
      </c>
      <c r="K19" s="294" t="e">
        <f>IF(NOT(ISBLANK(L19)),L19,DGET('Grid Numbers'!$A$2:$L$4952,'Grid Numbers'!$I$2,$L$68:$R$69))</f>
        <v>#VALUE!</v>
      </c>
      <c r="L19" s="486"/>
      <c r="N19" s="426" t="s">
        <v>395</v>
      </c>
      <c r="O19" s="293" t="e">
        <f>IF(NOT(ISBLANK(P19)),P19,DGET('Grid Numbers'!$A$2:$L$4952,'Grid Numbers'!$I$2,$L$70:$R$71))</f>
        <v>#VALUE!</v>
      </c>
      <c r="P19" s="486"/>
      <c r="T19" s="426" t="s">
        <v>395</v>
      </c>
      <c r="U19" s="293" t="e">
        <f>IF(NOT(ISBLANK(V19)),V19,DGET('Grid Numbers'!$A$2:$L$4952,'Grid Numbers'!$I$2,$L$72:$R$73))</f>
        <v>#VALUE!</v>
      </c>
      <c r="V19" s="486"/>
      <c r="AA19" s="593"/>
      <c r="AB19" s="593"/>
      <c r="AC19" s="466" t="s">
        <v>396</v>
      </c>
      <c r="AD19" s="467"/>
      <c r="AE19" s="588" t="s">
        <v>336</v>
      </c>
      <c r="AF19" s="588" t="s">
        <v>337</v>
      </c>
      <c r="AG19" s="588" t="s">
        <v>336</v>
      </c>
      <c r="AH19" s="588" t="s">
        <v>337</v>
      </c>
      <c r="AI19" s="588" t="s">
        <v>336</v>
      </c>
      <c r="AJ19" s="588" t="s">
        <v>337</v>
      </c>
      <c r="AK19" s="588" t="s">
        <v>336</v>
      </c>
      <c r="AL19" s="588" t="s">
        <v>337</v>
      </c>
      <c r="AM19" s="588" t="s">
        <v>336</v>
      </c>
      <c r="AN19" s="588" t="s">
        <v>337</v>
      </c>
      <c r="AO19" s="588" t="s">
        <v>336</v>
      </c>
      <c r="AP19" s="588" t="s">
        <v>337</v>
      </c>
      <c r="AQ19" s="588" t="s">
        <v>336</v>
      </c>
      <c r="AR19" s="588" t="s">
        <v>337</v>
      </c>
      <c r="AS19" s="588" t="s">
        <v>336</v>
      </c>
      <c r="AT19" s="588" t="s">
        <v>337</v>
      </c>
      <c r="AU19" s="333"/>
      <c r="AV19" s="647" t="e">
        <f>IF(AND($U$17&gt;0,$O$17&gt;0),$U$17*SIN(RADIANS(90-$U$23)),IF(AND($U$17=0,$O$17&gt;0),$O$17/2*SIN(RADIANS(90-$O$23)),IF(AND($U$17&gt;0,$O$17=0),$U$17/2*SIN(RADIANS(90-$U$23)),IF(AND($U$17=0,$O$17=0,$K$17=0),$E$17/4*SIN(RADIANS(90-$E$23)),$K$17/4*SIN(RADIANS(90-$K$23))))))</f>
        <v>#VALUE!</v>
      </c>
      <c r="AW19" s="648" t="e">
        <f>IF(AND($U$17&gt;0,$O$17&gt;0),$U$17*COS(RADIANS(90-$U$23)),IF(AND($U$17=0,$O$17&gt;0),$O$17/2*COS(RADIANS(90-$O$23)),IF(AND($U$17&gt;0,$O$17=0),$U$17/2*COS(RADIANS(90-$U$23)),IF(AND($U$17=0,$O$17=0,$K$17=0),$E$17/4*COS(RADIANS(90-$E$23)),$K$17/4*COS(RADIANS(90-$K$23))))))</f>
        <v>#VALUE!</v>
      </c>
      <c r="AX19" s="647" t="e">
        <f>IF(AND($U$17&gt;0,$O$17&gt;0),$O$17*SIN(RADIANS(90-$O$23)),IF(AND($U$17=0,$O$17&gt;0),$O$17/2*SIN(RADIANS(90-$O$23)),IF(AND($U$17&gt;0,$O$17=0),$U$17/2*SIN(RADIANS(90-$U$23)),IF(AND($U$17=0,$O$17=0,$K$17=0),$E$17/4*SIN(RADIANS(90-$E$23)),$K$17/4*SIN(RADIANS(90-$K$23))))))</f>
        <v>#VALUE!</v>
      </c>
      <c r="AY19" s="648" t="e">
        <f>IF(AND($U$17&gt;0,$O$17&gt;0),$O$17*COS(RADIANS(90-$O$23)),IF(AND($U$17=0,$O$17&gt;0),$O$17/2*COS(RADIANS(90-$O$23)),IF(AND($U$17&gt;0,$O$17=0),$U$17/2*COS(RADIANS(90-$U$23)),IF(AND($U$17=0,$O$17=0,$K$17=0),$E$17/4*COS(RADIANS(90-$E$23)),$K$17/4*COS(RADIANS(90-$K$23))))))</f>
        <v>#VALUE!</v>
      </c>
      <c r="AZ19" s="647" t="e">
        <f>IF(AND($K$17&gt;0,$E$17&gt;0,OR($O$17&gt;0,$U$17&gt;0)),$K$17*SIN(RADIANS(90-$K$23)),IF(AND($K$17=0,$E$17&gt;0,OR($O$17&gt;0,$U$17&gt;0)),$E$17/2*SIN(RADIANS(90-$E$23)),IF(AND($K$17&gt;0,$E$17=0,OR($O$17&gt;0,$U$17&gt;0)),$K$17/2*SIN(RADIANS(90-$K$23)),IF(AND($K$17&gt;0,$O$17=0,$U$17=0),$K$17/4*SIN(RADIANS(90-$K$23)),$E$17/4*SIN(RADIANS(90-$E$23))))))</f>
        <v>#VALUE!</v>
      </c>
      <c r="BA19" s="648" t="e">
        <f>IF(AND($K$17&gt;0,$E$17&gt;0,OR($O$17&gt;0,$U$17&gt;0)),$K$17*COS(RADIANS(90-$K$23)),IF(AND($K$17=0,$E$17&gt;0,OR($O$17&gt;0,$U$17&gt;0)),$E$17/2*COS(RADIANS(90-$E$23)),IF(AND($K$17&gt;0,$E$17=0,OR($O$17&gt;0,$U$17&gt;0)),$K$17/2*COS(RADIANS(90-$K$23)),IF(AND($K$17&gt;0,$O$17=0,$U$17=0),$K$17/4*COS(RADIANS(90-$K$23)),$E$17/4*COS(RADIANS(90-$E$23))))))</f>
        <v>#VALUE!</v>
      </c>
      <c r="BB19" s="647" t="e">
        <f>IF(AND($K$17&gt;0,$E$17&gt;0,OR($O$17&gt;0,$U$17&gt;0)),$E$17*SIN(RADIANS(90-$E$23)),IF(AND($K$17=0,$E$17&gt;0,OR($O$17&gt;0,$U$17&gt;0)),$E$17/2*SIN(RADIANS(90-$E$23)),IF(AND($K$17&gt;0,$E$17=0,OR($O$17&gt;0,$U$17&gt;0)),$K$17/2*SIN(RADIANS(90-$K$23)),IF(AND($K$17&gt;0,$O$17=0,$U$17=0),$K$17/4*SIN(RADIANS(90-$K$23)),$E$17/4*SIN(RADIANS(90-$E$23))))))</f>
        <v>#VALUE!</v>
      </c>
      <c r="BC19" s="636" t="e">
        <f>IF(AND($K$17&gt;0,$E$17&gt;0,OR($O$17&gt;0,$U$17&gt;0)),$E$17*COS(RADIANS(90-$E$23)),IF(AND($K$17=0,$E$17&gt;0,OR($O$17&gt;0,$U$17&gt;0)),$E$17/2*COS(RADIANS(90-$E$23)),IF(AND($K$17&gt;0,$E$17=0,OR($O$17&gt;0,$U$17&gt;0)),$K$17/2*COS(RADIANS(90-$K$23)),IF(AND($K$17&gt;0,$O$17=0,$U$17=0),$K$17/4*COS(RADIANS(90-$K$23)),$E$17/4*COS(RADIANS(90-$E$23))))))</f>
        <v>#VALUE!</v>
      </c>
      <c r="BD19" s="647" t="e">
        <f>IF(AND($B$32&gt;0,$B$24&gt;0,OR($B$41&gt;0,$B$49&gt;0)),$B$24*COS(RADIANS(180-$B$30)),IF(AND($B$32=0,$B$24&gt;0,OR($B$41&gt;0,$B$49&gt;0)),$B$24/2*COS(RADIANS(180-$B$30)),IF(AND($B$32&gt;0,$B$24=0,OR($B$41&gt;0,$B$49&gt;0)),$B$32/2*COS(RADIANS(180-$B$38)),IF(AND($B$32&gt;0,$B$41=0,$B$49=0),$B$32/4*COS(RADIANS(180-$B$38)),$B$24/4*COS(RADIANS(180-$B$30))))))</f>
        <v>#VALUE!</v>
      </c>
      <c r="BE19" s="648" t="e">
        <f>IF(AND($B$32&gt;0,$B$24&gt;0,OR($B$41&gt;0,$B$49&gt;0)),$B$24*-SIN(RADIANS(180-$B$30)),IF(AND($B$32&gt;0,$B$24&gt;0,OR($B$41&gt;0,$B$49&gt;0)),$B$32*-SIN(RADIANS(180-$B$38)),IF(AND($B$32&gt;0,$B$24=0,OR($B$41&gt;0,$B$49&gt;0)),$B$32/2*-SIN(RADIANS(180-$B$38)),IF(AND($B$32&gt;0,$B$41=0,$B$49=0),$B$32/4*-SIN(RADIANS(180-$B$38)),$B$24/4*-SIN(RADIANS(180-$B$30))))))</f>
        <v>#VALUE!</v>
      </c>
      <c r="BF19" s="647" t="e">
        <f>IF(AND($B$32&gt;0,$B$24&gt;0,OR($B$41&gt;0,$B$49&gt;0)),$B$32*COS(RADIANS(180-$B$38)),IF(AND($B$32=0,$B$24&gt;0,OR($B$41&gt;0,$B$49&gt;0)),$B$24/2*COS(RADIANS(180-$B$30)),IF(AND($B$32&gt;0,$B$24=0,OR($B$41&gt;0,$B$49&gt;0)),$B$32/2*COS(RADIANS(180-$B$38)),IF(AND($B$32&gt;0,$B$41=0,$B$49=0),$B$32/4*COS(RADIANS(180-$B$38)),$B$24/4*COS(RADIANS(180-$B$30))))))</f>
        <v>#VALUE!</v>
      </c>
      <c r="BG19" s="648" t="e">
        <f>IF(AND($B$32&gt;0,$B$24&gt;0,OR($B$41&gt;0,$B$49&gt;0)),$B$32*-SIN(RADIANS(180-$B$38)),IF(AND($B$32&gt;0,$B$24&gt;0,OR($B$41&gt;0,$B$49&gt;0)),$B$32*-SIN(RADIANS(180-$B$38)),IF(AND($B$32&gt;0,$B$24=0,OR($B$41&gt;0,$B$49&gt;0)),$B$32/2*-SIN(RADIANS(180-$B$38)),IF(AND($B$32&gt;0,$B$41=0,$B$49=0),$B$32/4*-SIN(RADIANS(180-$B$38)),$B$24/4*-SIN(RADIANS(180-$B$30))))))</f>
        <v>#VALUE!</v>
      </c>
      <c r="BH19" s="647" t="e">
        <f>IF(AND($B$49&gt;0,$B$41&gt;0),$B$41*COS(RADIANS(180-$B$47)),IF(AND($B$49=0,$B$41&gt;0),$B$41/2*COS(RADIANS(180-$B$47)),IF(AND($B$49&gt;0,$B$41=0),$B$49/2*COS(RADIANS(180-$B$55)),IF(AND($B$49=0,$B$41=0,$B$32=0),$B$24/4*COS(RADIANS(180-$B$30)),$B$32/4*COS(RADIANS(180-$B$38))))))</f>
        <v>#VALUE!</v>
      </c>
      <c r="BI19" s="648" t="e">
        <f>IF(AND($B$49&gt;0,$B$41&gt;0),$B$41*-SIN(RADIANS(180-$B$47)),IF(AND($B$49=0,$B$41&gt;0),$B$41/2*-SIN(RADIANS(180-$B$47)),IF(AND($B$49&gt;0,$B$41=0),$B$49/2*-SIN(RADIANS(180-$B$55)),IF(AND($B$49=0,$B$41=0,$B$32=0),$B$24/4*-SIN(RADIANS(180-$B$30)),$B$32/4*-SIN(RADIANS(180-$B$38))))))</f>
        <v>#VALUE!</v>
      </c>
      <c r="BJ19" s="647" t="e">
        <f>IF(AND($B$49&gt;0,$B$41&gt;0),$B$49*COS(RADIANS(180-$B$55)),IF(AND($B$49=0,$B$41&gt;0),$B$41/2*COS(RADIANS(180-$B$47)),IF(AND($B$49&gt;0,$B$41=0),$B$49/2*COS(RADIANS(180-$B$55)),IF(AND($B$49=0,$B$41=0,$B$32=0),$B$24/4*COS(RADIANS(180-$B$30)),$B$32/4*COS(RADIANS(180-$B$38))))))</f>
        <v>#VALUE!</v>
      </c>
      <c r="BK19" s="648" t="e">
        <f>IF(AND($B$49&gt;0,$B$41&gt;0),$B$49*-SIN(RADIANS(180-$B$55)),IF(AND($B$49=0,$B$41&gt;0),$B$41/2*-SIN(RADIANS(180-$B$47)),IF(AND($B$49&gt;0,$B$41=0),$B$49/2*-SIN(RADIANS(180-$B$55)),IF(AND($B$49=0,$B$41=0,$B$32=0),$B$24/4*-SIN(RADIANS(180-$B$30)),$B$32/4*-SIN(RADIANS(180-$B$38))))))</f>
        <v>#VALUE!</v>
      </c>
      <c r="BL19" s="647" t="e">
        <f>IF(AND($K$63&gt;0,$E$63&gt;0,OR($O$63&gt;0,$U$63&gt;0)),$E$63*SIN(RADIANS(90-$E$62)),IF(AND($K$63=0,$E$63&gt;0,OR($O$63&gt;0,$U$63&gt;0)),$E$63/2*SIN(RADIANS(90-$E$62)),IF(AND($K$63&gt;0,$E$63=0,OR($O$63&gt;0,$U$63&gt;0)),$K$63/2*SIN(RADIANS(90-$K$62)),IF(AND($K$63&gt;0,$O$63=0,$U$63=0),$K$63/4*SIN(RADIANS(90-$K$62)),$E$63/4*SIN(RADIANS(90-$E$62))))))</f>
        <v>#VALUE!</v>
      </c>
      <c r="BM19" s="636" t="e">
        <f>IF(AND($K$63&gt;0,$E$63&gt;0,OR($O$63&gt;0,$U$63&gt;0)),$E$63*COS(RADIANS(90-$E$62)),IF(AND($K$63=0,$E$63&gt;0,OR($O$63&gt;0,$U$63&gt;0)),$E$63/2*COS(RADIANS(90-$E$62)),IF(AND($K$63&gt;0,$E$63=0,OR($O$63&gt;0,$U$63&gt;0)),$K$63/2*COS(RADIANS(90-$K$62)),IF(AND($K$63&gt;0,$O$63=0,$U$63=0),$K$63/4*COS(RADIANS(90-$K$62)),$E$63/4*COS(RADIANS(90-$E$62))))))</f>
        <v>#VALUE!</v>
      </c>
      <c r="BN19" s="647" t="e">
        <f>IF(AND($K$63&gt;0,$E$63&gt;0,OR($O$63&gt;0,$U$63&gt;0)),$K$63*SIN(RADIANS(90-$K$62)),IF(AND($K$63=0,$E$63&gt;0,OR($O$63&gt;0,$U$63&gt;0)),$E$63/2*SIN(RADIANS(90-$E$62)),IF(AND($K$63&gt;0,$E$63=0,OR($O$63&gt;0,$U$63&gt;0)),$K$63/2*SIN(RADIANS(90-$K$62)),IF(AND($K$63&gt;0,$O$63=0,$U$63=0),$K$63/4*SIN(RADIANS(90-$K$62)),$E$63/4*SIN(RADIANS(90-$E$62))))))</f>
        <v>#VALUE!</v>
      </c>
      <c r="BO19" s="648" t="e">
        <f>IF(AND($K$63&gt;0,$E$63&gt;0,OR($O$63&gt;0,$U$63&gt;0)),$K$63*COS(RADIANS(90-$K$62)),IF(AND($K$63=0,$E$63&gt;0,OR($O$63&gt;0,$U$63&gt;0)),$E$63/2*COS(RADIANS(90-$E$62)),IF(AND($K$63&gt;0,$E$63=0,OR($O$63&gt;0,$U$63&gt;0)),$K$63/2*COS(RADIANS(90-$K$62)),IF(AND($K$63&gt;0,$O$63=0,$U$63=0),$K$63/4*COS(RADIANS(90-$K$62)),$E$63/4*COS(RADIANS(90-$E$62))))))</f>
        <v>#VALUE!</v>
      </c>
      <c r="BP19" s="647" t="e">
        <f>IF(AND($U$63&gt;0,$O$63&gt;0),$O$63*SIN(RADIANS(90-$O$62)),IF(AND($U$63=0,$O$63&gt;0),$O$63/2*SIN(RADIANS(90-$O$62)),IF(AND($U$63&gt;0,$O$63=0),$U$63/2*SIN(RADIANS(90-$U$62)),IF(AND($U$63=0,$O$63=0,$K$63=0),$E$63/4*SIN(RADIANS(90-$E$62)),$K$63/4*SIN(RADIANS(90-$K$62))))))</f>
        <v>#VALUE!</v>
      </c>
      <c r="BQ19" s="648" t="e">
        <f>IF(AND($U$63&gt;0,$O$63&gt;0),$O$63*COS(RADIANS(90-$O$62)),IF(AND($U$63=0,$O$63&gt;0),$O$63/2*COS(RADIANS(90-$O$62)),IF(AND($U$63&gt;0,$O$63=0),$U$63/2*COS(RADIANS(90-$U$62)),IF(AND($U$63=0,$O$63=0,$K$63=0),$E$63/4*COS(RADIANS(90-$E$62)),$K$63/4*COS(RADIANS(90-$K$62))))))</f>
        <v>#VALUE!</v>
      </c>
      <c r="BR19" s="647" t="e">
        <f>IF(AND($U$63&gt;0,$O$63&gt;0),$U$63*SIN(RADIANS(90-$U$62)),IF(AND($U$63=0,$O$63&gt;0),$O$63/2*SIN(RADIANS(90-$O$62)),IF(AND($U$63&gt;0,$O$63=0),$U$63/2*SIN(RADIANS(90-$U$62)),IF(AND($U$63=0,$O$63=0,$K$63=0),$E$63/4*SIN(RADIANS(90-$E$62)),$K$63/4*SIN(RADIANS(90-$K$62))))))</f>
        <v>#VALUE!</v>
      </c>
      <c r="BS19" s="648" t="e">
        <f>IF(AND($U$63&gt;0,$O$63&gt;0),$U$63*COS(RADIANS(90-$U$62)),IF(AND($U$63=0,$O$63&gt;0),$O$63/2*COS(RADIANS(90-$O$62)),IF(AND($U$63&gt;0,$O$63=0),$U$63/2*COS(RADIANS(90-$U$62)),IF(AND($U$63=0,$O$63=0,$K$63=0),$E$63/4*COS(RADIANS(90-$E$62)),$K$63/4*COS(RADIANS(90-$K$62))))))</f>
        <v>#VALUE!</v>
      </c>
      <c r="BT19" s="647" t="e">
        <f>IF(AND($W$49&gt;0,$W$41&gt;0),$W$49*COS(RADIANS(180-$W$55)),IF(AND($W$49=0,$W$41&gt;0),$W$41/2*COS(RADIANS(180-$W$47)),IF(AND($W$49&gt;0,$W$41=0),$W$49/2*COS(RADIANS(180-$W$55)),IF(AND($W$49=0,$W$41=0,$W$32=0),$W$24/4*COS(RADIANS(180-$W$30)),$W$32/4*COS(RADIANS(180-$W$38))))))</f>
        <v>#VALUE!</v>
      </c>
      <c r="BU19" s="648" t="e">
        <f>IF(AND($W$49&gt;0,$W$41&gt;0),$W$49*-SIN(RADIANS(180-$W$55)),IF(AND($W$49=0,$W$41&gt;0),$W$41/2*-SIN(RADIANS(180-$W$47)),IF(AND($W$49&gt;0,$W$41=0),$W$49/2*-SIN(RADIANS(180-$W$55)),IF(AND($W$49=0,$W$41=0,$W$32=0),$W$24/4*-SIN(RADIANS(180-$W$30)),$W$32/4*-SIN(RADIANS(180-$W$38))))))</f>
        <v>#VALUE!</v>
      </c>
      <c r="BV19" s="647" t="e">
        <f>IF(AND($W$49&gt;0,$W$41&gt;0),$W$41*COS(RADIANS(180-$W$47)),IF(AND($W$49=0,$W$41&gt;0),$W$41/2*COS(RADIANS(180-$W$47)),IF(AND($W$49&gt;0,$W$41=0),$W$49/2*COS(RADIANS(180-$W$55)),IF(AND($W$49=0,$W$41=0,$W$32=0),$W$24/4*COS(RADIANS(180-$W$30)),$W$32/4*COS(RADIANS(180-$W$38))))))</f>
        <v>#VALUE!</v>
      </c>
      <c r="BW19" s="648" t="e">
        <f>IF(AND($W$49&gt;0,$W$41&gt;0),$W$41*-SIN(RADIANS(180-$W$47)),IF(AND($W$49=0,$W$41&gt;0),$W$41/2*-SIN(RADIANS(180-$W$47)),IF(AND($W$49&gt;0,$W$41=0),$W$49/2*-SIN(RADIANS(180-$W$55)),IF(AND($W$49=0,$W$41=0,$W$32=0),$W$24/4*-SIN(RADIANS(180-$W$30)),$W$32/4*-SIN(RADIANS(180-$W$38))))))</f>
        <v>#VALUE!</v>
      </c>
      <c r="BX19" s="647" t="e">
        <f>IF(AND($W$32&gt;0,$W$24&gt;0,OR($W$41&gt;0,$W$49&gt;0)),$W$32*COS(RADIANS(180-$W$38)),IF(AND($W$32=0,$W$24&gt;0,OR($W$41&gt;0,$W$49&gt;0)),$W$24/2*COS(RADIANS(180-$W$30)),IF(AND($W$32&gt;0,$W$24=0,OR($W$41&gt;0,$W$49&gt;0)),$W$32/2*COS(RADIANS(180-$W$38)),IF(AND($W$32&gt;0,$W$41=0,$W$49=0),$W$32/4*COS(RADIANS(180-$W$38)),$W$24/4*COS(RADIANS(180-$W$30))))))</f>
        <v>#VALUE!</v>
      </c>
      <c r="BY19" s="648" t="e">
        <f>IF(AND($W$32&gt;0,$W$24&gt;0,OR($W$41&gt;0,$W$49&gt;0)),$W$32*-SIN(RADIANS(180-$W$38)),IF(AND($W$32&gt;0,$W$24&gt;0,OR($W$41&gt;0,$W$49&gt;0)),$W$32*-SIN(RADIANS(180-$W$38)),IF(AND($W$32&gt;0,$W$24=0,OR($W$41&gt;0,$W$49&gt;0)),$W$32/2*-SIN(RADIANS(180-$W$38)),IF(AND($W$32&gt;0,$W$41=0,$W$49=0),$W$32/4*-SIN(RADIANS(180-$W$38)),$W$24/4*-SIN(RADIANS(180-$W$30))))))</f>
        <v>#VALUE!</v>
      </c>
      <c r="BZ19" s="647" t="e">
        <f>IF(AND($W$32&gt;0,$W$24&gt;0,OR($W$41&gt;0,$W$49&gt;0)),$W$24*COS(RADIANS(180-$W$30)),IF(AND($W$32=0,$W$24&gt;0,OR($W$41&gt;0,$W$49&gt;0)),$W$24/2*COS(RADIANS(180-$W$30)),IF(AND($W$32&gt;0,$W$24=0,OR($W$41&gt;0,$W$49&gt;0)),$W$32/2*COS(RADIANS(180-$W$38)),IF(AND($W$32&gt;0,$W$41=0,$W$49=0),$W$32/4*COS(RADIANS(180-$W$38)),$W$24/4*COS(RADIANS(180-$W$30))))))</f>
        <v>#VALUE!</v>
      </c>
      <c r="CA19" s="648" t="e">
        <f>IF(AND($W$32&gt;0,$W$24&gt;0,OR($W$41&gt;0,$W$49&gt;0)),$W$24*-SIN(RADIANS(180-$W$30)),IF(AND($W$32&gt;0,$W$24&gt;0,OR($W$41&gt;0,$W$49&gt;0)),$W$32*-SIN(RADIANS(180-$W$38)),IF(AND($W$32&gt;0,$W$24=0,OR($W$41&gt;0,$W$49&gt;0)),$W$32/2*-SIN(RADIANS(180-$W$38)),IF(AND($W$32&gt;0,$W$41=0,$W$49=0),$W$32/4*-SIN(RADIANS(180-$W$38)),$W$24/4*-SIN(RADIANS(180-$W$30))))))</f>
        <v>#VALUE!</v>
      </c>
    </row>
    <row r="20" spans="1:82" ht="12" customHeight="1" x14ac:dyDescent="0.25">
      <c r="B20" s="345"/>
      <c r="C20" s="344"/>
      <c r="D20" s="426" t="s">
        <v>398</v>
      </c>
      <c r="E20" s="293" t="e">
        <f>IF(NOT(ISBLANK(F20)),F20,DGET('Grid Numbers'!$A$2:$L$4952,'Grid Numbers'!$J$2,$L$66:$R$67))</f>
        <v>#VALUE!</v>
      </c>
      <c r="F20" s="486"/>
      <c r="J20" s="426" t="s">
        <v>398</v>
      </c>
      <c r="K20" s="294" t="e">
        <f>IF(NOT(ISBLANK(L20)),L20,DGET('Grid Numbers'!$A$2:$L$4952,'Grid Numbers'!$J$2,$L$68:$R$69))</f>
        <v>#VALUE!</v>
      </c>
      <c r="L20" s="486"/>
      <c r="N20" s="426" t="s">
        <v>398</v>
      </c>
      <c r="O20" s="293" t="e">
        <f>IF(NOT(ISBLANK(P20)),P20,DGET('Grid Numbers'!$A$2:$L$4952,'Grid Numbers'!$J$2,$L$70:$R$71))</f>
        <v>#VALUE!</v>
      </c>
      <c r="P20" s="486"/>
      <c r="T20" s="426" t="s">
        <v>398</v>
      </c>
      <c r="U20" s="293" t="e">
        <f>IF(NOT(ISBLANK(V20)),V20,DGET('Grid Numbers'!$A$2:$L$4952,'Grid Numbers'!$J$2,$L$72:$R$73))</f>
        <v>#VALUE!</v>
      </c>
      <c r="V20" s="486"/>
      <c r="AA20" s="593"/>
      <c r="AB20" s="593"/>
      <c r="AC20" s="318">
        <v>1</v>
      </c>
      <c r="AD20" s="317" t="s">
        <v>399</v>
      </c>
      <c r="AE20" s="325" t="e">
        <f>IF($L$38='SHL Section'!$BE$51,IF('BHL Section 1'!$BF$38=8,'BHL Section 1'!$AG$24,IF('BHL Section 1'!$BF$39=7,'BHL Section 1'!$AI$24,IF('BHL Section 1'!$BF$40=6,'BHL Section 1'!$AK$24,""))),IF($L$38='SHL Section'!$BE$54,IF('BHL Section 1'!$BF$42=8,'BHL Section 1'!$AG$24,IF('BHL Section 1'!$BF$43=7,'BHL Section 1'!$AI$24,IF('BHL Section 1'!$BF$44=6,'BHL Section 1'!$AK$24,""))),IF($L$38='SHL Section'!$BE$57,IF('BHL Section 1'!$BF$46=8,'BHL Section 1'!$AG$24,IF('BHL Section 1'!$BF$47=7,'BHL Section 1'!$AI$24,IF('BHL Section 1'!$BF$48=6,'BHL Section 1'!$AK$24,""))),IF($L$38='SHL Section'!$BE$56,IF('SHL Section'!$BF$46=8,'SHL Section'!$AG$24,IF('SHL Section'!$BF$47=7,'SHL Section'!$AI$24,IF('SHL Section'!$BF$48=6,'SHL Section'!$AK$24,""))),""))))</f>
        <v>#VALUE!</v>
      </c>
      <c r="AF20" s="325" t="e">
        <f>IF($L$38='SHL Section'!$BE$51,IF('BHL Section 1'!$BF$38=8,'BHL Section 1'!$AH$24,IF('BHL Section 1'!$BF$39=7,'BHL Section 1'!$AJ$24,IF('BHL Section 1'!$BF$40=6,'BHL Section 1'!$AL$24,""))),IF($L$38='SHL Section'!$BE$54,IF('BHL Section 1'!$BF$42=8,'BHL Section 1'!$AH$24,IF('BHL Section 1'!$BF$43=7,'BHL Section 1'!$AJ$24,IF('BHL Section 1'!$BF$44=6,'BHL Section 1'!$AL$24,""))),IF($L$38='SHL Section'!$BE$57,IF('BHL Section 1'!$BF$46=8,'BHL Section 1'!$AH$24,IF('BHL Section 1'!$BF$47=7,'BHL Section 1'!$AJ$24,IF('BHL Section 1'!$BF$48=6,'BHL Section 1'!$AL$24,""))),IF($L$38='SHL Section'!$BE$56,IF('SHL Section'!$BF$46=8,'SHL Section'!$AH$24,IF('SHL Section'!$BF$47=7,'SHL Section'!$AJ$24,IF('SHL Section'!$BF$48=6,'SHL Section'!$AL$24,""))),""))))</f>
        <v>#VALUE!</v>
      </c>
      <c r="AG20" s="342" t="e">
        <f>IF($AE$20="","",$AY$26+$AE$20)</f>
        <v>#VALUE!</v>
      </c>
      <c r="AH20" s="342" t="e">
        <f>IF($AF$20="","",$AZ$26+$AF$20)</f>
        <v>#VALUE!</v>
      </c>
      <c r="AI20" s="342" t="e">
        <f>IF($AE$20="","",$BG$26+$AY$26+$AE$20)</f>
        <v>#VALUE!</v>
      </c>
      <c r="AJ20" s="342" t="e">
        <f>IF($AF$20="","",$AZ$26+$BH$26+$AF$20)</f>
        <v>#VALUE!</v>
      </c>
      <c r="AK20" s="342" t="e">
        <f>IF($AE$20="","",$BW$26+$AE$20)</f>
        <v>#VALUE!</v>
      </c>
      <c r="AL20" s="342" t="e">
        <f>IF($AF$20="","",$AF$20+$BX$26)</f>
        <v>#VALUE!</v>
      </c>
      <c r="AM20" s="342" t="e">
        <f>IF($AE$20="","",$AW$22+$AE$20)</f>
        <v>#VALUE!</v>
      </c>
      <c r="AN20" s="342" t="e">
        <f>IF($AF$20="","",$AX$22+$AF$20)</f>
        <v>#VALUE!</v>
      </c>
      <c r="AO20" s="342" t="e">
        <f>IF($AE$20="","",$AY$26+$AE$20+$BE$22)</f>
        <v>#VALUE!</v>
      </c>
      <c r="AP20" s="342" t="e">
        <f>IF($AF$20="","",$AZ$26+$AF$20+$BF$22)</f>
        <v>#VALUE!</v>
      </c>
      <c r="AQ20" s="342" t="e">
        <f>IF($AE$20="","",$BW$26+$AE$20+$BQ$22)</f>
        <v>#VALUE!</v>
      </c>
      <c r="AR20" s="342" t="e">
        <f>IF($AF$20="","",$AF$20+$BX$26+$BR$22)</f>
        <v>#VALUE!</v>
      </c>
      <c r="AS20" s="342" t="e">
        <f>IF($AE$20="","",$BY$22+$AE$20)</f>
        <v>#VALUE!</v>
      </c>
      <c r="AT20" s="342" t="e">
        <f>IF($AF$20="","",$AF$20+$BZ$22)</f>
        <v>#VALUE!</v>
      </c>
      <c r="AU20" s="333" t="s">
        <v>400</v>
      </c>
      <c r="AV20" s="761" t="s">
        <v>401</v>
      </c>
      <c r="AW20" s="735"/>
      <c r="AX20" s="735"/>
      <c r="AY20" s="757"/>
      <c r="AZ20" s="761" t="s">
        <v>402</v>
      </c>
      <c r="BA20" s="735"/>
      <c r="BB20" s="735"/>
      <c r="BC20" s="757"/>
      <c r="BD20" s="761" t="s">
        <v>403</v>
      </c>
      <c r="BE20" s="735"/>
      <c r="BF20" s="735"/>
      <c r="BG20" s="757"/>
      <c r="BH20" s="761" t="s">
        <v>404</v>
      </c>
      <c r="BI20" s="735"/>
      <c r="BJ20" s="735"/>
      <c r="BK20" s="757"/>
      <c r="BL20" s="761" t="s">
        <v>405</v>
      </c>
      <c r="BM20" s="735"/>
      <c r="BN20" s="735"/>
      <c r="BO20" s="757"/>
      <c r="BP20" s="761" t="s">
        <v>406</v>
      </c>
      <c r="BQ20" s="735"/>
      <c r="BR20" s="735"/>
      <c r="BS20" s="757"/>
      <c r="BT20" s="761" t="s">
        <v>407</v>
      </c>
      <c r="BU20" s="735"/>
      <c r="BV20" s="735"/>
      <c r="BW20" s="757"/>
      <c r="BX20" s="761" t="s">
        <v>408</v>
      </c>
      <c r="BY20" s="735"/>
      <c r="BZ20" s="735"/>
      <c r="CA20" s="757"/>
      <c r="CC20" s="459" t="s">
        <v>409</v>
      </c>
      <c r="CD20" s="637" t="e">
        <f>(CC22^2+CD22^2)^0.5</f>
        <v>#VALUE!</v>
      </c>
    </row>
    <row r="21" spans="1:82" ht="12" customHeight="1" x14ac:dyDescent="0.25">
      <c r="D21" s="426" t="s">
        <v>410</v>
      </c>
      <c r="E21" s="293" t="e">
        <f>IF(NOT(ISBLANK(F21)),F21,DGET('Grid Numbers'!$A$2:$L$4952,'Grid Numbers'!$K$2,$L$66:$R$67))</f>
        <v>#VALUE!</v>
      </c>
      <c r="F21" s="487"/>
      <c r="J21" s="426" t="s">
        <v>410</v>
      </c>
      <c r="K21" s="294" t="e">
        <f>IF(NOT(ISBLANK(L21)),L21,DGET('Grid Numbers'!$A$2:$L$4952,'Grid Numbers'!$K$2,$L$68:$R$69))</f>
        <v>#VALUE!</v>
      </c>
      <c r="L21" s="487"/>
      <c r="N21" s="426" t="s">
        <v>410</v>
      </c>
      <c r="O21" s="293" t="e">
        <f>IF(NOT(ISBLANK(P21)),P21,DGET('Grid Numbers'!$A$2:$L$4952,'Grid Numbers'!$K$2,$L$70:$R$71))</f>
        <v>#VALUE!</v>
      </c>
      <c r="P21" s="487"/>
      <c r="T21" s="426" t="s">
        <v>410</v>
      </c>
      <c r="U21" s="293" t="e">
        <f>IF(NOT(ISBLANK(V21)),V21,DGET('Grid Numbers'!$A$2:$L$4952,'Grid Numbers'!$K$2,$L$72:$R$73))</f>
        <v>#VALUE!</v>
      </c>
      <c r="V21" s="487"/>
      <c r="AA21" s="338"/>
      <c r="AB21" s="338"/>
      <c r="AC21" s="318">
        <v>2</v>
      </c>
      <c r="AD21" s="317" t="s">
        <v>399</v>
      </c>
      <c r="AE21" s="324" t="e">
        <f>IF($AG$21="","",$AG$21-$AY$26)</f>
        <v>#VALUE!</v>
      </c>
      <c r="AF21" s="324" t="e">
        <f>IF($AH$21="","",$AH$21-$AZ$26)</f>
        <v>#VALUE!</v>
      </c>
      <c r="AG21" s="325" t="e">
        <f>IF($L$38='SHL Section'!$BE$51,IF('BHL Section 1'!$BF$37=4,'BHL Section 1'!$AE$24,IF('BHL Section 1'!$BF$39=6,'BHL Section 1'!$AI$24,IF('BHL Section 1'!$BF$40=5,'BHL Section 1'!$AK$24,""))),IF($L$38='SHL Section'!$BE$54,IF('BHL Section 1'!$BF$41=4,'BHL Section 1'!$AE$24,IF('BHL Section 1'!$BF$43=6,'BHL Section 1'!$AI$24,IF('BHL Section 1'!$BF$44=5,'BHL Section 1'!$AK$24,""))),IF($L$38='SHL Section'!$BE$57,IF('BHL Section 1'!$BF$45=4,'BHL Section 1'!$AE$24,IF('BHL Section 1'!$BF$47=6,'BHL Section 1'!$AI$24,IF('BHL Section 1'!$BF$48=5,'BHL Section 1'!$AK$24,""))),IF($L$38='SHL Section'!$BE$56,IF('SHL Section'!$BF$45=4,'SHL Section'!$AE$24,IF('SHL Section'!$BF$47=6,'SHL Section'!$AI$24,IF('SHL Section'!$BF$48=5,'SHL Section'!$AK$24,""))),""))))</f>
        <v>#VALUE!</v>
      </c>
      <c r="AH21" s="325" t="e">
        <f>IF($L$38='SHL Section'!$BE$51,IF('BHL Section 1'!$BF$37=4,'BHL Section 1'!$AF$24,IF('BHL Section 1'!$BF$39=6,'BHL Section 1'!$AJ$24,IF('BHL Section 1'!$BF$40=5,'BHL Section 1'!$AL$24,""))),IF($L$38='SHL Section'!$BE$54,IF('BHL Section 1'!$BF$41=4,'BHL Section 1'!$AF$24,IF('BHL Section 1'!$BF$43=6,'BHL Section 1'!$AJ$24,IF('BHL Section 1'!$BF$44=5,'BHL Section 1'!$AL$24,""))),IF($L$38='SHL Section'!$BE$57,IF('BHL Section 1'!$BF$45=4,'BHL Section 1'!$AF$24,IF('BHL Section 1'!$BF$47=6,'BHL Section 1'!$AJ$24,IF('BHL Section 1'!$BF$48=5,'BHL Section 1'!$AL$24,""))),IF($L$38='SHL Section'!$BE$56,IF('SHL Section'!$BF$45=4,'SHL Section'!$AF$24,IF('SHL Section'!$BF$47=6,'SHL Section'!$AJ$24,IF('SHL Section'!$BF$48=5,'SHL Section'!$AL$24,""))),""))))</f>
        <v>#VALUE!</v>
      </c>
      <c r="AI21" s="324" t="e">
        <f>IF($AG$21="","",$BG$26+$AG$21)</f>
        <v>#VALUE!</v>
      </c>
      <c r="AJ21" s="324" t="e">
        <f>IF($AH$21="","",$AH$21+$BH$26)</f>
        <v>#VALUE!</v>
      </c>
      <c r="AK21" s="324" t="e">
        <f>IF($AG$21="","",$AG$21-$AY$26+$BW$26)</f>
        <v>#VALUE!</v>
      </c>
      <c r="AL21" s="324" t="e">
        <f>IF($AH$21="","",$AH$21-$AZ$26+$BX$26)</f>
        <v>#VALUE!</v>
      </c>
      <c r="AM21" s="324" t="e">
        <f>IF($AG$21="","",$AG$21-$BA$22)</f>
        <v>#VALUE!</v>
      </c>
      <c r="AN21" s="324" t="e">
        <f>IF($AH$21="","",AH$21-$BB$22)</f>
        <v>#VALUE!</v>
      </c>
      <c r="AO21" s="324" t="e">
        <f>IF($AG$21="","",$BE$22+$AG$21)</f>
        <v>#VALUE!</v>
      </c>
      <c r="AP21" s="324" t="e">
        <f>IF($AH$21="","",$AH$21+$BF$22)</f>
        <v>#VALUE!</v>
      </c>
      <c r="AQ21" s="324" t="e">
        <f>IF($AG$21="","",$BG$26+$AG$21-$BM$22)</f>
        <v>#VALUE!</v>
      </c>
      <c r="AR21" s="324" t="e">
        <f>IF($AH$21="","",$AH$21+$BH$26-$BN$22)</f>
        <v>#VALUE!</v>
      </c>
      <c r="AS21" s="324" t="e">
        <f>IF($AG$21="","",$AG$21-$AY$26+$BY$22)</f>
        <v>#VALUE!</v>
      </c>
      <c r="AT21" s="324" t="e">
        <f>IF($AH$21="","",$AH$21-$AZ$26+$BZ$22)</f>
        <v>#VALUE!</v>
      </c>
      <c r="AU21" s="333" t="s">
        <v>394</v>
      </c>
      <c r="AV21" s="296"/>
      <c r="AW21" s="464" t="s">
        <v>336</v>
      </c>
      <c r="AX21" s="465" t="s">
        <v>337</v>
      </c>
      <c r="AY21" s="334"/>
      <c r="AZ21" s="296"/>
      <c r="BA21" s="464" t="s">
        <v>336</v>
      </c>
      <c r="BB21" s="465" t="s">
        <v>337</v>
      </c>
      <c r="BC21" s="334"/>
      <c r="BD21" s="296"/>
      <c r="BE21" s="464" t="s">
        <v>336</v>
      </c>
      <c r="BF21" s="465" t="s">
        <v>337</v>
      </c>
      <c r="BG21" s="334"/>
      <c r="BH21" s="296"/>
      <c r="BI21" s="464" t="s">
        <v>336</v>
      </c>
      <c r="BJ21" s="465" t="s">
        <v>337</v>
      </c>
      <c r="BK21" s="334"/>
      <c r="BL21" s="296"/>
      <c r="BM21" s="464" t="s">
        <v>336</v>
      </c>
      <c r="BN21" s="465" t="s">
        <v>337</v>
      </c>
      <c r="BO21" s="334"/>
      <c r="BP21" s="296"/>
      <c r="BQ21" s="464" t="s">
        <v>336</v>
      </c>
      <c r="BR21" s="465" t="s">
        <v>337</v>
      </c>
      <c r="BS21" s="334"/>
      <c r="BT21" s="296"/>
      <c r="BU21" s="464" t="s">
        <v>336</v>
      </c>
      <c r="BV21" s="465" t="s">
        <v>337</v>
      </c>
      <c r="BW21" s="334"/>
      <c r="BX21" s="296"/>
      <c r="BY21" s="464" t="s">
        <v>336</v>
      </c>
      <c r="BZ21" s="465" t="s">
        <v>337</v>
      </c>
      <c r="CA21" s="334"/>
      <c r="CC21" s="464" t="s">
        <v>336</v>
      </c>
      <c r="CD21" s="465" t="s">
        <v>337</v>
      </c>
    </row>
    <row r="22" spans="1:82" ht="12" customHeight="1" x14ac:dyDescent="0.25">
      <c r="A22" s="339"/>
      <c r="B22" s="339"/>
      <c r="C22" s="339"/>
      <c r="D22" s="426" t="s">
        <v>411</v>
      </c>
      <c r="E22" s="319" t="e">
        <f>IF(NOT(ISBLANK(F22)),F22,DGET('Grid Numbers'!$A$2:$L$4952,'Grid Numbers'!$L$2,$L$66:$R$67))</f>
        <v>#VALUE!</v>
      </c>
      <c r="F22" s="490"/>
      <c r="J22" s="426" t="s">
        <v>411</v>
      </c>
      <c r="K22" s="319" t="e">
        <f>IF(NOT(ISBLANK(L22)),L22,DGET('Grid Numbers'!$A$2:$L$4952,'Grid Numbers'!$L$2,$L$68:$R$69))</f>
        <v>#VALUE!</v>
      </c>
      <c r="L22" s="490"/>
      <c r="N22" s="426" t="s">
        <v>411</v>
      </c>
      <c r="O22" s="319" t="e">
        <f>IF(NOT(ISBLANK(P22)),P22,DGET('Grid Numbers'!$A$2:$L$4952,'Grid Numbers'!$L$2,$L$70:$R$71))</f>
        <v>#VALUE!</v>
      </c>
      <c r="P22" s="490"/>
      <c r="T22" s="426" t="s">
        <v>411</v>
      </c>
      <c r="U22" s="319" t="e">
        <f>IF(NOT(ISBLANK(V22)),V22,DGET('Grid Numbers'!$A$2:$L$4952,'Grid Numbers'!$L$2,$L$72:$R$73))</f>
        <v>#VALUE!</v>
      </c>
      <c r="V22" s="490"/>
      <c r="W22" s="339"/>
      <c r="X22" s="339"/>
      <c r="AA22" s="593"/>
      <c r="AB22" s="593"/>
      <c r="AC22" s="318">
        <v>3</v>
      </c>
      <c r="AD22" s="317" t="s">
        <v>399</v>
      </c>
      <c r="AE22" s="324" t="e">
        <f>IF($AI$22="","",$AI$22-$BG$26-$AY$26)</f>
        <v>#VALUE!</v>
      </c>
      <c r="AF22" s="324" t="e">
        <f>IF($AJ$22="","",$AJ$22-$BH$26-$AZ$26)</f>
        <v>#VALUE!</v>
      </c>
      <c r="AG22" s="324" t="e">
        <f>IF($AI$22="","",$AI$22-$BG$26)</f>
        <v>#VALUE!</v>
      </c>
      <c r="AH22" s="324" t="e">
        <f>IF($AJ$22="","",$AJ$22-$BH$26)</f>
        <v>#VALUE!</v>
      </c>
      <c r="AI22" s="325" t="e">
        <f>IF($L$38='SHL Section'!$BE$51,IF('BHL Section 1'!$BF$37=3,'BHL Section 1'!$AE$24,IF('BHL Section 1'!$BF$38=2,'BHL Section 1'!$AG$24,IF('BHL Section 1'!$BF$40=4,'BHL Section 1'!$AK$24,""))),IF($L$38='SHL Section'!$BE$54,IF('BHL Section 1'!$BF$41=3,'BHL Section 1'!$AE$24,IF('BHL Section 1'!$BF$42=2,'BHL Section 1'!$AG$24,IF('BHL Section 1'!$BF$44=4,'BHL Section 1'!$AK$24,""))),IF($L$38='SHL Section'!$BE$57,IF('BHL Section 1'!$BF$45=3,'BHL Section 1'!$AE$24,IF('BHL Section 1'!$BF$46=2,'BHL Section 1'!$AG$24,IF('BHL Section 1'!$BF$48=4,'BHL Section 1'!$AK$24,""))),IF($L$38='SHL Section'!$BE$56,IF('SHL Section'!$BF$45=3,'SHL Section'!$AE$24,IF('SHL Section'!$BF$46=2,'SHL Section'!$AG$24,IF('SHL Section'!$BF$48=4,'SHL Section'!$AK$24,""))),""))))</f>
        <v>#VALUE!</v>
      </c>
      <c r="AJ22" s="325" t="e">
        <f>IF($L$38='SHL Section'!$BE$51,IF('BHL Section 1'!$BF$37=3,'BHL Section 1'!$AF$24,IF('BHL Section 1'!$BF$38=2,'BHL Section 1'!$AH$24,IF('BHL Section 1'!$BF$40=4,'BHL Section 1'!$AL$24,""))),IF($L$38='SHL Section'!$BE$54,IF('BHL Section 1'!$BF$41=3,'BHL Section 1'!$AF$24,IF('BHL Section 1'!$BF$42=2,'BHL Section 1'!$AH$24,IF('BHL Section 1'!$BF$44=4,'BHL Section 1'!$AL$24,""))),IF($L$38='SHL Section'!$BE$57,IF('BHL Section 1'!$BF$45=3,'BHL Section 1'!$AF$24,IF('BHL Section 1'!$BF$46=2,'BHL Section 1'!$AH$24,IF('BHL Section 1'!$BF$48=4,'BHL Section 1'!$AL$24,""))),IF($L$38='SHL Section'!$BE$56,IF('SHL Section'!$BF$45=3,'SHL Section'!$AF$24,IF('SHL Section'!$BF$46=2,'SHL Section'!$AH$24,IF('SHL Section'!$BF$48=4,'SHL Section'!$AL$24,""))),""))))</f>
        <v>#VALUE!</v>
      </c>
      <c r="AK22" s="324" t="e">
        <f>IF($AI$22="","",$AI$22-$BO$26)</f>
        <v>#VALUE!</v>
      </c>
      <c r="AL22" s="324" t="e">
        <f>IF($AJ$22="","",$AJ$22-$BP$26)</f>
        <v>#VALUE!</v>
      </c>
      <c r="AM22" s="324" t="e">
        <f>IF($AI$22="","",$AI$22-$BG$26-$BA$22)</f>
        <v>#VALUE!</v>
      </c>
      <c r="AN22" s="324" t="e">
        <f>IF($AJ$22="","",$AJ$22-$BH$26-$BB$22)</f>
        <v>#VALUE!</v>
      </c>
      <c r="AO22" s="324" t="e">
        <f>IF($AI$22="","",$AI$22-$BI$22)</f>
        <v>#VALUE!</v>
      </c>
      <c r="AP22" s="324" t="e">
        <f>IF($AJ$22="","",$AJ$22-$BJ$22)</f>
        <v>#VALUE!</v>
      </c>
      <c r="AQ22" s="324" t="e">
        <f>IF($AI$22="","",$AI$22-$BM$22)</f>
        <v>#VALUE!</v>
      </c>
      <c r="AR22" s="324" t="e">
        <f>IF($AJ$22="","",$AJ$22-$BN$22)</f>
        <v>#VALUE!</v>
      </c>
      <c r="AS22" s="324" t="e">
        <f>IF($AI$22="","",$AI$22-$BO$26-$BU$22)</f>
        <v>#VALUE!</v>
      </c>
      <c r="AT22" s="324" t="e">
        <f>IF($AJ$22="","",$AJ$22-$BP$26-$BV$22)</f>
        <v>#VALUE!</v>
      </c>
      <c r="AU22" s="333"/>
      <c r="AV22" s="296"/>
      <c r="AW22" s="638" t="e">
        <f>AV19+AX19</f>
        <v>#VALUE!</v>
      </c>
      <c r="AX22" s="639" t="e">
        <f>AW19+AY19</f>
        <v>#VALUE!</v>
      </c>
      <c r="AY22" s="334"/>
      <c r="AZ22" s="296"/>
      <c r="BA22" s="638" t="e">
        <f>AZ19+BB19</f>
        <v>#VALUE!</v>
      </c>
      <c r="BB22" s="639" t="e">
        <f>BA19+BC19</f>
        <v>#VALUE!</v>
      </c>
      <c r="BC22" s="334"/>
      <c r="BD22" s="296"/>
      <c r="BE22" s="638" t="e">
        <f>BD19+BF19</f>
        <v>#VALUE!</v>
      </c>
      <c r="BF22" s="639" t="e">
        <f>BE19+BG19</f>
        <v>#VALUE!</v>
      </c>
      <c r="BG22" s="334"/>
      <c r="BH22" s="296"/>
      <c r="BI22" s="638" t="e">
        <f>BH19+BJ19</f>
        <v>#VALUE!</v>
      </c>
      <c r="BJ22" s="639" t="e">
        <f>BI19+BK19</f>
        <v>#VALUE!</v>
      </c>
      <c r="BK22" s="334"/>
      <c r="BL22" s="296"/>
      <c r="BM22" s="638" t="e">
        <f>BL19+BN19</f>
        <v>#VALUE!</v>
      </c>
      <c r="BN22" s="639" t="e">
        <f>BM19+BO19</f>
        <v>#VALUE!</v>
      </c>
      <c r="BO22" s="334"/>
      <c r="BP22" s="296"/>
      <c r="BQ22" s="638" t="e">
        <f>BP19+BR19</f>
        <v>#VALUE!</v>
      </c>
      <c r="BR22" s="639" t="e">
        <f>BQ19+BS19</f>
        <v>#VALUE!</v>
      </c>
      <c r="BS22" s="334"/>
      <c r="BT22" s="296"/>
      <c r="BU22" s="638" t="e">
        <f>BT19+BV19</f>
        <v>#VALUE!</v>
      </c>
      <c r="BV22" s="639" t="e">
        <f>BU19+BW19</f>
        <v>#VALUE!</v>
      </c>
      <c r="BW22" s="334"/>
      <c r="BX22" s="296"/>
      <c r="BY22" s="638" t="e">
        <f>BX19+BZ19</f>
        <v>#VALUE!</v>
      </c>
      <c r="BZ22" s="639" t="e">
        <f>BY19+CA19</f>
        <v>#VALUE!</v>
      </c>
      <c r="CA22" s="334"/>
      <c r="CC22" s="640" t="e">
        <f>AY26+BG26-BO26-BW26</f>
        <v>#VALUE!</v>
      </c>
      <c r="CD22" s="641" t="e">
        <f>AZ26+BH26-BP26-BX26</f>
        <v>#VALUE!</v>
      </c>
    </row>
    <row r="23" spans="1:82" ht="12" customHeight="1" thickBot="1" x14ac:dyDescent="0.3">
      <c r="B23" s="759" t="e">
        <f>CONCATENATE("NW SC of ",$L$38)</f>
        <v>#VALUE!</v>
      </c>
      <c r="C23" s="679"/>
      <c r="D23" s="426" t="s">
        <v>412</v>
      </c>
      <c r="E23" s="642" t="e">
        <f>IF(AND($L$38='SHL Section'!$BE$50,MAX('SHL Section'!$BF$37:$BF$40)=6),'SHL Section'!$E$62,IF(AND($L$38='SHL Section'!$BE$53,MAX('SHL Section'!$BF$41:$BF$44)=6),'SHL Section'!$E$62,IF(AND($L$38='SHL Section'!$BE$56,MAX('SHL Section'!$BF$45:$BF$48)=6),'SHL Section'!$E$62,IF(E19="","",IF(OR(E22=1,E22=4),180-(E19+E20/60+E21/3600),(E19+E20/60+E21/3600))))))</f>
        <v>#VALUE!</v>
      </c>
      <c r="J23" s="426" t="s">
        <v>412</v>
      </c>
      <c r="K23" s="642" t="e">
        <f>IF(AND($L$38='SHL Section'!$BE$50,MAX('SHL Section'!$BF$37:$BF$40)=6),'SHL Section'!$K$62,IF(AND($L$38='SHL Section'!$BE$53,MAX('SHL Section'!$BF$41:$BF$44)=6),'SHL Section'!$K$62,IF(AND($L$38='SHL Section'!$BE$56,MAX('SHL Section'!$BF$45:$BF$48)=6),'SHL Section'!$K$62,IF(K19="","",IF(OR(K22=1,K22=4),180-(K19+K20/60+K21/3600),(K19+K20/60+K21/3600))))))</f>
        <v>#VALUE!</v>
      </c>
      <c r="L23" s="781" t="e">
        <f>CONCATENATE("N QC of ",$L$38)</f>
        <v>#VALUE!</v>
      </c>
      <c r="M23" s="704"/>
      <c r="N23" s="426" t="s">
        <v>412</v>
      </c>
      <c r="O23" s="643" t="e">
        <f>IF(AND($L$38='SHL Section'!$BE$50,MAX('SHL Section'!$BF$37:$BF$40)=6),'SHL Section'!$O$62,IF(AND($L$38='SHL Section'!$BE$53,MAX('SHL Section'!$BF$41:$BF$44)=6),'SHL Section'!$O$62,IF(AND($L$38='SHL Section'!$BE$56,MAX('SHL Section'!$BF$45:$BF$48)=6),'SHL Section'!$O$62,IF(O19="","",IF(OR(O22=1,O22=4),180-(O19+O20/60+O21/3600),(O19+O20/60+O21/3600))))))</f>
        <v>#VALUE!</v>
      </c>
      <c r="T23" s="426" t="s">
        <v>412</v>
      </c>
      <c r="U23" s="643" t="e">
        <f>IF(AND($L$38='SHL Section'!$BE$50,MAX('SHL Section'!$BF$37:$BF$40)=6),'SHL Section'!$U$62,IF(AND($L$38='SHL Section'!$BE$53,MAX('SHL Section'!$BF$41:$BF$44)=6),'SHL Section'!$U$62,IF(AND($L$38='SHL Section'!$BE$56,MAX('SHL Section'!$BF$45:$BF$48)=6),'SHL Section'!$U$62,IF(U19="","",IF(OR(U22=1,U22=4),180-(U19+U20/60+U21/3600),(U19+U20/60+U21/3600))))))</f>
        <v>#VALUE!</v>
      </c>
      <c r="V23" s="760" t="e">
        <f>CONCATENATE("NE SC of ",$L$38)</f>
        <v>#VALUE!</v>
      </c>
      <c r="W23" s="679"/>
      <c r="Y23" s="338"/>
      <c r="Z23" s="338"/>
      <c r="AA23" s="593"/>
      <c r="AB23" s="593"/>
      <c r="AC23" s="466">
        <v>4</v>
      </c>
      <c r="AD23" s="591" t="s">
        <v>399</v>
      </c>
      <c r="AE23" s="322" t="e">
        <f>IF($AK$23="","",$AK$23-$BW$26)</f>
        <v>#VALUE!</v>
      </c>
      <c r="AF23" s="322" t="e">
        <f>IF($AL$23="","",$AL$23-$BX$26)</f>
        <v>#VALUE!</v>
      </c>
      <c r="AG23" s="322" t="e">
        <f>IF($AK$23="","",$AK$23+$BO$26-$BG$26)</f>
        <v>#VALUE!</v>
      </c>
      <c r="AH23" s="322" t="e">
        <f>IF($AL$23="","",$AL$23+$BP$26+$BH$26)</f>
        <v>#VALUE!</v>
      </c>
      <c r="AI23" s="322" t="e">
        <f>IF($AK$23="","",$AK$23+$BO$26)</f>
        <v>#VALUE!</v>
      </c>
      <c r="AJ23" s="322" t="e">
        <f>IF($AL$23="","",$AL$23+$BP$26)</f>
        <v>#VALUE!</v>
      </c>
      <c r="AK23" s="323" t="e">
        <f>IF($L$38='SHL Section'!$BE$51,IF('BHL Section 1'!$BF$37=2,'BHL Section 1'!$AE$24,IF('BHL Section 1'!$BF$38=9,'BHL Section 1'!$AG$24,IF('BHL Section 1'!$BF$39=8,'BHL Section 1'!$AI$24,""))),IF($L$38='SHL Section'!$BE$54,IF('BHL Section 1'!$BF$41=2,'BHL Section 1'!$AE$24,IF('BHL Section 1'!$BF$42=9,'BHL Section 1'!$AG$24,IF('BHL Section 1'!$BF$43=8,'BHL Section 1'!$AI$24,""))),IF($L$38='SHL Section'!$BE$57,IF('BHL Section 1'!$BF$45=2,'BHL Section 1'!$AE$24,IF('BHL Section 1'!$BF$46=9,'BHL Section 1'!$AG$24,IF('BHL Section 1'!$BF$47=8,'BHL Section 1'!$AI$24,""))),IF($L$38='SHL Section'!$BE$56,IF('SHL Section'!$BF$45=2,'SHL Section'!$AE$24,IF('SHL Section'!$BF$46=9,'SHL Section'!$AG$24,IF('SHL Section'!$BF$47=8,'SHL Section'!$AI$24,""))),""))))</f>
        <v>#VALUE!</v>
      </c>
      <c r="AL23" s="323" t="e">
        <f>IF($L$38='SHL Section'!$BE$51,IF('BHL Section 1'!$BF$37=2,'BHL Section 1'!$AF$24,IF('BHL Section 1'!$BF$38=9,'BHL Section 1'!$AH$24,IF('BHL Section 1'!$BF$39=8,'BHL Section 1'!$AJ$24,""))),IF($L$38='SHL Section'!$BE$54,IF('BHL Section 1'!$BF$41=2,'BHL Section 1'!$AF$24,IF('BHL Section 1'!$BF$42=9,'BHL Section 1'!$AH$24,IF('BHL Section 1'!$BF$43=8,'BHL Section 1'!$AJ$24,""))),IF($L$38='SHL Section'!$BE$57,IF('BHL Section 1'!$BF$45=2,'BHL Section 1'!$AF$24,IF('BHL Section 1'!$BF$46=9,'BHL Section 1'!$AH$24,IF('BHL Section 1'!$BF$47=8,'BHL Section 1'!$AJ$24,""))),IF($L$38='SHL Section'!$BE$56,IF('SHL Section'!$BF$45=2,'SHL Section'!$AF$24,IF('SHL Section'!$BF$46=9,'SHL Section'!$AH$24,IF('SHL Section'!$BF$47=8,'SHL Section'!$AJ$24,""))),""))))</f>
        <v>#VALUE!</v>
      </c>
      <c r="AM23" s="322" t="e">
        <f>IF($AK$23="","",$AK$23-$BW$26+$AW$22)</f>
        <v>#VALUE!</v>
      </c>
      <c r="AN23" s="322" t="e">
        <f>IF($AL$23="","",$AL$23-$BX$26+$AX$22)</f>
        <v>#VALUE!</v>
      </c>
      <c r="AO23" s="322" t="e">
        <f>IF($AK$23="","",$AK$23+$BO$26-$BI$22)</f>
        <v>#VALUE!</v>
      </c>
      <c r="AP23" s="322" t="e">
        <f>IF($AL$23="","",$AL$23+$BP$26-$BJ$22)</f>
        <v>#VALUE!</v>
      </c>
      <c r="AQ23" s="322" t="e">
        <f>IF($AK$23="","",$AK$23+$BQ$22)</f>
        <v>#VALUE!</v>
      </c>
      <c r="AR23" s="322" t="e">
        <f>IF($AL$23="","",$AL$23+$BR$22)</f>
        <v>#VALUE!</v>
      </c>
      <c r="AS23" s="322" t="e">
        <f>IF($AK$23="","",$AK$23-$BU$22)</f>
        <v>#VALUE!</v>
      </c>
      <c r="AT23" s="322" t="e">
        <f>IF($AL$23="","",$AL$23-$BV$22)</f>
        <v>#VALUE!</v>
      </c>
      <c r="AU23" s="333"/>
      <c r="AV23" s="296"/>
      <c r="BD23" s="296"/>
      <c r="BL23" s="296"/>
      <c r="BT23" s="296"/>
      <c r="BZ23" s="596"/>
      <c r="CA23" s="596"/>
      <c r="CB23" s="243"/>
    </row>
    <row r="24" spans="1:82" ht="12" customHeight="1" x14ac:dyDescent="0.25">
      <c r="B24" s="417" t="e">
        <f>B25</f>
        <v>#VALUE!</v>
      </c>
      <c r="C24" s="429"/>
      <c r="D24" s="583"/>
      <c r="E24" s="583"/>
      <c r="F24" s="583"/>
      <c r="G24" s="583"/>
      <c r="H24" s="583"/>
      <c r="I24" s="583"/>
      <c r="J24" s="583"/>
      <c r="K24" s="583"/>
      <c r="L24" s="428"/>
      <c r="M24" s="427"/>
      <c r="N24" s="583"/>
      <c r="O24" s="583"/>
      <c r="P24" s="583"/>
      <c r="Q24" s="583"/>
      <c r="R24" s="583"/>
      <c r="S24" s="583"/>
      <c r="T24" s="583"/>
      <c r="U24" s="583"/>
      <c r="V24" s="585"/>
      <c r="W24" s="425" t="e">
        <f>W25</f>
        <v>#VALUE!</v>
      </c>
      <c r="AA24" s="593"/>
      <c r="AB24" s="593"/>
      <c r="AC24" s="762"/>
      <c r="AD24" s="683"/>
      <c r="AE24" s="321" t="str">
        <f>IF(ISNUMBER($AE$20),AE$20,IF(ISNUMBER($AG$21),AE$21,IF(ISNUMBER($AI$22),AE$22,IF(ISNUMBER($AK$23),AE$23,""))))</f>
        <v/>
      </c>
      <c r="AF24" s="321" t="str">
        <f>IF(ISNUMBER($AF$20),AF$20,IF(ISNUMBER($AH$21),AF$21,IF(ISNUMBER($AJ$22),AF$22,IF(ISNUMBER($AL$23),AF$23,""))))</f>
        <v/>
      </c>
      <c r="AG24" s="321" t="str">
        <f>IF(ISNUMBER($AE$20),AG$20,IF(ISNUMBER($AG$21),AG$21,IF(ISNUMBER($AI$22),AG$22,IF(ISNUMBER($AK$23),AG$23,""))))</f>
        <v/>
      </c>
      <c r="AH24" s="321" t="str">
        <f>IF(ISNUMBER($AF$20),AH$20,IF(ISNUMBER($AH$21),AH$21,IF(ISNUMBER($AJ$22),AH$22,IF(ISNUMBER($AL$23),AH$23,""))))</f>
        <v/>
      </c>
      <c r="AI24" s="321" t="str">
        <f>IF(ISNUMBER($AE$20),AI$20,IF(ISNUMBER($AG$21),AI$21,IF(ISNUMBER($AI$22),AI$22,IF(ISNUMBER($AK$23),AI$23,""))))</f>
        <v/>
      </c>
      <c r="AJ24" s="321" t="str">
        <f>IF(ISNUMBER($AF$20),AJ$20,IF(ISNUMBER($AH$21),AJ$21,IF(ISNUMBER($AJ$22),AJ$22,IF(ISNUMBER($AL$23),AJ$23,""))))</f>
        <v/>
      </c>
      <c r="AK24" s="321" t="str">
        <f>IF(ISNUMBER($AE$20),AK$20,IF(ISNUMBER($AG$21),AK$21,IF(ISNUMBER($AI$22),AK$22,IF(ISNUMBER($AK$23),AK$23,""))))</f>
        <v/>
      </c>
      <c r="AL24" s="321" t="str">
        <f>IF(ISNUMBER($AF$20),AL$20,IF(ISNUMBER($AH$21),AL$21,IF(ISNUMBER($AJ$22),AL$22,IF(ISNUMBER($AL$23),AL$23,""))))</f>
        <v/>
      </c>
      <c r="AM24" s="321" t="str">
        <f>IF(ISNUMBER($AE$20),AM$20,IF(ISNUMBER($AG$21),AM$21,IF(ISNUMBER($AI$22),AM$22,IF(ISNUMBER($AK$23),AM$23,""))))</f>
        <v/>
      </c>
      <c r="AN24" s="321" t="str">
        <f>IF(ISNUMBER($AF$20),AN$20,IF(ISNUMBER($AH$21),AN$21,IF(ISNUMBER($AJ$22),AN$22,IF(ISNUMBER($AL$23),AN$23,""))))</f>
        <v/>
      </c>
      <c r="AO24" s="321" t="str">
        <f>IF(ISNUMBER($AE$20),AO$20,IF(ISNUMBER($AG$21),AO$21,IF(ISNUMBER($AI$22),AO$22,IF(ISNUMBER($AK$23),AO$23,""))))</f>
        <v/>
      </c>
      <c r="AP24" s="321" t="str">
        <f>IF(ISNUMBER($AF$20),AP$20,IF(ISNUMBER($AH$21),AP$21,IF(ISNUMBER($AJ$22),AP$22,IF(ISNUMBER($AL$23),AP$23,""))))</f>
        <v/>
      </c>
      <c r="AQ24" s="321" t="str">
        <f>IF(ISNUMBER($AE$20),AQ$20,IF(ISNUMBER($AG$21),AQ$21,IF(ISNUMBER($AI$22),AQ$22,IF(ISNUMBER($AK$23),AQ$23,""))))</f>
        <v/>
      </c>
      <c r="AR24" s="321" t="str">
        <f>IF(ISNUMBER($AF$20),AR$20,IF(ISNUMBER($AH$21),AR$21,IF(ISNUMBER($AJ$22),AR$22,IF(ISNUMBER($AL$23),AR$23,""))))</f>
        <v/>
      </c>
      <c r="AS24" s="321" t="str">
        <f>IF(ISNUMBER($AE$20),AS$20,IF(ISNUMBER($AG$21),AS$21,IF(ISNUMBER($AI$22),AS$22,IF(ISNUMBER($AK$23),AS$23,""))))</f>
        <v/>
      </c>
      <c r="AT24" s="321" t="str">
        <f>IF(ISNUMBER($AF$20),AT$20,IF(ISNUMBER($AH$21),AT$21,IF(ISNUMBER($AJ$22),AT$22,IF(ISNUMBER($AL$23),AT$23,""))))</f>
        <v/>
      </c>
      <c r="AU24" s="333" t="s">
        <v>171</v>
      </c>
      <c r="AV24" s="761" t="s">
        <v>12</v>
      </c>
      <c r="AW24" s="735"/>
      <c r="AX24" s="735"/>
      <c r="AY24" s="735"/>
      <c r="AZ24" s="735"/>
      <c r="BA24" s="735"/>
      <c r="BB24" s="735"/>
      <c r="BC24" s="757"/>
      <c r="BD24" s="761" t="s">
        <v>413</v>
      </c>
      <c r="BE24" s="735"/>
      <c r="BF24" s="735"/>
      <c r="BG24" s="735"/>
      <c r="BH24" s="735"/>
      <c r="BI24" s="735"/>
      <c r="BJ24" s="735"/>
      <c r="BK24" s="757"/>
      <c r="BL24" s="761" t="s">
        <v>414</v>
      </c>
      <c r="BM24" s="735"/>
      <c r="BN24" s="735"/>
      <c r="BO24" s="735"/>
      <c r="BP24" s="735"/>
      <c r="BQ24" s="735"/>
      <c r="BR24" s="735"/>
      <c r="BS24" s="757"/>
      <c r="BT24" s="761" t="s">
        <v>311</v>
      </c>
      <c r="BU24" s="735"/>
      <c r="BV24" s="735"/>
      <c r="BW24" s="735"/>
      <c r="BX24" s="735"/>
      <c r="BY24" s="735"/>
      <c r="BZ24" s="735"/>
      <c r="CA24" s="757"/>
    </row>
    <row r="25" spans="1:82" ht="12" customHeight="1" x14ac:dyDescent="0.25">
      <c r="A25" s="426" t="s">
        <v>385</v>
      </c>
      <c r="B25" s="366" t="e">
        <f>IF(NOT(ISBLANK(D25)),D25,DGET('Grid Numbers'!$A$2:$L$4952,'Grid Numbers'!$H$2,$B$66:$H$67))</f>
        <v>#VALUE!</v>
      </c>
      <c r="C25" s="598"/>
      <c r="D25" s="486"/>
      <c r="L25" s="308"/>
      <c r="M25" s="307"/>
      <c r="U25" s="486"/>
      <c r="V25" s="581"/>
      <c r="W25" s="470" t="e">
        <f>IF(NOT(ISBLANK(U25)),U25,DGET('Grid Numbers'!$A$2:$L$4952,'Grid Numbers'!$H$2,$B$74:$H$75))</f>
        <v>#VALUE!</v>
      </c>
      <c r="X25" s="423" t="s">
        <v>385</v>
      </c>
      <c r="AA25" s="593"/>
      <c r="AB25" s="593"/>
      <c r="AC25" s="330"/>
      <c r="AD25" s="329"/>
      <c r="AE25" s="328"/>
      <c r="AF25" s="328"/>
      <c r="AG25" s="328"/>
      <c r="AH25" s="328"/>
      <c r="AI25" s="328"/>
      <c r="AJ25" s="328"/>
      <c r="AK25" s="328"/>
      <c r="AL25" s="328"/>
      <c r="AM25" s="328"/>
      <c r="AN25" s="328"/>
      <c r="AO25" s="328"/>
      <c r="AP25" s="328"/>
      <c r="AQ25" s="328"/>
      <c r="AR25" s="328"/>
      <c r="AS25" s="328"/>
      <c r="AT25" s="328"/>
      <c r="AU25" s="333" t="s">
        <v>394</v>
      </c>
      <c r="AV25" s="298"/>
      <c r="AW25" s="337"/>
      <c r="AX25" s="337"/>
      <c r="AY25" s="464" t="s">
        <v>336</v>
      </c>
      <c r="AZ25" s="465" t="s">
        <v>337</v>
      </c>
      <c r="BA25" s="337"/>
      <c r="BB25" s="337"/>
      <c r="BC25" s="336"/>
      <c r="BD25" s="298"/>
      <c r="BE25" s="337"/>
      <c r="BF25" s="337"/>
      <c r="BG25" s="464" t="s">
        <v>336</v>
      </c>
      <c r="BH25" s="465" t="s">
        <v>337</v>
      </c>
      <c r="BI25" s="337"/>
      <c r="BJ25" s="337"/>
      <c r="BK25" s="336"/>
      <c r="BL25" s="298"/>
      <c r="BM25" s="337"/>
      <c r="BN25" s="337"/>
      <c r="BO25" s="464" t="s">
        <v>336</v>
      </c>
      <c r="BP25" s="465" t="s">
        <v>337</v>
      </c>
      <c r="BQ25" s="337"/>
      <c r="BR25" s="337"/>
      <c r="BS25" s="336"/>
      <c r="BT25" s="298"/>
      <c r="BU25" s="337"/>
      <c r="BV25" s="337"/>
      <c r="BW25" s="464" t="s">
        <v>336</v>
      </c>
      <c r="BX25" s="465" t="s">
        <v>337</v>
      </c>
      <c r="BY25" s="337"/>
      <c r="BZ25" s="337"/>
      <c r="CA25" s="336"/>
    </row>
    <row r="26" spans="1:82" ht="12" customHeight="1" x14ac:dyDescent="0.25">
      <c r="A26" s="426" t="s">
        <v>395</v>
      </c>
      <c r="B26" s="293" t="e">
        <f>IF(NOT(ISBLANK(D26)),D26,DGET('Grid Numbers'!$A$2:$L$4952,'Grid Numbers'!$I$2,$B$66:$H$67))</f>
        <v>#VALUE!</v>
      </c>
      <c r="C26" s="598"/>
      <c r="D26" s="486"/>
      <c r="G26" s="747" t="s">
        <v>415</v>
      </c>
      <c r="H26" s="735"/>
      <c r="I26" s="335"/>
      <c r="L26" s="308"/>
      <c r="M26" s="307"/>
      <c r="Q26" s="747" t="s">
        <v>416</v>
      </c>
      <c r="R26" s="735"/>
      <c r="U26" s="486"/>
      <c r="V26" s="581"/>
      <c r="W26" s="471" t="e">
        <f>IF(NOT(ISBLANK(U26)),U26,DGET('Grid Numbers'!$A$2:$L$4952,'Grid Numbers'!$I$2,$B$74:$H$75))</f>
        <v>#VALUE!</v>
      </c>
      <c r="X26" s="423" t="s">
        <v>395</v>
      </c>
      <c r="AA26" s="593"/>
      <c r="AB26" s="593"/>
      <c r="AC26" s="318">
        <v>1</v>
      </c>
      <c r="AD26" s="317" t="s">
        <v>417</v>
      </c>
      <c r="AE26" s="325" t="e">
        <f>IF(AND($AS$24+'SHL Section'!$AI$8&gt;0,$AN$24+'SHL Section'!$AK$8&gt;0),$AE$24+'SHL Section'!$AI$8,"")</f>
        <v>#VALUE!</v>
      </c>
      <c r="AF26" s="325" t="e">
        <f>IF(AND($AS$24+'SHL Section'!$AI$8&gt;0,$AN$24+'SHL Section'!$AK$8&gt;0),$AF$24+'SHL Section'!$AK$8,"")</f>
        <v>#VALUE!</v>
      </c>
      <c r="AG26" s="324" t="e">
        <f>IF($AE$26="","",$AY$26+$AE$26)</f>
        <v>#VALUE!</v>
      </c>
      <c r="AH26" s="324" t="e">
        <f>IF($AF$26="","",$AZ$26+$AF$26)</f>
        <v>#VALUE!</v>
      </c>
      <c r="AI26" s="324" t="e">
        <f>IF($AE$26="","",$BG$26+$AY$26+$AE$26)</f>
        <v>#VALUE!</v>
      </c>
      <c r="AJ26" s="324" t="e">
        <f>IF($AF$26="","",$AZ$26+$BH$26+$AF$26)</f>
        <v>#VALUE!</v>
      </c>
      <c r="AK26" s="324" t="e">
        <f>IF($AE$26="","",$BW$26+$AE$26)</f>
        <v>#VALUE!</v>
      </c>
      <c r="AL26" s="324" t="e">
        <f>IF($AF$26="","",$AF$26+$BX$26)</f>
        <v>#VALUE!</v>
      </c>
      <c r="AM26" s="324" t="e">
        <f>IF($AE$26="","",$AW$22+$AE$26)</f>
        <v>#VALUE!</v>
      </c>
      <c r="AN26" s="324" t="e">
        <f>IF($AF$26="","",$AX$22+$AF$26)</f>
        <v>#VALUE!</v>
      </c>
      <c r="AO26" s="324" t="e">
        <f>IF($AE$26="","",$AY$26+$AE$26+$BE$22)</f>
        <v>#VALUE!</v>
      </c>
      <c r="AP26" s="324" t="e">
        <f>IF($AF$26="","",$AZ$26+$AF$26+$BF$22)</f>
        <v>#VALUE!</v>
      </c>
      <c r="AQ26" s="324" t="e">
        <f>IF($AE$26="","",$BW$26+$AE$26+$BQ$22)</f>
        <v>#VALUE!</v>
      </c>
      <c r="AR26" s="324" t="e">
        <f>IF($AF$26="","",$AF$26+$BX$26+$BR$22)</f>
        <v>#VALUE!</v>
      </c>
      <c r="AS26" s="324" t="e">
        <f>IF($AE$26="","",$BY$22+$AE$26)</f>
        <v>#VALUE!</v>
      </c>
      <c r="AT26" s="324" t="e">
        <f>IF($AF$26="","",$AF$26+$BZ$22)</f>
        <v>#VALUE!</v>
      </c>
      <c r="AU26" s="333"/>
      <c r="AV26" s="296"/>
      <c r="AY26" s="638" t="e">
        <f>AW22+BA22</f>
        <v>#VALUE!</v>
      </c>
      <c r="AZ26" s="639" t="e">
        <f>AX22+BB22</f>
        <v>#VALUE!</v>
      </c>
      <c r="BC26" s="334"/>
      <c r="BD26" s="296"/>
      <c r="BG26" s="638" t="e">
        <f>BE22+BI22</f>
        <v>#VALUE!</v>
      </c>
      <c r="BH26" s="639" t="e">
        <f>BF22+BJ22</f>
        <v>#VALUE!</v>
      </c>
      <c r="BK26" s="334"/>
      <c r="BL26" s="296"/>
      <c r="BO26" s="638" t="e">
        <f>BM22+BQ22</f>
        <v>#VALUE!</v>
      </c>
      <c r="BP26" s="639" t="e">
        <f>BN22+BR22</f>
        <v>#VALUE!</v>
      </c>
      <c r="BS26" s="334"/>
      <c r="BT26" s="296"/>
      <c r="BW26" s="638" t="e">
        <f>BU22+BY22</f>
        <v>#VALUE!</v>
      </c>
      <c r="BX26" s="639" t="e">
        <f>BV22+BZ22</f>
        <v>#VALUE!</v>
      </c>
      <c r="BZ26" s="596"/>
      <c r="CA26" s="334"/>
    </row>
    <row r="27" spans="1:82" ht="12" customHeight="1" x14ac:dyDescent="0.25">
      <c r="A27" s="426" t="s">
        <v>398</v>
      </c>
      <c r="B27" s="293" t="e">
        <f>IF(NOT(ISBLANK(D27)),D27,DGET('Grid Numbers'!$A$2:$L$4952,'Grid Numbers'!$J$2,$B$66:$H$67))</f>
        <v>#VALUE!</v>
      </c>
      <c r="C27" s="598"/>
      <c r="D27" s="486"/>
      <c r="G27" s="313" t="str">
        <f>IF(ISNUMBER($AG$58),$B$8,"")</f>
        <v/>
      </c>
      <c r="H27" s="312" t="str">
        <f>IF(AND(G28="",G29=""),"",IF($AG$58=1,"NE/NW",IF($AG$58=2,"NW/NW",IF($AG$58=3,"SW/NW",IF($AG$58=4,"SE/NW","")))))</f>
        <v/>
      </c>
      <c r="L27" s="308"/>
      <c r="M27" s="307"/>
      <c r="Q27" s="332" t="str">
        <f>IF(ISNUMBER($AE$58),$B$8,"")</f>
        <v/>
      </c>
      <c r="R27" s="312" t="str">
        <f>IF(AND(Q28="",Q29=""),"",IF($AE$58=1,"NE/NE",IF($AE$58=2,"NW/NE",IF($AE$58=3,"SW/NE",IF($AE$58=4,"SE/NE","")))))</f>
        <v/>
      </c>
      <c r="U27" s="486"/>
      <c r="V27" s="581"/>
      <c r="W27" s="471" t="e">
        <f>IF(NOT(ISBLANK(U27)),U27,DGET('Grid Numbers'!$A$2:$L$4952,'Grid Numbers'!$J$2,$B$74:$H$75))</f>
        <v>#VALUE!</v>
      </c>
      <c r="X27" s="423" t="s">
        <v>398</v>
      </c>
      <c r="AA27" s="593"/>
      <c r="AB27" s="593"/>
      <c r="AC27" s="318">
        <v>2</v>
      </c>
      <c r="AD27" s="317" t="s">
        <v>417</v>
      </c>
      <c r="AE27" s="324" t="e">
        <f>IF($AG$27="","",$AG$27-$AY$26)</f>
        <v>#VALUE!</v>
      </c>
      <c r="AF27" s="324" t="e">
        <f>IF($AH$27="","",$AH$27-$AZ$26)</f>
        <v>#VALUE!</v>
      </c>
      <c r="AG27" s="325" t="e">
        <f>IF(AND($AO$24+'SHL Section'!$AI$8&gt;0,$AN$24+'SHL Section'!$AK$8&lt;0),$AG$24+'SHL Section'!$AI$8,"")</f>
        <v>#VALUE!</v>
      </c>
      <c r="AH27" s="325" t="e">
        <f>IF(AND($AO$24+'SHL Section'!$AI$8&gt;0,$AN$24+'SHL Section'!$AK$8&lt;0),$AH$24+'SHL Section'!$AK$8,"")</f>
        <v>#VALUE!</v>
      </c>
      <c r="AI27" s="324" t="e">
        <f>IF($AG$27="","",$BG$26+$AG$27)</f>
        <v>#VALUE!</v>
      </c>
      <c r="AJ27" s="324" t="e">
        <f>IF($AH$27="","",$AH$27+$BH$26)</f>
        <v>#VALUE!</v>
      </c>
      <c r="AK27" s="324" t="e">
        <f>IF($AG$27="","",$AG$27-$AY$26+$BW$26)</f>
        <v>#VALUE!</v>
      </c>
      <c r="AL27" s="324" t="e">
        <f>IF($AH$27="","",$AH$27-$AZ$26+$BX$26)</f>
        <v>#VALUE!</v>
      </c>
      <c r="AM27" s="324" t="e">
        <f>IF($AG$27="","",$AG$27-$BA$22)</f>
        <v>#VALUE!</v>
      </c>
      <c r="AN27" s="324" t="e">
        <f>IF($AH$27="","",AH$27-$BB$22)</f>
        <v>#VALUE!</v>
      </c>
      <c r="AO27" s="324" t="e">
        <f>IF($AG$27="","",$BE$22+$AG$27)</f>
        <v>#VALUE!</v>
      </c>
      <c r="AP27" s="324" t="e">
        <f>IF($AH$27="","",$AH$27+$BF$22)</f>
        <v>#VALUE!</v>
      </c>
      <c r="AQ27" s="324" t="e">
        <f>IF($AG$27="","",$BG$26+$AG$27-$BM$22)</f>
        <v>#VALUE!</v>
      </c>
      <c r="AR27" s="324" t="e">
        <f>IF($AH$27="","",$AH$27+$BH$26-$BN$22)</f>
        <v>#VALUE!</v>
      </c>
      <c r="AS27" s="324" t="e">
        <f>IF($AG$27="","",$AG$27-$AY$26+$BY$22)</f>
        <v>#VALUE!</v>
      </c>
      <c r="AT27" s="324" t="e">
        <f>IF($AH$27="","",$AH$27-$AZ$26+$BZ$22)</f>
        <v>#VALUE!</v>
      </c>
      <c r="AU27" s="333"/>
      <c r="BZ27" s="596"/>
      <c r="CA27" s="596"/>
    </row>
    <row r="28" spans="1:82" ht="12" customHeight="1" x14ac:dyDescent="0.25">
      <c r="A28" s="426" t="s">
        <v>410</v>
      </c>
      <c r="B28" s="293" t="e">
        <f>IF(NOT(ISBLANK(D28)),D28,DGET('Grid Numbers'!$A$2:$L$4952,'Grid Numbers'!$K$2,$B$66:$H$67))</f>
        <v>#VALUE!</v>
      </c>
      <c r="C28" s="598"/>
      <c r="D28" s="487"/>
      <c r="G28" s="310" t="str">
        <f>IF(ISNUMBER($AG$58),$I$8,"")</f>
        <v/>
      </c>
      <c r="H28" s="309" t="str">
        <f>IF(ISNUMBER($AG$58),"FNL","")</f>
        <v/>
      </c>
      <c r="J28" s="596"/>
      <c r="K28" s="596"/>
      <c r="L28" s="308"/>
      <c r="M28" s="307"/>
      <c r="Q28" s="310" t="str">
        <f>IF(ISNUMBER($AE$58),$I$8,"")</f>
        <v/>
      </c>
      <c r="R28" s="309" t="str">
        <f>IF(ISNUMBER($AE$58),"FNL","")</f>
        <v/>
      </c>
      <c r="U28" s="487"/>
      <c r="V28" s="581"/>
      <c r="W28" s="471" t="e">
        <f>IF(NOT(ISBLANK(U28)),U28,DGET('Grid Numbers'!$A$2:$L$4952,'Grid Numbers'!$K$2,$B$74:$H$75))</f>
        <v>#VALUE!</v>
      </c>
      <c r="X28" s="423" t="s">
        <v>410</v>
      </c>
      <c r="AA28" s="593"/>
      <c r="AB28" s="593"/>
      <c r="AC28" s="318">
        <v>3</v>
      </c>
      <c r="AD28" s="317" t="s">
        <v>417</v>
      </c>
      <c r="AE28" s="324" t="e">
        <f>IF($AI$28="","",$AI$28-$BG$26-$AY$26)</f>
        <v>#VALUE!</v>
      </c>
      <c r="AF28" s="324" t="e">
        <f>IF($AJ$28="","",$AJ$28-$BH$26-$AZ$26)</f>
        <v>#VALUE!</v>
      </c>
      <c r="AG28" s="324" t="e">
        <f>IF($AI$28="","",$AI$28-$BG$26)</f>
        <v>#VALUE!</v>
      </c>
      <c r="AH28" s="324" t="e">
        <f>IF($AJ$28="","",$AJ$28-$BH$26)</f>
        <v>#VALUE!</v>
      </c>
      <c r="AI28" s="325" t="e">
        <f>IF(AND($AO$24+'SHL Section'!$AI$8&lt;0,$AR$24+'SHL Section'!$AK$8&lt;0),$AI$24+'SHL Section'!$AI$8,"")</f>
        <v>#VALUE!</v>
      </c>
      <c r="AJ28" s="325" t="e">
        <f>IF(AND($AO$24+'SHL Section'!$AI$8&lt;0,$AR$24+'SHL Section'!$AK$8&lt;0),$AJ$24+'SHL Section'!$AK$8,"")</f>
        <v>#VALUE!</v>
      </c>
      <c r="AK28" s="324" t="e">
        <f>IF($AI$28="","",$AI$28-$BO$26)</f>
        <v>#VALUE!</v>
      </c>
      <c r="AL28" s="324" t="e">
        <f>IF($AJ$28="","",$AJ$28-$BP$26)</f>
        <v>#VALUE!</v>
      </c>
      <c r="AM28" s="324" t="e">
        <f>IF($AI$28="","",$AI$28-$BG$26-$BA$26)</f>
        <v>#VALUE!</v>
      </c>
      <c r="AN28" s="324" t="e">
        <f>IF($AJ$28="","",$AJ$28-$BH$26-$BB$26)</f>
        <v>#VALUE!</v>
      </c>
      <c r="AO28" s="324" t="e">
        <f>IF($AI$28="","",$AI$28-$BI$26)</f>
        <v>#VALUE!</v>
      </c>
      <c r="AP28" s="324" t="e">
        <f>IF($AJ$28="","",$AJ$28-$BJ$26)</f>
        <v>#VALUE!</v>
      </c>
      <c r="AQ28" s="324" t="e">
        <f>IF($AI$28="","",$AI$28-$BM$26)</f>
        <v>#VALUE!</v>
      </c>
      <c r="AR28" s="324" t="e">
        <f>IF($AJ$28="","",$AJ$28-$BN$26)</f>
        <v>#VALUE!</v>
      </c>
      <c r="AS28" s="324" t="e">
        <f>IF($AI$28="","",$AI$28-$BO$26-$BU$26)</f>
        <v>#VALUE!</v>
      </c>
      <c r="AT28" s="324" t="e">
        <f>IF($AJ$28="","",$AJ$28-$BP$26-$BV$22)</f>
        <v>#VALUE!</v>
      </c>
      <c r="AU28" s="333" t="s">
        <v>418</v>
      </c>
      <c r="AV28" s="645" t="e">
        <f>$AW$19/($AV$19^2+$AW$19^2)^0.5</f>
        <v>#VALUE!</v>
      </c>
      <c r="AW28" s="645"/>
      <c r="AX28" s="645" t="e">
        <f>$AY$19/($AX$19^2+$AY$19^2)^0.5</f>
        <v>#VALUE!</v>
      </c>
      <c r="AY28" s="636"/>
      <c r="AZ28" s="645" t="e">
        <f>$BA$19/($AZ$19^2+$BA$19^2)^0.5</f>
        <v>#VALUE!</v>
      </c>
      <c r="BA28" s="645"/>
      <c r="BB28" s="645" t="e">
        <f>$BC$19/($BB$19^2+$BC$19^2)^0.5</f>
        <v>#VALUE!</v>
      </c>
      <c r="BC28" s="636"/>
      <c r="BD28" s="645" t="e">
        <f>$BD$19/($BD$19^2+$BE$19^2)^0.5</f>
        <v>#VALUE!</v>
      </c>
      <c r="BE28" s="645"/>
      <c r="BF28" s="645" t="e">
        <f>$BF$19/($BF$19^2+$BG$19^2)^0.5</f>
        <v>#VALUE!</v>
      </c>
      <c r="BG28" s="636"/>
      <c r="BH28" s="645" t="e">
        <f>$BH$19/($BH$19^2+$BI$19^2)^0.5</f>
        <v>#VALUE!</v>
      </c>
      <c r="BI28" s="645"/>
      <c r="BJ28" s="645" t="e">
        <f>$BJ$19/($BJ$19^2+$BK$19^2)^0.5</f>
        <v>#VALUE!</v>
      </c>
      <c r="BK28" s="636"/>
      <c r="BL28" s="645" t="e">
        <f>$BM$19/($BL$19^2+$BM$19^2)^0.5</f>
        <v>#VALUE!</v>
      </c>
      <c r="BM28" s="645"/>
      <c r="BN28" s="645" t="e">
        <f>$BO$19/($BN$19^2+$BO$19^2)^0.5</f>
        <v>#VALUE!</v>
      </c>
      <c r="BO28" s="636"/>
      <c r="BP28" s="645" t="e">
        <f>$BQ$19/($BP$19^2+$BQ$19^2)^0.5</f>
        <v>#VALUE!</v>
      </c>
      <c r="BQ28" s="645"/>
      <c r="BR28" s="645" t="e">
        <f>$BS$19/($BR$19^2+$BS$19^2)^0.5</f>
        <v>#VALUE!</v>
      </c>
      <c r="BS28" s="636"/>
      <c r="BT28" s="645" t="e">
        <f>$BT$19/($BT$19^2+$BU$19^2)^0.5</f>
        <v>#VALUE!</v>
      </c>
      <c r="BU28" s="645"/>
      <c r="BV28" s="645" t="e">
        <f>$BV$19/($BV$19^2+$BW$19^2)^0.5</f>
        <v>#VALUE!</v>
      </c>
      <c r="BW28" s="636"/>
      <c r="BX28" s="645" t="e">
        <f>$BX$19/($BX$19^2+$BY$19^2)^0.5</f>
        <v>#VALUE!</v>
      </c>
      <c r="BY28" s="645"/>
      <c r="BZ28" s="645" t="e">
        <f>$BZ$19/($BZ$19^2+$CA$19^2)^0.5</f>
        <v>#VALUE!</v>
      </c>
      <c r="CA28" s="636"/>
    </row>
    <row r="29" spans="1:82" ht="12" customHeight="1" x14ac:dyDescent="0.25">
      <c r="A29" s="426" t="s">
        <v>411</v>
      </c>
      <c r="B29" s="319" t="e">
        <f>IF(NOT(ISBLANK(D29)),D29,DGET('Grid Numbers'!$A$2:$L$4952,'Grid Numbers'!$L$2,$B$66:$H$67))</f>
        <v>#VALUE!</v>
      </c>
      <c r="C29" s="598"/>
      <c r="D29" s="490"/>
      <c r="G29" s="306" t="str">
        <f>IF(ISNUMBER($AG$58),$K$8,"")</f>
        <v/>
      </c>
      <c r="H29" s="305" t="str">
        <f>IF(ISNUMBER($AG$58),"FWL","")</f>
        <v/>
      </c>
      <c r="J29" s="596"/>
      <c r="K29" s="596"/>
      <c r="L29" s="308"/>
      <c r="M29" s="307"/>
      <c r="Q29" s="306" t="str">
        <f>IF(ISNUMBER($AE$58),$K$8,"")</f>
        <v/>
      </c>
      <c r="R29" s="305" t="str">
        <f>IF(ISNUMBER($AE$58),"FEL","")</f>
        <v/>
      </c>
      <c r="U29" s="490"/>
      <c r="V29" s="581"/>
      <c r="W29" s="319" t="e">
        <f>IF(NOT(ISBLANK(U29)),U29,DGET('Grid Numbers'!$A$2:$L$4952,'Grid Numbers'!$L$2,$B$74:$H$75))</f>
        <v>#VALUE!</v>
      </c>
      <c r="X29" s="423" t="s">
        <v>411</v>
      </c>
      <c r="AA29" s="593"/>
      <c r="AB29" s="593"/>
      <c r="AC29" s="466">
        <v>4</v>
      </c>
      <c r="AD29" s="591" t="s">
        <v>417</v>
      </c>
      <c r="AE29" s="322" t="e">
        <f>IF($AK$29="","",$AK$29-$BW$26)</f>
        <v>#VALUE!</v>
      </c>
      <c r="AF29" s="322" t="e">
        <f>IF($AL$29="","",$AL$29-$BX$26)</f>
        <v>#VALUE!</v>
      </c>
      <c r="AG29" s="322" t="e">
        <f>IF($AK$29="","",$AK$29+$BO$26-$BG$26)</f>
        <v>#VALUE!</v>
      </c>
      <c r="AH29" s="322" t="e">
        <f>IF($AL$29="","",$AL$29+$BP$26+$BH$26)</f>
        <v>#VALUE!</v>
      </c>
      <c r="AI29" s="322" t="e">
        <f>IF($AK$29="","",$AK$29+$BO$26)</f>
        <v>#VALUE!</v>
      </c>
      <c r="AJ29" s="322" t="e">
        <f>IF($AL$29="","",$AL$29+$BP$26)</f>
        <v>#VALUE!</v>
      </c>
      <c r="AK29" s="323" t="e">
        <f>IF(AND($AS$24+'SHL Section'!$AI$8&lt;0,$AR$24+'SHL Section'!$AK$8&gt;0),$AK$24+'SHL Section'!$AI$8,"")</f>
        <v>#VALUE!</v>
      </c>
      <c r="AL29" s="323" t="e">
        <f>IF(AND($AS$24+'SHL Section'!$AI$8&lt;0,$AR$24+'SHL Section'!$AK$8&gt;0),$AL$24+'SHL Section'!$AK$8,"")</f>
        <v>#VALUE!</v>
      </c>
      <c r="AM29" s="322" t="e">
        <f>IF($AK$29="","",$AK$29-$BW$26+$AW$22)</f>
        <v>#VALUE!</v>
      </c>
      <c r="AN29" s="322" t="e">
        <f>IF($AL$29="","",$AL$29-$BX$26+$AX$22)</f>
        <v>#VALUE!</v>
      </c>
      <c r="AO29" s="322" t="e">
        <f>IF($AK$29="","",$AK$29+$BO$26-$BI$22)</f>
        <v>#VALUE!</v>
      </c>
      <c r="AP29" s="322" t="e">
        <f>IF($AL$29="","",$AL$29+$BP$26-$BJ$22)</f>
        <v>#VALUE!</v>
      </c>
      <c r="AQ29" s="322" t="e">
        <f>IF($AK$29="","",$AK$29+$BQ$22)</f>
        <v>#VALUE!</v>
      </c>
      <c r="AR29" s="322" t="e">
        <f>IF($AL$29="","",$AL$29+$BR$22)</f>
        <v>#VALUE!</v>
      </c>
      <c r="AS29" s="322" t="e">
        <f>IF($AK$29="","",$AK$29-$BU$22)</f>
        <v>#VALUE!</v>
      </c>
      <c r="AT29" s="322" t="e">
        <f>IF($AL$29="","",$AL$29-$BV$22)</f>
        <v>#VALUE!</v>
      </c>
      <c r="AV29" s="636"/>
      <c r="AW29" s="636"/>
      <c r="AX29" s="636"/>
      <c r="AY29" s="636"/>
      <c r="AZ29" s="636"/>
      <c r="BA29" s="636"/>
      <c r="BB29" s="636"/>
      <c r="BC29" s="636"/>
      <c r="BD29" s="636"/>
      <c r="BE29" s="636"/>
      <c r="BF29" s="636"/>
      <c r="BG29" s="636"/>
      <c r="BH29" s="636"/>
      <c r="BI29" s="636"/>
      <c r="BJ29" s="636"/>
      <c r="BK29" s="636"/>
      <c r="BL29" s="636"/>
      <c r="BM29" s="636"/>
      <c r="BN29" s="636"/>
      <c r="BO29" s="636"/>
      <c r="BP29" s="636"/>
      <c r="BQ29" s="636"/>
      <c r="BR29" s="636"/>
      <c r="BS29" s="636"/>
      <c r="BT29" s="636"/>
      <c r="BU29" s="636"/>
      <c r="BV29" s="636"/>
      <c r="BW29" s="636"/>
      <c r="BX29" s="636"/>
      <c r="BY29" s="636"/>
      <c r="BZ29" s="636"/>
      <c r="CA29" s="636"/>
    </row>
    <row r="30" spans="1:82" ht="12" customHeight="1" x14ac:dyDescent="0.25">
      <c r="A30" s="426" t="s">
        <v>412</v>
      </c>
      <c r="B30" s="643" t="e">
        <f>IF(AND($L$38='SHL Section'!$BE$51,MAX('BHL Section 1'!$BF$37:$BF$40)=4),'BHL Section 1'!$W$30,IF(AND($L$38='SHL Section'!$BE$54,MAX('BHL Section 1'!$BF$41:$BF$44)=4),'BHL Section 1'!$W$30,IF(AND($L$38='SHL Section'!$BE$57,MAX('BHL Section 1'!$BF$45:$BF$48)=4),'BHL Section 1'!$W$30,IF(B26="","",IF(OR(B29=1,B29=4),180-(B26+B27/60+B28/3600),180+(B26+B27/60+B28/3600))))))</f>
        <v>#VALUE!</v>
      </c>
      <c r="C30" s="598"/>
      <c r="G30" s="313" t="str">
        <f>IF(ISNUMBER($AG$69),$B$9,"")</f>
        <v/>
      </c>
      <c r="H30" s="312" t="str">
        <f>IF(AND(G31="",G32=""),"",IF($AG$69=1,"NE/NW",IF($AG$69=2,"NW/NW",IF($AG$69=3,"SW/NW",IF($AG$69=4,"SE/NW","")))))</f>
        <v/>
      </c>
      <c r="J30" s="424"/>
      <c r="K30" s="424"/>
      <c r="L30" s="308"/>
      <c r="M30" s="307"/>
      <c r="Q30" s="332" t="str">
        <f>IF(ISNUMBER($AE$69),$B$9,"")</f>
        <v/>
      </c>
      <c r="R30" s="312" t="str">
        <f>IF(AND(Q31="",Q32=""),"",IF($AE$69=1,"NE/NE",IF($AE$69=2,"NW/NE",IF($AE$69=3,"SW/NE",IF($AE$69=4,"SE/NE","")))))</f>
        <v/>
      </c>
      <c r="V30" s="581"/>
      <c r="W30" s="642" t="e">
        <f>IF(AND($L$38='SHL Section'!$BE$51,MAX('BHL Section 1'!$BF$37:$BF$40)=8),'BHL Section 1'!$B$30,IF(AND($L$38='SHL Section'!$BE$54,MAX('BHL Section 1'!$BF$41:$BF$44)=8),'BHL Section 1'!$B$30,IF(AND($L$38='SHL Section'!$BE$57,MAX('BHL Section 1'!$BF$45:$BF$48)=8),'BHL Section 1'!$B$30,IF(W26="","",IF(OR(W29=1,W29=4),180-(W26+W27/60+W28/3600),180+(W26+W27/60+W28/3600))))))</f>
        <v>#VALUE!</v>
      </c>
      <c r="X30" s="423" t="s">
        <v>412</v>
      </c>
      <c r="AA30" s="593"/>
      <c r="AB30" s="593"/>
      <c r="AC30" s="762"/>
      <c r="AD30" s="683"/>
      <c r="AE30" s="321" t="str">
        <f>IF(ISNUMBER($AE$26),AE$26,IF(ISNUMBER($AG$27),AE$27,IF(ISNUMBER($AI$28),AE$28,IF(ISNUMBER($AK$29),AE$29,""))))</f>
        <v/>
      </c>
      <c r="AF30" s="321" t="str">
        <f>IF(ISNUMBER($AF$26),AF$26,IF(ISNUMBER($AH$27),AF$27,IF(ISNUMBER($AJ$28),AF$28,IF(ISNUMBER($AL$29),AF$29,""))))</f>
        <v/>
      </c>
      <c r="AG30" s="321" t="str">
        <f>IF(ISNUMBER($AE$26),AG$26,IF(ISNUMBER($AG$27),AG$27,IF(ISNUMBER($AI$28),AG$28,IF(ISNUMBER($AK$29),AG$29,""))))</f>
        <v/>
      </c>
      <c r="AH30" s="321" t="str">
        <f>IF(ISNUMBER($AF$26),AH$26,IF(ISNUMBER($AH$27),AH$27,IF(ISNUMBER($AJ$28),AH$28,IF(ISNUMBER($AL$29),AH$29,""))))</f>
        <v/>
      </c>
      <c r="AI30" s="321" t="str">
        <f>IF(ISNUMBER($AE$26),AI$26,IF(ISNUMBER($AG$27),AI$27,IF(ISNUMBER($AI$28),AI$28,IF(ISNUMBER($AK$29),AI$29,""))))</f>
        <v/>
      </c>
      <c r="AJ30" s="321" t="str">
        <f>IF(ISNUMBER($AF$26),AJ$26,IF(ISNUMBER($AH$27),AJ$27,IF(ISNUMBER($AJ$28),AJ$28,IF(ISNUMBER($AL$29),AJ$29,""))))</f>
        <v/>
      </c>
      <c r="AK30" s="321" t="str">
        <f>IF(ISNUMBER($AE$26),AK$26,IF(ISNUMBER($AG$27),AK$27,IF(ISNUMBER($AI$28),AK$28,IF(ISNUMBER($AK$29),AK$29,""))))</f>
        <v/>
      </c>
      <c r="AL30" s="321" t="str">
        <f>IF(ISNUMBER($AF$26),AL$26,IF(ISNUMBER($AH$27),AL$27,IF(ISNUMBER($AJ$28),AL$28,IF(ISNUMBER($AL$29),AL$29,""))))</f>
        <v/>
      </c>
      <c r="AM30" s="321" t="str">
        <f>IF(ISNUMBER($AE$26),AM$26,IF(ISNUMBER($AG$27),AM$27,IF(ISNUMBER($AI$28),AM$28,IF(ISNUMBER($AK$29),AM$29,""))))</f>
        <v/>
      </c>
      <c r="AN30" s="321" t="str">
        <f>IF(ISNUMBER($AF$26),AN$26,IF(ISNUMBER($AH$27),AN$27,IF(ISNUMBER($AJ$28),AN$28,IF(ISNUMBER($AL$29),AN$29,""))))</f>
        <v/>
      </c>
      <c r="AO30" s="321" t="str">
        <f>IF(ISNUMBER($AE$26),AO$26,IF(ISNUMBER($AG$27),AO$27,IF(ISNUMBER($AI$28),AO$28,IF(ISNUMBER($AK$29),AO$29,""))))</f>
        <v/>
      </c>
      <c r="AP30" s="321" t="str">
        <f>IF(ISNUMBER($AF$26),AP$26,IF(ISNUMBER($AH$27),AP$27,IF(ISNUMBER($AJ$28),AP$28,IF(ISNUMBER($AL$29),AP$29,""))))</f>
        <v/>
      </c>
      <c r="AQ30" s="321" t="str">
        <f>IF(ISNUMBER($AE$26),AQ$26,IF(ISNUMBER($AG$27),AQ$27,IF(ISNUMBER($AI$28),AQ$28,IF(ISNUMBER($AK$29),AQ$29,""))))</f>
        <v/>
      </c>
      <c r="AR30" s="321" t="str">
        <f>IF(ISNUMBER($AF$26),AR$26,IF(ISNUMBER($AH$27),AR$27,IF(ISNUMBER($AJ$28),AR$28,IF(ISNUMBER($AL$29),AR$29,""))))</f>
        <v/>
      </c>
      <c r="AS30" s="321" t="str">
        <f>IF(ISNUMBER($AE$26),AS$26,IF(ISNUMBER($AG$27),AS$27,IF(ISNUMBER($AI$28),AS$28,IF(ISNUMBER($AK$29),AS$29,""))))</f>
        <v/>
      </c>
      <c r="AT30" s="321" t="str">
        <f>IF(ISNUMBER($AF$26),AT$26,IF(ISNUMBER($AH$27),AT$27,IF(ISNUMBER($AJ$28),AT$28,IF(ISNUMBER($AL$29),AT$29,""))))</f>
        <v/>
      </c>
      <c r="AV30" s="636"/>
      <c r="AW30" s="636"/>
      <c r="AX30" s="636"/>
      <c r="AY30" s="636"/>
      <c r="AZ30" s="636"/>
      <c r="BA30" s="636"/>
      <c r="BB30" s="636"/>
      <c r="BC30" s="636"/>
      <c r="BD30" s="636"/>
      <c r="BE30" s="636"/>
      <c r="BF30" s="636"/>
      <c r="BG30" s="636"/>
      <c r="BH30" s="636"/>
      <c r="BI30" s="636"/>
      <c r="BJ30" s="636"/>
      <c r="BK30" s="636"/>
      <c r="BL30" s="636"/>
      <c r="BM30" s="636"/>
      <c r="BN30" s="636"/>
      <c r="BO30" s="636"/>
      <c r="BP30" s="636"/>
      <c r="BQ30" s="636"/>
      <c r="BR30" s="636"/>
      <c r="BS30" s="636"/>
      <c r="BT30" s="636"/>
      <c r="BU30" s="636"/>
      <c r="BV30" s="636"/>
      <c r="BW30" s="636"/>
      <c r="BX30" s="636"/>
      <c r="BY30" s="636"/>
      <c r="BZ30" s="636"/>
      <c r="CA30" s="636"/>
    </row>
    <row r="31" spans="1:82" ht="12" customHeight="1" x14ac:dyDescent="0.25">
      <c r="C31" s="598"/>
      <c r="G31" s="310" t="str">
        <f>IF(ISNUMBER($AG$69),$I$9,"")</f>
        <v/>
      </c>
      <c r="H31" s="309" t="str">
        <f>IF(ISNUMBER($AG$69),"FNL","")</f>
        <v/>
      </c>
      <c r="J31" s="424"/>
      <c r="K31" s="424"/>
      <c r="L31" s="308"/>
      <c r="M31" s="307"/>
      <c r="Q31" s="310" t="str">
        <f>IF(ISNUMBER($AE$69),$I$9,"")</f>
        <v/>
      </c>
      <c r="R31" s="309" t="str">
        <f>IF(ISNUMBER($AE$69),"FNL","")</f>
        <v/>
      </c>
      <c r="V31" s="581"/>
      <c r="AA31" s="593"/>
      <c r="AB31" s="593"/>
      <c r="AC31" s="330"/>
      <c r="AD31" s="329"/>
      <c r="AE31" s="328"/>
      <c r="AF31" s="328"/>
      <c r="AG31" s="328"/>
      <c r="AH31" s="328"/>
      <c r="AI31" s="328"/>
      <c r="AJ31" s="328"/>
      <c r="AK31" s="328"/>
      <c r="AL31" s="328"/>
      <c r="AM31" s="328"/>
      <c r="AN31" s="328"/>
      <c r="AO31" s="328"/>
      <c r="AP31" s="328"/>
      <c r="AQ31" s="328"/>
      <c r="AR31" s="328"/>
      <c r="AS31" s="328"/>
      <c r="AT31" s="328"/>
      <c r="AV31" s="636"/>
      <c r="AW31" s="636"/>
      <c r="AX31" s="636"/>
      <c r="AY31" s="636"/>
      <c r="AZ31" s="636"/>
      <c r="BA31" s="636"/>
      <c r="BB31" s="636"/>
      <c r="BC31" s="636"/>
      <c r="BD31" s="636"/>
      <c r="BE31" s="636"/>
      <c r="BF31" s="636"/>
      <c r="BG31" s="636"/>
      <c r="BH31" s="636"/>
      <c r="BI31" s="636"/>
      <c r="BJ31" s="636"/>
      <c r="BK31" s="636"/>
      <c r="BL31" s="636"/>
      <c r="BM31" s="636"/>
      <c r="BN31" s="636"/>
      <c r="BO31" s="636"/>
      <c r="BP31" s="636"/>
      <c r="BQ31" s="636"/>
      <c r="BR31" s="636"/>
      <c r="BS31" s="636"/>
      <c r="BT31" s="636"/>
      <c r="BU31" s="636"/>
      <c r="BV31" s="636"/>
      <c r="BW31" s="636"/>
      <c r="BX31" s="636"/>
      <c r="BY31" s="636"/>
      <c r="BZ31" s="636"/>
      <c r="CA31" s="636"/>
    </row>
    <row r="32" spans="1:82" ht="12" customHeight="1" x14ac:dyDescent="0.25">
      <c r="B32" s="417" t="e">
        <f>B33</f>
        <v>#VALUE!</v>
      </c>
      <c r="C32" s="598"/>
      <c r="F32" s="596"/>
      <c r="G32" s="306" t="str">
        <f>IF(ISNUMBER($AG$69),$K$9,"")</f>
        <v/>
      </c>
      <c r="H32" s="305" t="str">
        <f>IF(ISNUMBER($AG$69),"FWL","")</f>
        <v/>
      </c>
      <c r="I32" s="425"/>
      <c r="J32" s="424"/>
      <c r="K32" s="424"/>
      <c r="L32" s="308"/>
      <c r="M32" s="307"/>
      <c r="Q32" s="306" t="str">
        <f>IF(ISNUMBER($AE$69),$K$9,"")</f>
        <v/>
      </c>
      <c r="R32" s="305" t="str">
        <f>IF(ISNUMBER($AE$69),"FEL","")</f>
        <v/>
      </c>
      <c r="V32" s="581"/>
      <c r="W32" s="425" t="e">
        <f>W33</f>
        <v>#VALUE!</v>
      </c>
      <c r="AA32" s="593"/>
      <c r="AB32" s="593"/>
      <c r="AC32" s="318">
        <v>1</v>
      </c>
      <c r="AD32" s="317" t="s">
        <v>419</v>
      </c>
      <c r="AE32" s="325" t="e">
        <f>IF(AND($AS$24+'SHL Section'!$AI$9&gt;0,$AN$24+'SHL Section'!$AK$9&gt;0),$AE$24+'SHL Section'!$AI$9,"")</f>
        <v>#VALUE!</v>
      </c>
      <c r="AF32" s="325" t="e">
        <f>IF(AND($AS$24+'SHL Section'!$AI$9&gt;0,$AN$24+'SHL Section'!$AK$9&gt;0),$AF$24+'SHL Section'!$AK$9,"")</f>
        <v>#VALUE!</v>
      </c>
      <c r="AG32" s="324" t="e">
        <f>IF($AE$32="","",$AY$26+$AE$32)</f>
        <v>#VALUE!</v>
      </c>
      <c r="AH32" s="324" t="e">
        <f>IF($AF$32="","",$AZ$26+$AF$32)</f>
        <v>#VALUE!</v>
      </c>
      <c r="AI32" s="324" t="e">
        <f>IF($AE$32="","",$BG$26+$AY$26+$AE$32)</f>
        <v>#VALUE!</v>
      </c>
      <c r="AJ32" s="324" t="e">
        <f>IF($AF$32="","",$AZ$26+$BH$26+$AF$32)</f>
        <v>#VALUE!</v>
      </c>
      <c r="AK32" s="324" t="e">
        <f>IF($AE$32="","",$BW$26+$AE$32)</f>
        <v>#VALUE!</v>
      </c>
      <c r="AL32" s="324" t="e">
        <f>IF($AF$32="","",$AF$32+$BX$26)</f>
        <v>#VALUE!</v>
      </c>
      <c r="AM32" s="324" t="e">
        <f>IF($AE$32="","",$AW$22+$AE$32)</f>
        <v>#VALUE!</v>
      </c>
      <c r="AN32" s="324" t="e">
        <f>IF($AF$32="","",$AX$22+$AF$32)</f>
        <v>#VALUE!</v>
      </c>
      <c r="AO32" s="324" t="e">
        <f>IF($AE$32="","",$AY$26+$AE$32+$BE$22)</f>
        <v>#VALUE!</v>
      </c>
      <c r="AP32" s="324" t="e">
        <f>IF($AF$32="","",$AZ$26+$AF$32+$BF$22)</f>
        <v>#VALUE!</v>
      </c>
      <c r="AQ32" s="324" t="e">
        <f>IF($AE$32="","",$BW$26+$AE$32+$BQ$22)</f>
        <v>#VALUE!</v>
      </c>
      <c r="AR32" s="324" t="e">
        <f>IF($AF$32="","",$AF$32+$BX$26+$BR$22)</f>
        <v>#VALUE!</v>
      </c>
      <c r="AS32" s="324" t="e">
        <f>IF($AE$32="","",$BY$22+$AE$32)</f>
        <v>#VALUE!</v>
      </c>
      <c r="AT32" s="324" t="e">
        <f>IF($AF$32="","",$AF$32+$BZ$22)</f>
        <v>#VALUE!</v>
      </c>
      <c r="AV32" s="636"/>
      <c r="AW32" s="636"/>
      <c r="AX32" s="636"/>
      <c r="AY32" s="636"/>
      <c r="AZ32" s="636"/>
      <c r="BA32" s="636"/>
      <c r="BB32" s="636"/>
      <c r="BC32" s="636"/>
      <c r="BD32" s="636"/>
      <c r="BE32" s="636"/>
      <c r="BF32" s="636"/>
      <c r="BG32" s="636"/>
      <c r="BH32" s="636"/>
      <c r="BI32" s="636"/>
      <c r="BJ32" s="636"/>
      <c r="BK32" s="636"/>
      <c r="BL32" s="636"/>
      <c r="BM32" s="636"/>
      <c r="BN32" s="636"/>
      <c r="BO32" s="636"/>
      <c r="BP32" s="636"/>
      <c r="BQ32" s="636"/>
      <c r="BR32" s="636"/>
      <c r="BS32" s="636"/>
      <c r="BT32" s="636"/>
      <c r="BU32" s="636"/>
      <c r="BV32" s="636"/>
      <c r="BW32" s="636"/>
      <c r="BX32" s="636"/>
      <c r="BY32" s="636"/>
      <c r="BZ32" s="636"/>
      <c r="CA32" s="636"/>
    </row>
    <row r="33" spans="1:79" ht="12" customHeight="1" x14ac:dyDescent="0.25">
      <c r="A33" s="426" t="s">
        <v>385</v>
      </c>
      <c r="B33" s="301" t="e">
        <f>IF(NOT(ISBLANK(D33)),D33,DGET('Grid Numbers'!$A$2:$L$4952,'Grid Numbers'!$H$2,$B$68:$H$69))</f>
        <v>#VALUE!</v>
      </c>
      <c r="C33" s="598"/>
      <c r="D33" s="486"/>
      <c r="G33" s="313" t="str">
        <f>IF(ISNUMBER($AG$80),$B$10,"")</f>
        <v/>
      </c>
      <c r="H33" s="312" t="str">
        <f>IF(AND(G34="",G35=""),"",IF($AG$80=1,"NE/NW",IF($AG$80=2,"NW/NW",IF($AG$80=3,"SW/NW",IF($AG$80=4,"SE/NW","")))))</f>
        <v/>
      </c>
      <c r="J33" s="424"/>
      <c r="K33" s="424"/>
      <c r="L33" s="308"/>
      <c r="M33" s="307"/>
      <c r="Q33" s="332" t="str">
        <f>IF(ISNUMBER($AE$80),$B$10,"")</f>
        <v/>
      </c>
      <c r="R33" s="312" t="str">
        <f>IF(AND(Q34="",Q35=""),"",IF($AE$80=1,"NE/NE",IF($AE$80=2,"NW/NE",IF($AE$80=3,"SW/NE",IF($AE$80=4,"SE/NE","")))))</f>
        <v/>
      </c>
      <c r="S33" s="425"/>
      <c r="T33" s="424"/>
      <c r="U33" s="486"/>
      <c r="V33" s="581"/>
      <c r="W33" s="301" t="e">
        <f>IF(NOT(ISBLANK(U33)),U33,DGET('Grid Numbers'!$A$2:$L$4952,'Grid Numbers'!$H$2,$B$76:$H$77))</f>
        <v>#VALUE!</v>
      </c>
      <c r="X33" s="423" t="s">
        <v>385</v>
      </c>
      <c r="AA33" s="593"/>
      <c r="AB33" s="593"/>
      <c r="AC33" s="318">
        <v>2</v>
      </c>
      <c r="AD33" s="317" t="s">
        <v>419</v>
      </c>
      <c r="AE33" s="324" t="e">
        <f>IF($AG$33="","",$AG$33-$AY$26)</f>
        <v>#VALUE!</v>
      </c>
      <c r="AF33" s="324" t="e">
        <f>IF($AH$33="","",$AH$33-$AZ$26)</f>
        <v>#VALUE!</v>
      </c>
      <c r="AG33" s="325" t="e">
        <f>IF(AND($AO$24+'SHL Section'!$AI$9&gt;0,$AN$24+'SHL Section'!$AK$9&lt;0),$AG$24+'SHL Section'!$AI$9,"")</f>
        <v>#VALUE!</v>
      </c>
      <c r="AH33" s="325" t="e">
        <f>IF(AND($AO$24+'SHL Section'!$AI$9&gt;0,$AN$24+'SHL Section'!$AK$9&lt;0),$AH$24+'SHL Section'!$AK$9,"")</f>
        <v>#VALUE!</v>
      </c>
      <c r="AI33" s="324" t="e">
        <f>IF($AG$33="","",$BG$26+$AG$33)</f>
        <v>#VALUE!</v>
      </c>
      <c r="AJ33" s="324" t="e">
        <f>IF($AH$33="","",$AH$33+$BH$26)</f>
        <v>#VALUE!</v>
      </c>
      <c r="AK33" s="324" t="e">
        <f>IF($AG$33="","",$AG$33-$AY$26+$BW$26)</f>
        <v>#VALUE!</v>
      </c>
      <c r="AL33" s="324" t="e">
        <f>IF($AH$33="","",$AH$33-$AZ$26+$BX$26)</f>
        <v>#VALUE!</v>
      </c>
      <c r="AM33" s="324" t="e">
        <f>IF($AG$33="","",$AG$33-$BA$22)</f>
        <v>#VALUE!</v>
      </c>
      <c r="AN33" s="324" t="e">
        <f>IF($AH$33="","",AH$33-$BB$22)</f>
        <v>#VALUE!</v>
      </c>
      <c r="AO33" s="324" t="e">
        <f>IF($AG$33="","",$BE$22+$AG$33)</f>
        <v>#VALUE!</v>
      </c>
      <c r="AP33" s="324" t="e">
        <f>IF($AH$33="","",$AH$33+$BF$22)</f>
        <v>#VALUE!</v>
      </c>
      <c r="AQ33" s="324" t="e">
        <f>IF($AG$33="","",$BG$26+$AG$33-$BM$22)</f>
        <v>#VALUE!</v>
      </c>
      <c r="AR33" s="324" t="e">
        <f>IF($AH$33="","",$AH$33+$BH$26-$BN$22)</f>
        <v>#VALUE!</v>
      </c>
      <c r="AS33" s="324" t="e">
        <f>IF($AG$33="","",$AG$33-$AY$26+$BY$22)</f>
        <v>#VALUE!</v>
      </c>
      <c r="AT33" s="324" t="e">
        <f>IF($AH$33="","",$AH$33-$AZ$26+$BZ$22)</f>
        <v>#VALUE!</v>
      </c>
    </row>
    <row r="34" spans="1:79" ht="12" customHeight="1" x14ac:dyDescent="0.25">
      <c r="A34" s="426" t="s">
        <v>395</v>
      </c>
      <c r="B34" s="294" t="e">
        <f>IF(NOT(ISBLANK(D34)),D34,DGET('Grid Numbers'!$A$2:$L$4952,'Grid Numbers'!$I$2,$B$68:$H$69))</f>
        <v>#VALUE!</v>
      </c>
      <c r="C34" s="598"/>
      <c r="D34" s="486"/>
      <c r="G34" s="310" t="str">
        <f>IF(ISNUMBER($AG$80),$I$10,"")</f>
        <v/>
      </c>
      <c r="H34" s="309" t="str">
        <f>IF(ISNUMBER($AG$80),"FNL","")</f>
        <v/>
      </c>
      <c r="J34" s="424"/>
      <c r="K34" s="424"/>
      <c r="L34" s="308"/>
      <c r="M34" s="307"/>
      <c r="Q34" s="310" t="str">
        <f>IF(ISNUMBER($AE$80),$I$10,"")</f>
        <v/>
      </c>
      <c r="R34" s="309" t="str">
        <f>IF(ISNUMBER($AE$80),"FNL","")</f>
        <v/>
      </c>
      <c r="S34" s="425"/>
      <c r="T34" s="424"/>
      <c r="U34" s="486"/>
      <c r="V34" s="581"/>
      <c r="W34" s="469" t="e">
        <f>IF(NOT(ISBLANK(U34)),U34,DGET('Grid Numbers'!$A$2:$L$4952,'Grid Numbers'!$I$2,$B$76:$H$77))</f>
        <v>#VALUE!</v>
      </c>
      <c r="X34" s="423" t="s">
        <v>395</v>
      </c>
      <c r="AA34" s="593"/>
      <c r="AB34" s="593"/>
      <c r="AC34" s="318">
        <v>3</v>
      </c>
      <c r="AD34" s="317" t="s">
        <v>419</v>
      </c>
      <c r="AE34" s="324" t="e">
        <f>IF($AI$34="","",$AI$34-$BG$26-$AY$26)</f>
        <v>#VALUE!</v>
      </c>
      <c r="AF34" s="326" t="e">
        <f>IF($AJ$34="","",$AJ$34-$BH$26-$AZ$26)</f>
        <v>#VALUE!</v>
      </c>
      <c r="AG34" s="324" t="e">
        <f>IF($AI$34="","",$AI$34-$BG$26)</f>
        <v>#VALUE!</v>
      </c>
      <c r="AH34" s="324" t="e">
        <f>IF($AJ$34="","",$AJ$34-$BH$26)</f>
        <v>#VALUE!</v>
      </c>
      <c r="AI34" s="325" t="e">
        <f>IF(AND($AO$24+'SHL Section'!$AI$9&lt;0,$AR$24+'SHL Section'!$AK$9&lt;0),$AI$24+'SHL Section'!$AI$9,"")</f>
        <v>#VALUE!</v>
      </c>
      <c r="AJ34" s="325" t="e">
        <f>IF(AND($AO$24+'SHL Section'!$AI$9&lt;0,$AR$24+'SHL Section'!$AK$9&lt;0),$AJ$24+'SHL Section'!$AK$9,"")</f>
        <v>#VALUE!</v>
      </c>
      <c r="AK34" s="324" t="e">
        <f>IF($AI$34="","",$AI$34-$BO$26)</f>
        <v>#VALUE!</v>
      </c>
      <c r="AL34" s="324" t="e">
        <f>IF($AJ$34="","",$AJ$34-$BP$26)</f>
        <v>#VALUE!</v>
      </c>
      <c r="AM34" s="324" t="e">
        <f>IF($AI$34="","",$AI$34-$BG$26-$BA$26)</f>
        <v>#VALUE!</v>
      </c>
      <c r="AN34" s="324" t="e">
        <f>IF($AJ$34="","",$AJ$34-$BH$26-$BB$26)</f>
        <v>#VALUE!</v>
      </c>
      <c r="AO34" s="324" t="e">
        <f>IF($AI$34="","",$AI$34-$BI$26)</f>
        <v>#VALUE!</v>
      </c>
      <c r="AP34" s="324" t="e">
        <f>IF($AJ$34="","",$AJ$34-$BJ$26)</f>
        <v>#VALUE!</v>
      </c>
      <c r="AQ34" s="324" t="e">
        <f>IF($AI$34="","",$AI$34-$BM$26)</f>
        <v>#VALUE!</v>
      </c>
      <c r="AR34" s="324" t="e">
        <f>IF($AJ$34="","",$AJ$34-$BN$26)</f>
        <v>#VALUE!</v>
      </c>
      <c r="AS34" s="324" t="e">
        <f>IF($AI$34="","",$AI$34-$BO$26-$BU$26)</f>
        <v>#VALUE!</v>
      </c>
      <c r="AT34" s="324" t="e">
        <f>IF($AJ$34="","",$AJ$34-$BP$26-$BV$22)</f>
        <v>#VALUE!</v>
      </c>
      <c r="BZ34" s="596"/>
      <c r="CA34" s="596"/>
    </row>
    <row r="35" spans="1:79" ht="12" customHeight="1" x14ac:dyDescent="0.25">
      <c r="A35" s="426" t="s">
        <v>398</v>
      </c>
      <c r="B35" s="294" t="e">
        <f>IF(NOT(ISBLANK(D35)),D35,DGET('Grid Numbers'!$A$2:$L$4952,'Grid Numbers'!$J$2,$B$68:$H$69))</f>
        <v>#VALUE!</v>
      </c>
      <c r="C35" s="598"/>
      <c r="D35" s="486"/>
      <c r="G35" s="306" t="str">
        <f>IF(ISNUMBER($AG$80),$K$10,"")</f>
        <v/>
      </c>
      <c r="H35" s="305" t="str">
        <f>IF(ISNUMBER($AG$80),"FWL","")</f>
        <v/>
      </c>
      <c r="J35" s="424"/>
      <c r="K35" s="424"/>
      <c r="L35" s="308"/>
      <c r="M35" s="307"/>
      <c r="Q35" s="306" t="str">
        <f>IF(ISNUMBER($AE$80),$K$10,"")</f>
        <v/>
      </c>
      <c r="R35" s="305" t="str">
        <f>IF(ISNUMBER($AE$80),"FEL","")</f>
        <v/>
      </c>
      <c r="S35" s="425"/>
      <c r="T35" s="424"/>
      <c r="U35" s="486"/>
      <c r="V35" s="581"/>
      <c r="W35" s="469" t="e">
        <f>IF(NOT(ISBLANK(U35)),U35,DGET('Grid Numbers'!$A$2:$L$4952,'Grid Numbers'!$J$2,$B$76:$H$77))</f>
        <v>#VALUE!</v>
      </c>
      <c r="X35" s="423" t="s">
        <v>398</v>
      </c>
      <c r="AA35" s="593"/>
      <c r="AB35" s="292"/>
      <c r="AC35" s="466">
        <v>4</v>
      </c>
      <c r="AD35" s="591" t="s">
        <v>419</v>
      </c>
      <c r="AE35" s="322" t="e">
        <f>IF($AK$35="","",$AK$35-$BW$26)</f>
        <v>#VALUE!</v>
      </c>
      <c r="AF35" s="322" t="e">
        <f>IF($AL$35="","",$AL$35-$BX$26)</f>
        <v>#VALUE!</v>
      </c>
      <c r="AG35" s="322" t="e">
        <f>IF($AK$35="","",$AK$35+$BO$26-$BG$26)</f>
        <v>#VALUE!</v>
      </c>
      <c r="AH35" s="322" t="e">
        <f>IF($AL$35="","",$AL$35+$BP$26+$BH$26)</f>
        <v>#VALUE!</v>
      </c>
      <c r="AI35" s="322" t="e">
        <f>IF($AK$35="","",$AK$35+$BO$26)</f>
        <v>#VALUE!</v>
      </c>
      <c r="AJ35" s="322" t="e">
        <f>IF($AL$35="","",$AL$35+$BP$26)</f>
        <v>#VALUE!</v>
      </c>
      <c r="AK35" s="323" t="e">
        <f>IF(AND($AS$24+'SHL Section'!$AI$9&lt;0,$AR$24+'SHL Section'!$AK$9&gt;0),$AK$24+'SHL Section'!$AI$9,"")</f>
        <v>#VALUE!</v>
      </c>
      <c r="AL35" s="323" t="e">
        <f>IF(AND($AS$24+'SHL Section'!$AI$9&lt;0,$AR$24+'SHL Section'!$AK$9&gt;0),$AL$24+'SHL Section'!$AK$9,"")</f>
        <v>#VALUE!</v>
      </c>
      <c r="AM35" s="322" t="e">
        <f>IF($AK$35="","",$AK$35-$BW$26+$AW$22)</f>
        <v>#VALUE!</v>
      </c>
      <c r="AN35" s="322" t="e">
        <f>IF($AL$35="","",$AL$35-$BX$26+$AX$22)</f>
        <v>#VALUE!</v>
      </c>
      <c r="AO35" s="322" t="e">
        <f>IF($AK$35="","",$AK$35+$BO$26-$BI$22)</f>
        <v>#VALUE!</v>
      </c>
      <c r="AP35" s="322" t="e">
        <f>IF($AL$35="","",$AL$35+$BP$26-$BJ$22)</f>
        <v>#VALUE!</v>
      </c>
      <c r="AQ35" s="322" t="e">
        <f>IF($AK$35="","",$AK$35+$BQ$22)</f>
        <v>#VALUE!</v>
      </c>
      <c r="AR35" s="322" t="e">
        <f>IF($AL$35="","",$AL$35+$BR$22)</f>
        <v>#VALUE!</v>
      </c>
      <c r="AS35" s="322" t="e">
        <f>IF($AK$35="","",$AK$35-$BU$22)</f>
        <v>#VALUE!</v>
      </c>
      <c r="AT35" s="322" t="e">
        <f>IF($AL$35="","",$AL$35-$BV$22)</f>
        <v>#VALUE!</v>
      </c>
      <c r="BG35" s="317">
        <v>1</v>
      </c>
      <c r="BH35" s="317">
        <v>2</v>
      </c>
      <c r="BI35" s="317">
        <v>3</v>
      </c>
      <c r="BJ35" s="317">
        <v>4</v>
      </c>
      <c r="BK35" s="317">
        <v>5</v>
      </c>
      <c r="BL35" s="317">
        <v>6</v>
      </c>
      <c r="BM35" s="317">
        <v>7</v>
      </c>
      <c r="BN35" s="317">
        <v>8</v>
      </c>
      <c r="BO35" s="317">
        <v>9</v>
      </c>
      <c r="BZ35" s="596"/>
      <c r="CA35" s="596"/>
    </row>
    <row r="36" spans="1:79" ht="12" customHeight="1" x14ac:dyDescent="0.25">
      <c r="A36" s="426" t="s">
        <v>410</v>
      </c>
      <c r="B36" s="294" t="e">
        <f>IF(NOT(ISBLANK(D36)),D36,DGET('Grid Numbers'!$A$2:$L$4952,'Grid Numbers'!$K$2,$B$68:$H$69))</f>
        <v>#VALUE!</v>
      </c>
      <c r="C36" s="598"/>
      <c r="D36" s="487"/>
      <c r="J36" s="424"/>
      <c r="K36" s="424"/>
      <c r="L36" s="308"/>
      <c r="M36" s="307"/>
      <c r="S36" s="425"/>
      <c r="T36" s="424"/>
      <c r="U36" s="487"/>
      <c r="V36" s="581"/>
      <c r="W36" s="469" t="e">
        <f>IF(NOT(ISBLANK(U36)),U36,DGET('Grid Numbers'!$A$2:$L$4952,'Grid Numbers'!$K$2,$B$76:$H$77))</f>
        <v>#VALUE!</v>
      </c>
      <c r="X36" s="423" t="s">
        <v>410</v>
      </c>
      <c r="AA36" s="593"/>
      <c r="AB36" s="292"/>
      <c r="AC36" s="762"/>
      <c r="AD36" s="683"/>
      <c r="AE36" s="321" t="str">
        <f>IF(ISNUMBER($AE$32),AE$32,IF(ISNUMBER($AG$33),AE$33,IF(ISNUMBER($AI$34),AE$34,IF(ISNUMBER($AK$35),AE$35,""))))</f>
        <v/>
      </c>
      <c r="AF36" s="321" t="str">
        <f>IF(ISNUMBER($AF$32),AF$32,IF(ISNUMBER($AH$33),AF$33,IF(ISNUMBER($AJ$34),AF$34,IF(ISNUMBER($AL$35),AF$35,""))))</f>
        <v/>
      </c>
      <c r="AG36" s="321" t="str">
        <f>IF(ISNUMBER($AE$32),AG$32,IF(ISNUMBER($AG$33),AG$33,IF(ISNUMBER($AI$34),AG$34,IF(ISNUMBER($AK$35),AG$35,""))))</f>
        <v/>
      </c>
      <c r="AH36" s="321" t="str">
        <f>IF(ISNUMBER($AF$32),AH$32,IF(ISNUMBER($AH$33),AH$33,IF(ISNUMBER($AJ$34),AH$34,IF(ISNUMBER($AL$35),AH$35,""))))</f>
        <v/>
      </c>
      <c r="AI36" s="321" t="str">
        <f>IF(ISNUMBER($AE$32),AI$32,IF(ISNUMBER($AG$33),AI$33,IF(ISNUMBER($AI$34),AI$34,IF(ISNUMBER($AK$35),AI$35,""))))</f>
        <v/>
      </c>
      <c r="AJ36" s="321" t="str">
        <f>IF(ISNUMBER($AF$32),AJ$32,IF(ISNUMBER($AH$33),AJ$33,IF(ISNUMBER($AJ$34),AJ$34,IF(ISNUMBER($AL$35),AJ$35,""))))</f>
        <v/>
      </c>
      <c r="AK36" s="321" t="str">
        <f>IF(ISNUMBER($AE$32),AK$32,IF(ISNUMBER($AG$33),AK$33,IF(ISNUMBER($AI$34),AK$34,IF(ISNUMBER($AK$35),AK$35,""))))</f>
        <v/>
      </c>
      <c r="AL36" s="321" t="str">
        <f>IF(ISNUMBER($AF$32),AL$32,IF(ISNUMBER($AH$33),AL$33,IF(ISNUMBER($AJ$34),AL$34,IF(ISNUMBER($AL$35),AL$35,""))))</f>
        <v/>
      </c>
      <c r="AM36" s="321" t="str">
        <f>IF(ISNUMBER($AE$32),AM$32,IF(ISNUMBER($AG$33),AM$33,IF(ISNUMBER($AI$34),AM$34,IF(ISNUMBER($AK$35),AM$35,""))))</f>
        <v/>
      </c>
      <c r="AN36" s="321" t="str">
        <f>IF(ISNUMBER($AF$32),AN$32,IF(ISNUMBER($AH$33),AN$33,IF(ISNUMBER($AJ$34),AN$34,IF(ISNUMBER($AL$35),AN$35,""))))</f>
        <v/>
      </c>
      <c r="AO36" s="321" t="str">
        <f>IF(ISNUMBER($AE$32),AO$32,IF(ISNUMBER($AG$33),AO$33,IF(ISNUMBER($AI$34),AO$34,IF(ISNUMBER($AK$35),AO$35,""))))</f>
        <v/>
      </c>
      <c r="AP36" s="321" t="str">
        <f>IF(ISNUMBER($AF$32),AP$32,IF(ISNUMBER($AH$33),AP$33,IF(ISNUMBER($AJ$34),AP$34,IF(ISNUMBER($AL$35),AP$35,""))))</f>
        <v/>
      </c>
      <c r="AQ36" s="321" t="str">
        <f>IF(ISNUMBER($AE$32),AQ$32,IF(ISNUMBER($AG$33),AQ$33,IF(ISNUMBER($AI$34),AQ$34,IF(ISNUMBER($AK$35),AQ$35,""))))</f>
        <v/>
      </c>
      <c r="AR36" s="321" t="str">
        <f>IF(ISNUMBER($AF$32),AR$32,IF(ISNUMBER($AH$33),AR$33,IF(ISNUMBER($AJ$34),AR$34,IF(ISNUMBER($AL$35),AR$35,""))))</f>
        <v/>
      </c>
      <c r="AS36" s="321" t="str">
        <f>IF(ISNUMBER($AE$32),AS$32,IF(ISNUMBER($AG$33),AS$33,IF(ISNUMBER($AI$34),AS$34,IF(ISNUMBER($AK$35),AS$35,""))))</f>
        <v/>
      </c>
      <c r="AT36" s="321" t="str">
        <f>IF(ISNUMBER($AF$32),AT$32,IF(ISNUMBER($AH$33),AT$33,IF(ISNUMBER($AJ$34),AT$34,IF(ISNUMBER($AL$35),AT$35,""))))</f>
        <v/>
      </c>
      <c r="AV36" s="311" t="s">
        <v>186</v>
      </c>
      <c r="AW36" s="311" t="s">
        <v>399</v>
      </c>
      <c r="AX36" s="311" t="s">
        <v>427</v>
      </c>
      <c r="AY36" s="311" t="s">
        <v>12</v>
      </c>
      <c r="AZ36" s="291" t="s">
        <v>422</v>
      </c>
      <c r="BA36" s="311" t="s">
        <v>428</v>
      </c>
      <c r="BB36" s="311" t="s">
        <v>429</v>
      </c>
      <c r="BD36" s="445" t="s">
        <v>396</v>
      </c>
      <c r="BE36" s="444" t="s">
        <v>420</v>
      </c>
      <c r="BF36" s="443" t="s">
        <v>421</v>
      </c>
      <c r="BG36" s="317" t="s">
        <v>399</v>
      </c>
      <c r="BH36" s="317" t="s">
        <v>12</v>
      </c>
      <c r="BI36" s="317" t="s">
        <v>422</v>
      </c>
      <c r="BJ36" s="317" t="s">
        <v>311</v>
      </c>
      <c r="BK36" s="317" t="s">
        <v>423</v>
      </c>
      <c r="BL36" s="317" t="s">
        <v>414</v>
      </c>
      <c r="BM36" s="317" t="s">
        <v>424</v>
      </c>
      <c r="BN36" s="317" t="s">
        <v>413</v>
      </c>
      <c r="BO36" s="317" t="s">
        <v>425</v>
      </c>
      <c r="BZ36" s="596"/>
      <c r="CA36" s="596"/>
    </row>
    <row r="37" spans="1:79" ht="12" customHeight="1" thickBot="1" x14ac:dyDescent="0.3">
      <c r="A37" s="426" t="s">
        <v>411</v>
      </c>
      <c r="B37" s="319" t="e">
        <f>IF(NOT(ISBLANK(D37)),D37,DGET('Grid Numbers'!$A$2:$L$4952,'Grid Numbers'!$L$2,$B$68:$H$69))</f>
        <v>#VALUE!</v>
      </c>
      <c r="C37" s="598"/>
      <c r="D37" s="490"/>
      <c r="J37" s="424"/>
      <c r="K37" s="424"/>
      <c r="L37" s="308"/>
      <c r="M37" s="307"/>
      <c r="O37" s="596"/>
      <c r="P37" s="596"/>
      <c r="S37" s="425"/>
      <c r="T37" s="424"/>
      <c r="U37" s="490"/>
      <c r="V37" s="581"/>
      <c r="W37" s="319" t="e">
        <f>IF(NOT(ISBLANK(U37)),U37,DGET('Grid Numbers'!$A$2:$L$4952,'Grid Numbers'!$L$2,$B$76:$H$77))</f>
        <v>#VALUE!</v>
      </c>
      <c r="X37" s="423" t="s">
        <v>411</v>
      </c>
      <c r="AA37" s="593"/>
      <c r="AB37" s="593"/>
      <c r="AC37" s="330"/>
      <c r="AD37" s="329"/>
      <c r="AE37" s="328"/>
      <c r="AF37" s="328"/>
      <c r="AG37" s="328"/>
      <c r="AH37" s="328"/>
      <c r="AI37" s="328"/>
      <c r="AJ37" s="328"/>
      <c r="AK37" s="328"/>
      <c r="AL37" s="328"/>
      <c r="AM37" s="328"/>
      <c r="AN37" s="328"/>
      <c r="AO37" s="328"/>
      <c r="AP37" s="328"/>
      <c r="AQ37" s="328"/>
      <c r="AR37" s="328"/>
      <c r="AS37" s="328"/>
      <c r="AT37" s="328"/>
      <c r="AV37" s="311" t="s">
        <v>187</v>
      </c>
      <c r="AW37" s="311" t="s">
        <v>499</v>
      </c>
      <c r="AX37" s="311" t="s">
        <v>432</v>
      </c>
      <c r="AY37" s="311" t="s">
        <v>414</v>
      </c>
      <c r="AZ37" s="291" t="s">
        <v>425</v>
      </c>
      <c r="BA37" s="311" t="s">
        <v>433</v>
      </c>
      <c r="BB37" s="311" t="s">
        <v>434</v>
      </c>
      <c r="BD37" s="318">
        <v>1</v>
      </c>
      <c r="BE37" s="317" t="s">
        <v>417</v>
      </c>
      <c r="BF37" s="334" t="str">
        <f>IF(AND(MAX($AE$58:$AL$58)&lt;1,ISNUMBER($AE$26), ISNUMBER($AF$26)),IF(AND($AE$26&gt;0,$AF$26&gt;0),3,IF(AND($AE$26&lt;0,IF(-$AE$26&lt;$BZ$19,$AO$62,$AO$65)&lt;0),4,IF(AND(IF(-$AF$26&lt;$AW$19,$AN$62,$AN$63)&lt;0,$AF$26&lt;0),2,""))),"")</f>
        <v/>
      </c>
      <c r="BG37" s="291">
        <v>1</v>
      </c>
      <c r="BH37" s="291">
        <v>36</v>
      </c>
      <c r="BI37" s="291">
        <v>31</v>
      </c>
      <c r="BJ37" s="291">
        <v>6</v>
      </c>
      <c r="BK37" s="291">
        <v>7</v>
      </c>
      <c r="BL37" s="291">
        <v>12</v>
      </c>
      <c r="BM37" s="291">
        <v>11</v>
      </c>
      <c r="BN37" s="291">
        <v>2</v>
      </c>
      <c r="BO37" s="291">
        <v>35</v>
      </c>
      <c r="BZ37" s="596"/>
      <c r="CA37" s="596"/>
    </row>
    <row r="38" spans="1:79" ht="12" customHeight="1" x14ac:dyDescent="0.25">
      <c r="A38" s="426" t="s">
        <v>412</v>
      </c>
      <c r="B38" s="643" t="e">
        <f>IF(AND($L$38='SHL Section'!$BE$51,MAX('BHL Section 1'!$BF$37:$BF$40)=4),'BHL Section 1'!$W$38,IF(AND($L$38='SHL Section'!$BE$54,MAX('BHL Section 1'!$BF$41:$BF$44)=4),'BHL Section 1'!$W$38,IF(AND($L$38='SHL Section'!$BE$57,MAX('BHL Section 1'!$BF$45:$BF$48)=4),'BHL Section 1'!$W$38,IF(B34="","",IF(OR(B37=1,B37=4),180-(B34+B35/60+B36/3600),180+(B34+B35/60+B36/3600))))))</f>
        <v>#VALUE!</v>
      </c>
      <c r="C38" s="598"/>
      <c r="F38" s="646"/>
      <c r="I38" s="425"/>
      <c r="J38" s="424"/>
      <c r="K38" s="424"/>
      <c r="L38" s="763" t="e">
        <f>IF(NOT(OR('SHL Section'!$BE$51='BHL Section 1'!$L$38,'SHL Section'!$BE$51='SHL Section'!$N$7)),'SHL Section'!$BE$51,IF(NOT(OR('SHL Section'!$BE$54='BHL Section 1'!$L$38,'SHL Section'!$BE$54='SHL Section'!$N$7)),'SHL Section'!$BE$54,IF(NOT(OR('SHL Section'!$BE$57='BHL Section 1'!$L$38,'SHL Section'!$BE$57='SHL Section'!$N$7)),'SHL Section'!$BE$57,IF(AND(NOT('SHL Section'!$BE$51='SHL Section'!$N$7),'SHL Section'!$BE$53='SHL Section'!$N$7),'SHL Section'!$BE$56,""))))</f>
        <v>#VALUE!</v>
      </c>
      <c r="M38" s="706"/>
      <c r="P38" s="646"/>
      <c r="S38" s="425"/>
      <c r="T38" s="424"/>
      <c r="U38" s="593"/>
      <c r="V38" s="581"/>
      <c r="W38" s="642" t="e">
        <f>IF(AND($L$38='SHL Section'!$BE$51,MAX('BHL Section 1'!$BF$37:$BF$40)=8),'BHL Section 1'!$B$38,IF(AND($L$38='SHL Section'!$BE$54,MAX('BHL Section 1'!$BF$41:$BF$44)=8),'BHL Section 1'!$B$38,IF(AND($L$38='SHL Section'!$BE$57,MAX('BHL Section 1'!$BF$45:$BF$48)=8),'BHL Section 1'!$B$38,IF(W34="","",IF(OR(W37=1,W37=4),180-(W34+W35/60+W36/3600),180+(W34+W35/60+W36/3600))))))</f>
        <v>#VALUE!</v>
      </c>
      <c r="X38" s="423" t="s">
        <v>412</v>
      </c>
      <c r="AA38" s="593"/>
      <c r="AB38" s="292"/>
      <c r="AC38" s="318">
        <v>1</v>
      </c>
      <c r="AD38" s="317" t="s">
        <v>430</v>
      </c>
      <c r="AE38" s="325" t="e">
        <f>IF(AND($AS$24+'SHL Section'!$AI$10&gt;0,$AN$24+'SHL Section'!$AK$10&gt;0),$AE$24+'SHL Section'!$AI$10,"")</f>
        <v>#VALUE!</v>
      </c>
      <c r="AF38" s="325" t="e">
        <f>IF(AND($AS$24+'SHL Section'!$AI$10&gt;0,$AN$24+'SHL Section'!$AK$10&gt;0),$AF$24+'SHL Section'!$AK$10,"")</f>
        <v>#VALUE!</v>
      </c>
      <c r="AG38" s="324" t="e">
        <f>IF($AE$38="","",$AY$26+$AE$38)</f>
        <v>#VALUE!</v>
      </c>
      <c r="AH38" s="324" t="e">
        <f>IF($AF$38="","",$AZ$26+$AF$38)</f>
        <v>#VALUE!</v>
      </c>
      <c r="AI38" s="324" t="e">
        <f>IF($AE$38="","",$BG$26+$AY$26+$AE$38)</f>
        <v>#VALUE!</v>
      </c>
      <c r="AJ38" s="324" t="e">
        <f>IF($AF$38="","",$AZ$26+$BH$26+$AF$38)</f>
        <v>#VALUE!</v>
      </c>
      <c r="AK38" s="324" t="e">
        <f>IF($AE$38="","",$BW$26+$AE$38)</f>
        <v>#VALUE!</v>
      </c>
      <c r="AL38" s="324" t="e">
        <f>IF($AF$38="","",$AF$38+$BX$26)</f>
        <v>#VALUE!</v>
      </c>
      <c r="AM38" s="324" t="e">
        <f>IF($AE$38="","",$AW$22+$AE$38)</f>
        <v>#VALUE!</v>
      </c>
      <c r="AN38" s="324" t="e">
        <f>IF($AF$38="","",$AX$22+$AF$38)</f>
        <v>#VALUE!</v>
      </c>
      <c r="AO38" s="324" t="e">
        <f>IF($AE$38="","",$AY$26+$AE$38+$BE$22)</f>
        <v>#VALUE!</v>
      </c>
      <c r="AP38" s="324" t="e">
        <f>IF($AF$38="","",$AZ$26+$AF$38+$BF$22)</f>
        <v>#VALUE!</v>
      </c>
      <c r="AQ38" s="324" t="e">
        <f>IF($AE$38="","",$BW$26+$AE$38+$BQ$22)</f>
        <v>#VALUE!</v>
      </c>
      <c r="AR38" s="324" t="e">
        <f>IF($AF$38="","",$AF$38+$BX$26+$BR$22)</f>
        <v>#VALUE!</v>
      </c>
      <c r="AS38" s="324" t="e">
        <f>IF($AE$38="","",$BY$22+$AE$38)</f>
        <v>#VALUE!</v>
      </c>
      <c r="AT38" s="324" t="e">
        <f>IF($AF$38="","",$AF$38+$BZ$22)</f>
        <v>#VALUE!</v>
      </c>
      <c r="AV38" s="311" t="s">
        <v>188</v>
      </c>
      <c r="AW38" s="311" t="s">
        <v>500</v>
      </c>
      <c r="AX38" s="311" t="s">
        <v>436</v>
      </c>
      <c r="AY38" s="311" t="s">
        <v>311</v>
      </c>
      <c r="AZ38" s="291" t="s">
        <v>424</v>
      </c>
      <c r="BA38" s="311"/>
      <c r="BB38" s="311" t="s">
        <v>437</v>
      </c>
      <c r="BD38" s="318">
        <v>2</v>
      </c>
      <c r="BE38" s="317" t="s">
        <v>417</v>
      </c>
      <c r="BF38" s="334" t="str">
        <f>IF(AND(MAX($AE$58:$AL$58)&lt;1,ISNUMBER($AG$27), ISNUMBER($AH$27)),IF(AND(IF($AH$27&lt;$BC$19,$AP$63,$AP$62)&lt;0,$AH$27&gt;0),2,IF(AND($AG$27&gt;0,$AH$27&lt;0),9,IF(AND($AG$27&lt;0,IF(-$AG$27&lt;$BD$19,$AQ$63,$AQ$64)&lt;0),8,""))),"")</f>
        <v/>
      </c>
      <c r="BG38" s="291">
        <v>2</v>
      </c>
      <c r="BH38" s="291">
        <v>35</v>
      </c>
      <c r="BI38" s="291">
        <v>36</v>
      </c>
      <c r="BJ38" s="291">
        <v>1</v>
      </c>
      <c r="BK38" s="291">
        <v>12</v>
      </c>
      <c r="BL38" s="291">
        <v>11</v>
      </c>
      <c r="BM38" s="291">
        <v>10</v>
      </c>
      <c r="BN38" s="291">
        <v>3</v>
      </c>
      <c r="BO38" s="291">
        <v>34</v>
      </c>
      <c r="BZ38" s="596"/>
      <c r="CA38" s="596"/>
    </row>
    <row r="39" spans="1:79" ht="12" customHeight="1" thickBot="1" x14ac:dyDescent="0.3">
      <c r="A39" s="748" t="e">
        <f>CONCATENATE("W QC of ",$L$38)</f>
        <v>#VALUE!</v>
      </c>
      <c r="B39" s="698"/>
      <c r="C39" s="422"/>
      <c r="D39" s="421"/>
      <c r="E39" s="421"/>
      <c r="F39" s="421"/>
      <c r="G39" s="421"/>
      <c r="H39" s="421"/>
      <c r="I39" s="421"/>
      <c r="J39" s="421"/>
      <c r="K39" s="421"/>
      <c r="L39" s="764"/>
      <c r="M39" s="698"/>
      <c r="N39" s="421"/>
      <c r="O39" s="421"/>
      <c r="P39" s="421"/>
      <c r="Q39" s="421"/>
      <c r="R39" s="421"/>
      <c r="S39" s="421"/>
      <c r="T39" s="421"/>
      <c r="U39" s="421"/>
      <c r="V39" s="420"/>
      <c r="W39" s="765" t="e">
        <f>CONCATENATE("E QC of ",$L$38)</f>
        <v>#VALUE!</v>
      </c>
      <c r="X39" s="679"/>
      <c r="AA39" s="593"/>
      <c r="AB39" s="292"/>
      <c r="AC39" s="318">
        <v>2</v>
      </c>
      <c r="AD39" s="317" t="s">
        <v>430</v>
      </c>
      <c r="AE39" s="324" t="e">
        <f>IF($AG$39="","",$AG$39-$AY$26)</f>
        <v>#VALUE!</v>
      </c>
      <c r="AF39" s="324" t="e">
        <f>IF($AH$39="","",$AH$39-$AZ$26)</f>
        <v>#VALUE!</v>
      </c>
      <c r="AG39" s="325" t="e">
        <f>IF(AND($AO$24+'SHL Section'!$AI$10&gt;0,$AN$24+'SHL Section'!$AK$10&lt;0),$AG$24+'SHL Section'!$AI$10,"")</f>
        <v>#VALUE!</v>
      </c>
      <c r="AH39" s="325" t="e">
        <f>IF(AND($AO$24+'SHL Section'!$AI$10&gt;0,$AN$24+'SHL Section'!$AK$10&lt;0),$AH$24+'SHL Section'!$AK$10,"")</f>
        <v>#VALUE!</v>
      </c>
      <c r="AI39" s="324" t="e">
        <f>IF($AG$39="","",$BG$26+$AG$39)</f>
        <v>#VALUE!</v>
      </c>
      <c r="AJ39" s="324" t="e">
        <f>IF($AH$39="","",$AH$39+$BH$26)</f>
        <v>#VALUE!</v>
      </c>
      <c r="AK39" s="324" t="e">
        <f>IF($AG$39="","",$AG$39-$AY$26+$BW$26)</f>
        <v>#VALUE!</v>
      </c>
      <c r="AL39" s="324" t="e">
        <f>IF($AH$39="","",$AH$39-$AZ$26+$BX$26)</f>
        <v>#VALUE!</v>
      </c>
      <c r="AM39" s="324" t="e">
        <f>IF($AG$39="","",$AG$39-$BA$22)</f>
        <v>#VALUE!</v>
      </c>
      <c r="AN39" s="324" t="e">
        <f>IF($AH$39="","",AH$39-$BB$22)</f>
        <v>#VALUE!</v>
      </c>
      <c r="AO39" s="324" t="e">
        <f>IF($AG$39="","",$BE$22+$AG$39)</f>
        <v>#VALUE!</v>
      </c>
      <c r="AP39" s="324" t="e">
        <f>IF($AH$39="","",$AH$39+$BF$22)</f>
        <v>#VALUE!</v>
      </c>
      <c r="AQ39" s="324" t="e">
        <f>IF($AG$39="","",$BG$26+$AG$39-$BM$22)</f>
        <v>#VALUE!</v>
      </c>
      <c r="AR39" s="324" t="e">
        <f>IF($AH$39="","",$AH$39+$BH$26-$BN$22)</f>
        <v>#VALUE!</v>
      </c>
      <c r="AS39" s="324" t="e">
        <f>IF($AG$39="","",$AG$39-$AY$26+$BY$22)</f>
        <v>#VALUE!</v>
      </c>
      <c r="AT39" s="324" t="e">
        <f>IF($AH$39="","",$AH$39-$AZ$26+$BZ$22)</f>
        <v>#VALUE!</v>
      </c>
      <c r="AV39" s="311" t="s">
        <v>189</v>
      </c>
      <c r="AW39" s="311" t="s">
        <v>420</v>
      </c>
      <c r="AX39" s="311" t="s">
        <v>438</v>
      </c>
      <c r="AY39" s="311" t="s">
        <v>413</v>
      </c>
      <c r="AZ39" s="291" t="s">
        <v>423</v>
      </c>
      <c r="BA39" s="311"/>
      <c r="BB39" s="311" t="s">
        <v>439</v>
      </c>
      <c r="BD39" s="318">
        <v>3</v>
      </c>
      <c r="BE39" s="317" t="s">
        <v>417</v>
      </c>
      <c r="BF39" s="334" t="str">
        <f>IF(AND(MAX($AE$58:$AL$58)&lt;1,ISNUMBER($AI$28), ISNUMBER($AJ$28)),IF(AND($AI$28&gt;0,IF($AI$28&lt;$BJ$19,$AS$64,$AS$63)&lt;0),8,IF(AND($AI$28&lt;0,$AJ$28&lt;0),7,IF(AND(IF($AJ$28&lt;$BM$19,$AR$64,$AR$65)&lt;0,$AJ$28&gt;0),6,""))),"")</f>
        <v/>
      </c>
      <c r="BG39" s="291">
        <v>3</v>
      </c>
      <c r="BH39" s="291">
        <v>34</v>
      </c>
      <c r="BI39" s="291">
        <v>35</v>
      </c>
      <c r="BJ39" s="291">
        <v>2</v>
      </c>
      <c r="BK39" s="291">
        <v>11</v>
      </c>
      <c r="BL39" s="291">
        <v>10</v>
      </c>
      <c r="BM39" s="291">
        <v>9</v>
      </c>
      <c r="BN39" s="291">
        <v>4</v>
      </c>
      <c r="BO39" s="291">
        <v>33</v>
      </c>
      <c r="BZ39" s="596"/>
      <c r="CA39" s="596"/>
    </row>
    <row r="40" spans="1:79" ht="12" customHeight="1" x14ac:dyDescent="0.25">
      <c r="A40" s="679"/>
      <c r="B40" s="698"/>
      <c r="C40" s="419"/>
      <c r="D40" s="418"/>
      <c r="E40" s="418"/>
      <c r="F40" s="418"/>
      <c r="G40" s="418"/>
      <c r="H40" s="418"/>
      <c r="I40" s="418"/>
      <c r="J40" s="418"/>
      <c r="K40" s="418"/>
      <c r="L40" s="764"/>
      <c r="M40" s="698"/>
      <c r="N40" s="418"/>
      <c r="O40" s="418"/>
      <c r="P40" s="418"/>
      <c r="Q40" s="418"/>
      <c r="R40" s="418"/>
      <c r="S40" s="418"/>
      <c r="T40" s="418"/>
      <c r="U40" s="418"/>
      <c r="V40" s="581"/>
      <c r="W40" s="679"/>
      <c r="X40" s="679"/>
      <c r="AA40" s="593"/>
      <c r="AB40" s="292"/>
      <c r="AC40" s="318">
        <v>3</v>
      </c>
      <c r="AD40" s="317" t="s">
        <v>430</v>
      </c>
      <c r="AE40" s="324" t="e">
        <f>IF($AI$40="","",$AI$40-$BG$26-$AY$26)</f>
        <v>#VALUE!</v>
      </c>
      <c r="AF40" s="326" t="e">
        <f>IF($AJ$40="","",$AJ$40-$BH$26-$AZ$26)</f>
        <v>#VALUE!</v>
      </c>
      <c r="AG40" s="324" t="e">
        <f>IF($AI$40="","",$AI$40-$BG$26)</f>
        <v>#VALUE!</v>
      </c>
      <c r="AH40" s="324" t="e">
        <f>IF($AJ$40="","",$AJ$40-$BH$26)</f>
        <v>#VALUE!</v>
      </c>
      <c r="AI40" s="325" t="e">
        <f>IF(AND($AO$24+'SHL Section'!$AI$10&lt;0,$AR$24+'SHL Section'!$AK$10&lt;0),$AI$24+'SHL Section'!$AI$10,"")</f>
        <v>#VALUE!</v>
      </c>
      <c r="AJ40" s="325" t="e">
        <f>IF(AND($AO$24+'SHL Section'!$AI$10&lt;0,$AR$24+'SHL Section'!$AK$10&lt;0),$AJ$24+'SHL Section'!$AK$10,"")</f>
        <v>#VALUE!</v>
      </c>
      <c r="AK40" s="324" t="e">
        <f>IF($AI$40="","",$AI$40-$BO$26)</f>
        <v>#VALUE!</v>
      </c>
      <c r="AL40" s="324" t="e">
        <f>IF($AJ$40="","",$AJ$40-$BP$26)</f>
        <v>#VALUE!</v>
      </c>
      <c r="AM40" s="324" t="e">
        <f>IF($AI$40="","",$AI$40-$BG$26-$BA$26)</f>
        <v>#VALUE!</v>
      </c>
      <c r="AN40" s="324" t="e">
        <f>IF($AJ$40="","",$AJ$40-$BH$26-$BB$26)</f>
        <v>#VALUE!</v>
      </c>
      <c r="AO40" s="324" t="e">
        <f>IF($AI$40="","",$AI$40-$BI$26)</f>
        <v>#VALUE!</v>
      </c>
      <c r="AP40" s="324" t="e">
        <f>IF($AJ$40="","",$AJ$40-$BJ$26)</f>
        <v>#VALUE!</v>
      </c>
      <c r="AQ40" s="324" t="e">
        <f>IF($AI$40="","",$AI$40-$BM$26)</f>
        <v>#VALUE!</v>
      </c>
      <c r="AR40" s="324" t="e">
        <f>IF($AJ$40="","",$AJ$40-$BN$26)</f>
        <v>#VALUE!</v>
      </c>
      <c r="AS40" s="324" t="e">
        <f>IF($AI$40="","",$AI$40-$BO$26-$BU$26)</f>
        <v>#VALUE!</v>
      </c>
      <c r="AT40" s="324" t="e">
        <f>IF($AJ$40="","",$AJ$40-$BP$26-$BV$22)</f>
        <v>#VALUE!</v>
      </c>
      <c r="AV40" s="311"/>
      <c r="AW40" s="311"/>
      <c r="AX40" s="311"/>
      <c r="AY40" s="311"/>
      <c r="AZ40" s="311"/>
      <c r="BA40" s="311"/>
      <c r="BB40" s="311" t="s">
        <v>440</v>
      </c>
      <c r="BD40" s="466">
        <v>4</v>
      </c>
      <c r="BE40" s="591" t="s">
        <v>417</v>
      </c>
      <c r="BF40" s="316" t="str">
        <f>IF(AND(MAX($AE$58:$AL$58)&lt;1,ISNUMBER($AK$29), ISNUMBER($AL$29)),IF(AND(IF(-$AL$29&lt;$BS$19,$AT$65,$AT$64)&lt;0,$AL$29&lt;0),6,IF(AND($AK$29&lt;0,$AL$29&gt;0),5,IF(AND($AK$29&gt;0,IF($AK$29&lt;$BT$19,$AU$65,$AU$62)&lt;0),4,""))),"")</f>
        <v/>
      </c>
      <c r="BG40" s="291">
        <v>4</v>
      </c>
      <c r="BH40" s="291">
        <v>33</v>
      </c>
      <c r="BI40" s="291">
        <v>34</v>
      </c>
      <c r="BJ40" s="291">
        <v>3</v>
      </c>
      <c r="BK40" s="291">
        <v>10</v>
      </c>
      <c r="BL40" s="291">
        <v>9</v>
      </c>
      <c r="BM40" s="291">
        <v>8</v>
      </c>
      <c r="BN40" s="291">
        <v>5</v>
      </c>
      <c r="BO40" s="291">
        <v>32</v>
      </c>
      <c r="BZ40" s="596"/>
      <c r="CA40" s="596"/>
    </row>
    <row r="41" spans="1:79" ht="12" customHeight="1" thickBot="1" x14ac:dyDescent="0.3">
      <c r="B41" s="417" t="e">
        <f>B42</f>
        <v>#VALUE!</v>
      </c>
      <c r="C41" s="598"/>
      <c r="L41" s="703"/>
      <c r="M41" s="707"/>
      <c r="V41" s="581"/>
      <c r="W41" s="425" t="e">
        <f>W42</f>
        <v>#VALUE!</v>
      </c>
      <c r="AA41" s="593"/>
      <c r="AB41" s="292"/>
      <c r="AC41" s="466">
        <v>4</v>
      </c>
      <c r="AD41" s="591" t="s">
        <v>430</v>
      </c>
      <c r="AE41" s="322" t="e">
        <f>IF($AK$41="","",$AK$41-$BW$26)</f>
        <v>#VALUE!</v>
      </c>
      <c r="AF41" s="322" t="e">
        <f>IF($AL$41="","",$AL$41-$BX$26)</f>
        <v>#VALUE!</v>
      </c>
      <c r="AG41" s="322" t="e">
        <f>IF($AK$41="","",$AK$41+$BO$26-$BG$26)</f>
        <v>#VALUE!</v>
      </c>
      <c r="AH41" s="322" t="e">
        <f>IF($AL$41="","",$AL$41+$BP$26+$BH$26)</f>
        <v>#VALUE!</v>
      </c>
      <c r="AI41" s="322" t="e">
        <f>IF($AK$41="","",$AK$41+$BO$26)</f>
        <v>#VALUE!</v>
      </c>
      <c r="AJ41" s="322" t="e">
        <f>IF($AL$41="","",$AL$41+$BP$26)</f>
        <v>#VALUE!</v>
      </c>
      <c r="AK41" s="323" t="e">
        <f>IF(AND($AS$24+'SHL Section'!$AI$10&lt;0,$AR$24+'SHL Section'!$AK$10&gt;0),$AK$24+'SHL Section'!$AI$10,"")</f>
        <v>#VALUE!</v>
      </c>
      <c r="AL41" s="323" t="e">
        <f>IF(AND($AS$24+'SHL Section'!$AI$10&lt;0,$AR$24+'SHL Section'!$AK$10&gt;0),$AL$24+'SHL Section'!$AK$10,"")</f>
        <v>#VALUE!</v>
      </c>
      <c r="AM41" s="322" t="e">
        <f>IF($AK$41="","",$AK$41-$BW$26+$AW$22)</f>
        <v>#VALUE!</v>
      </c>
      <c r="AN41" s="322" t="e">
        <f>IF($AL$41="","",$AL$41-$BX$26+$AX$22)</f>
        <v>#VALUE!</v>
      </c>
      <c r="AO41" s="322" t="e">
        <f>IF($AK$41="","",$AK$41+$BO$26-$BI$22)</f>
        <v>#VALUE!</v>
      </c>
      <c r="AP41" s="322" t="e">
        <f>IF($AL$41="","",$AL$41+$BP$26-$BJ$22)</f>
        <v>#VALUE!</v>
      </c>
      <c r="AQ41" s="322" t="e">
        <f>IF($AK$41="","",$AK$41+$BQ$22)</f>
        <v>#VALUE!</v>
      </c>
      <c r="AR41" s="322" t="e">
        <f>IF($AL$41="","",$AL$41+$BR$22)</f>
        <v>#VALUE!</v>
      </c>
      <c r="AS41" s="322" t="e">
        <f>IF($AK$41="","",$AK$41-$BU$22)</f>
        <v>#VALUE!</v>
      </c>
      <c r="AT41" s="322" t="e">
        <f>IF($AL$41="","",$AL$41-$BV$22)</f>
        <v>#VALUE!</v>
      </c>
      <c r="AV41" s="311"/>
      <c r="AW41" s="311"/>
      <c r="AX41" s="311"/>
      <c r="AY41" s="311"/>
      <c r="AZ41" s="311"/>
      <c r="BA41" s="311"/>
      <c r="BB41" s="311" t="s">
        <v>443</v>
      </c>
      <c r="BD41" s="318">
        <v>1</v>
      </c>
      <c r="BE41" s="317" t="s">
        <v>419</v>
      </c>
      <c r="BF41" s="334" t="str">
        <f>IF(AND(MAX($AE$69:$AL$69)&lt;1,ISNUMBER($AE$32), ISNUMBER($AF$32)),IF(AND($AE$32&gt;0,$AF$32&gt;0),3,IF(AND($AE$32&lt;0,IF(-$AE$32&lt;$BZ$19,$AO$73,$AO$76)&lt;0),4,IF(AND(IF(-$AF$32&lt;$AW$19,$AN$73,$AN$74)&lt;0,$AF$32&lt;0),2,""))),"")</f>
        <v/>
      </c>
      <c r="BG41" s="291">
        <v>5</v>
      </c>
      <c r="BH41" s="291">
        <v>32</v>
      </c>
      <c r="BI41" s="291">
        <v>33</v>
      </c>
      <c r="BJ41" s="291">
        <v>4</v>
      </c>
      <c r="BK41" s="291">
        <v>9</v>
      </c>
      <c r="BL41" s="291">
        <v>8</v>
      </c>
      <c r="BM41" s="291">
        <v>7</v>
      </c>
      <c r="BN41" s="291">
        <v>6</v>
      </c>
      <c r="BO41" s="291">
        <v>31</v>
      </c>
      <c r="BZ41" s="596"/>
      <c r="CA41" s="596"/>
    </row>
    <row r="42" spans="1:79" ht="12" customHeight="1" x14ac:dyDescent="0.25">
      <c r="A42" s="426" t="s">
        <v>385</v>
      </c>
      <c r="B42" s="299" t="e">
        <f>IF(NOT(ISBLANK(D42)),D42,DGET('Grid Numbers'!$A$2:$L$4952,'Grid Numbers'!$H$2,B70:H71))</f>
        <v>#VALUE!</v>
      </c>
      <c r="C42" s="598"/>
      <c r="D42" s="486"/>
      <c r="G42" s="747" t="s">
        <v>441</v>
      </c>
      <c r="H42" s="735"/>
      <c r="L42" s="308"/>
      <c r="M42" s="307"/>
      <c r="Q42" s="747" t="s">
        <v>442</v>
      </c>
      <c r="R42" s="735"/>
      <c r="U42" s="486"/>
      <c r="V42" s="581"/>
      <c r="W42" s="470" t="e">
        <f>IF(NOT(ISBLANK(U42)),U42,DGET('Grid Numbers'!$A$2:$L$4952,'Grid Numbers'!$H$2,$B$78:$H$79))</f>
        <v>#VALUE!</v>
      </c>
      <c r="X42" s="423" t="s">
        <v>385</v>
      </c>
      <c r="AA42" s="593"/>
      <c r="AB42" s="292"/>
      <c r="AC42" s="762"/>
      <c r="AD42" s="683"/>
      <c r="AE42" s="321" t="str">
        <f>IF(ISNUMBER($AE$38),AE$38,IF(ISNUMBER($AG$39),AE$39,IF(ISNUMBER($AI$40),AE$40,IF(ISNUMBER($AK$41),AE$41,""))))</f>
        <v/>
      </c>
      <c r="AF42" s="321" t="str">
        <f>IF(ISNUMBER($AF$38),AF$38,IF(ISNUMBER($AH$39),AF$39,IF(ISNUMBER($AJ$40),AF$40,IF(ISNUMBER($AL$41),AF$41,""))))</f>
        <v/>
      </c>
      <c r="AG42" s="321" t="str">
        <f>IF(ISNUMBER($AE$38),AG$38,IF(ISNUMBER($AG$39),AG$39,IF(ISNUMBER($AI$40),AG$40,IF(ISNUMBER($AK$41),AG$41,""))))</f>
        <v/>
      </c>
      <c r="AH42" s="321" t="str">
        <f>IF(ISNUMBER($AF$38),AH$38,IF(ISNUMBER($AH$39),AH$39,IF(ISNUMBER($AJ$40),AH$40,IF(ISNUMBER($AL$41),AH$41,""))))</f>
        <v/>
      </c>
      <c r="AI42" s="321" t="str">
        <f>IF(ISNUMBER($AE$38),AI$38,IF(ISNUMBER($AG$39),AI$39,IF(ISNUMBER($AI$40),AI$40,IF(ISNUMBER($AK$41),AI$41,""))))</f>
        <v/>
      </c>
      <c r="AJ42" s="321" t="str">
        <f>IF(ISNUMBER($AF$38),AJ$38,IF(ISNUMBER($AH$39),AJ$39,IF(ISNUMBER($AJ$40),AJ$40,IF(ISNUMBER($AL$41),AJ$41,""))))</f>
        <v/>
      </c>
      <c r="AK42" s="321" t="str">
        <f>IF(ISNUMBER($AE$38),AK$38,IF(ISNUMBER($AG$39),AK$39,IF(ISNUMBER($AI$40),AK$40,IF(ISNUMBER($AK$41),AK$41,""))))</f>
        <v/>
      </c>
      <c r="AL42" s="321" t="str">
        <f>IF(ISNUMBER($AF$38),AL$38,IF(ISNUMBER($AH$39),AL$39,IF(ISNUMBER($AJ$40),AL$40,IF(ISNUMBER($AL$41),AL$41,""))))</f>
        <v/>
      </c>
      <c r="AM42" s="321" t="str">
        <f>IF(ISNUMBER($AE$38),AM$38,IF(ISNUMBER($AG$39),AM$39,IF(ISNUMBER($AI$40),AM$40,IF(ISNUMBER($AK$41),AM$41,""))))</f>
        <v/>
      </c>
      <c r="AN42" s="321" t="str">
        <f>IF(ISNUMBER($AF$38),AN$38,IF(ISNUMBER($AH$39),AN$39,IF(ISNUMBER($AJ$40),AN$40,IF(ISNUMBER($AL$41),AN$41,""))))</f>
        <v/>
      </c>
      <c r="AO42" s="321" t="str">
        <f>IF(ISNUMBER($AE$38),AO$38,IF(ISNUMBER($AG$39),AO$39,IF(ISNUMBER($AI$40),AO$40,IF(ISNUMBER($AK$41),AO$41,""))))</f>
        <v/>
      </c>
      <c r="AP42" s="321" t="str">
        <f>IF(ISNUMBER($AF$38),AP$38,IF(ISNUMBER($AH$39),AP$39,IF(ISNUMBER($AJ$40),AP$40,IF(ISNUMBER($AL$41),AP$41,""))))</f>
        <v/>
      </c>
      <c r="AQ42" s="321" t="str">
        <f>IF(ISNUMBER($AE$38),AQ$38,IF(ISNUMBER($AG$39),AQ$39,IF(ISNUMBER($AI$40),AQ$40,IF(ISNUMBER($AK$41),AQ$41,""))))</f>
        <v/>
      </c>
      <c r="AR42" s="321" t="str">
        <f>IF(ISNUMBER($AF$38),AR$38,IF(ISNUMBER($AH$39),AR$39,IF(ISNUMBER($AJ$40),AR$40,IF(ISNUMBER($AL$41),AR$41,""))))</f>
        <v/>
      </c>
      <c r="AS42" s="321" t="str">
        <f>IF(ISNUMBER($AE$38),AS$38,IF(ISNUMBER($AG$39),AS$39,IF(ISNUMBER($AI$40),AS$40,IF(ISNUMBER($AK$41),AS$41,""))))</f>
        <v/>
      </c>
      <c r="AT42" s="321" t="str">
        <f>IF(ISNUMBER($AF$38),AT$38,IF(ISNUMBER($AH$39),AT$39,IF(ISNUMBER($AJ$40),AT$40,IF(ISNUMBER($AL$41),AT$41,""))))</f>
        <v/>
      </c>
      <c r="AV42" s="311"/>
      <c r="AW42" s="311"/>
      <c r="AX42" s="311"/>
      <c r="AY42" s="311"/>
      <c r="AZ42" s="311"/>
      <c r="BA42" s="311"/>
      <c r="BB42" s="311" t="s">
        <v>444</v>
      </c>
      <c r="BD42" s="318">
        <v>2</v>
      </c>
      <c r="BE42" s="317" t="s">
        <v>419</v>
      </c>
      <c r="BF42" s="334" t="str">
        <f>IF(AND(MAX($AE$69:$AL$69)&lt;1,ISNUMBER($AG$33), ISNUMBER($AH$33)),IF(AND(IF($AH$33&lt;$BC$19,$AP$74,$AP$73)&lt;0,$AH$33&gt;0),2,IF(AND($AG$33&gt;0,$AH$33&lt;0),9,IF(AND($AG$33&lt;0,IF(-$AG$33&lt;$BD$19,$AQ$74,$AQ$75)&lt;0),8,""))),"")</f>
        <v/>
      </c>
      <c r="BG42" s="291">
        <v>6</v>
      </c>
      <c r="BH42" s="291">
        <v>31</v>
      </c>
      <c r="BI42" s="291">
        <v>32</v>
      </c>
      <c r="BJ42" s="291">
        <v>5</v>
      </c>
      <c r="BK42" s="291">
        <v>8</v>
      </c>
      <c r="BL42" s="291">
        <v>7</v>
      </c>
      <c r="BM42" s="291">
        <v>12</v>
      </c>
      <c r="BN42" s="291">
        <v>1</v>
      </c>
      <c r="BO42" s="291">
        <v>36</v>
      </c>
      <c r="BZ42" s="596"/>
      <c r="CA42" s="596"/>
    </row>
    <row r="43" spans="1:79" ht="12" customHeight="1" x14ac:dyDescent="0.25">
      <c r="A43" s="426" t="s">
        <v>395</v>
      </c>
      <c r="B43" s="293" t="e">
        <f>IF(NOT(ISBLANK(D43)),D43,DGET('Grid Numbers'!$A$2:$L$4952,'Grid Numbers'!$I$2,B70:H71))</f>
        <v>#VALUE!</v>
      </c>
      <c r="C43" s="598"/>
      <c r="D43" s="486"/>
      <c r="G43" s="313" t="str">
        <f>IF(ISNUMBER($AI$58),$B$8,"")</f>
        <v/>
      </c>
      <c r="H43" s="312" t="str">
        <f>IF(AND(G44="",G45=""),"",IF($AI$58=1,"NE/SW",IF($AI$58=2,"NW/SW",IF($AI$58=3,"SW/SW",IF($AI$58=4,"SE/SW","")))))</f>
        <v/>
      </c>
      <c r="L43" s="308"/>
      <c r="M43" s="307"/>
      <c r="Q43" s="313" t="str">
        <f>IF(ISNUMBER($AK$58),$B$8,"")</f>
        <v/>
      </c>
      <c r="R43" s="312" t="str">
        <f>IF(AND(Q44="",Q45=""),"",IF($AK$58=1,"NE/SE",IF($AK$58=2,"NW/SE",IF($AK$58=3,"SW/SE",IF($AK$58=4,"SE/SE","")))))</f>
        <v/>
      </c>
      <c r="U43" s="486"/>
      <c r="V43" s="581"/>
      <c r="W43" s="471" t="e">
        <f>IF(NOT(ISBLANK(U43)),U43,DGET('Grid Numbers'!$A$2:$L$4952,'Grid Numbers'!$I$2,$B$78:$H$79))</f>
        <v>#VALUE!</v>
      </c>
      <c r="X43" s="423" t="s">
        <v>395</v>
      </c>
      <c r="AA43" s="593"/>
      <c r="AB43" s="292"/>
      <c r="AV43" s="311"/>
      <c r="AW43" s="311"/>
      <c r="AX43" s="311"/>
      <c r="AY43" s="311"/>
      <c r="AZ43" s="311"/>
      <c r="BA43" s="311"/>
      <c r="BB43" s="311" t="s">
        <v>445</v>
      </c>
      <c r="BD43" s="318">
        <v>3</v>
      </c>
      <c r="BE43" s="317" t="s">
        <v>419</v>
      </c>
      <c r="BF43" s="334" t="str">
        <f>IF(AND(MAX($AE$69:$AL$69)&lt;1,ISNUMBER($AI$34), ISNUMBER($AJ$34)),IF(AND($AI$34&gt;0,IF($AI$34&lt;$BJ$19,$AS$75,$AS$74)&lt;0),8,IF(AND($AI$34&lt;0,$AJ$34&lt;0),7,IF(AND(IF($AJ$34&lt;$BM$19,$AR$75,$AR$76)&lt;0,$AJ$34&gt;0),6,""))),"")</f>
        <v/>
      </c>
      <c r="BG43" s="291">
        <v>7</v>
      </c>
      <c r="BH43" s="291">
        <v>6</v>
      </c>
      <c r="BI43" s="291">
        <v>5</v>
      </c>
      <c r="BJ43" s="291">
        <v>8</v>
      </c>
      <c r="BK43" s="291">
        <v>17</v>
      </c>
      <c r="BL43" s="291">
        <v>18</v>
      </c>
      <c r="BM43" s="291">
        <v>13</v>
      </c>
      <c r="BN43" s="291">
        <v>12</v>
      </c>
      <c r="BO43" s="291">
        <v>1</v>
      </c>
      <c r="BZ43" s="596"/>
      <c r="CA43" s="596"/>
    </row>
    <row r="44" spans="1:79" ht="12" customHeight="1" x14ac:dyDescent="0.25">
      <c r="A44" s="426" t="s">
        <v>398</v>
      </c>
      <c r="B44" s="293" t="e">
        <f>IF(NOT(ISBLANK(D44)),D44,DGET('Grid Numbers'!$A$2:$L$4952,'Grid Numbers'!$J$2,$B$70:$H$71))</f>
        <v>#VALUE!</v>
      </c>
      <c r="C44" s="598"/>
      <c r="D44" s="486"/>
      <c r="G44" s="310" t="str">
        <f>IF(ISNUMBER($AI$58),$I$8,"")</f>
        <v/>
      </c>
      <c r="H44" s="309" t="str">
        <f>IF(ISNUMBER($AI$58),"FSL","")</f>
        <v/>
      </c>
      <c r="J44" s="596"/>
      <c r="K44" s="596"/>
      <c r="L44" s="308"/>
      <c r="M44" s="307"/>
      <c r="Q44" s="310" t="str">
        <f>IF(ISNUMBER($AK$58),$I$8,"")</f>
        <v/>
      </c>
      <c r="R44" s="309" t="str">
        <f>IF(ISNUMBER($AK$58),"FSL","")</f>
        <v/>
      </c>
      <c r="T44" s="596"/>
      <c r="U44" s="486"/>
      <c r="V44" s="581"/>
      <c r="W44" s="471" t="e">
        <f>IF(NOT(ISBLANK(U44)),U44,DGET('Grid Numbers'!$A$2:$L$4952,'Grid Numbers'!$J$2,$B$78:$H$79))</f>
        <v>#VALUE!</v>
      </c>
      <c r="X44" s="423" t="s">
        <v>398</v>
      </c>
      <c r="AA44" s="593"/>
      <c r="AB44" s="292"/>
      <c r="AV44" s="311"/>
      <c r="AW44" s="311"/>
      <c r="AX44" s="311"/>
      <c r="AY44" s="311"/>
      <c r="AZ44" s="311"/>
      <c r="BA44" s="311"/>
      <c r="BB44" s="311" t="s">
        <v>450</v>
      </c>
      <c r="BD44" s="466">
        <v>4</v>
      </c>
      <c r="BE44" s="591" t="s">
        <v>419</v>
      </c>
      <c r="BF44" s="316" t="str">
        <f>IF(AND(MAX($AE$69:$AL$69)&lt;1,ISNUMBER($AK$35), ISNUMBER($AL$35)),IF(AND(IF(-$AL$35&lt;$BS$19,$AT$76,$AT$75)&lt;0,$AL$35&lt;0),6,IF(AND($AK$35&lt;0,$AL$35&gt;0),5,IF(AND($AK$35&gt;0,IF($AK$35&lt;$BT$19,$AU$76,$AU$73)&lt;0),4,""))),"")</f>
        <v/>
      </c>
      <c r="BG44" s="291">
        <v>8</v>
      </c>
      <c r="BH44" s="291">
        <v>5</v>
      </c>
      <c r="BI44" s="291">
        <v>4</v>
      </c>
      <c r="BJ44" s="291">
        <v>9</v>
      </c>
      <c r="BK44" s="291">
        <v>16</v>
      </c>
      <c r="BL44" s="291">
        <v>17</v>
      </c>
      <c r="BM44" s="291">
        <v>18</v>
      </c>
      <c r="BN44" s="291">
        <v>7</v>
      </c>
      <c r="BO44" s="291">
        <v>6</v>
      </c>
      <c r="BZ44" s="596"/>
      <c r="CA44" s="596"/>
    </row>
    <row r="45" spans="1:79" ht="12" customHeight="1" x14ac:dyDescent="0.25">
      <c r="A45" s="426" t="s">
        <v>410</v>
      </c>
      <c r="B45" s="293" t="e">
        <f>IF(NOT(ISBLANK(D45)),D45,DGET('Grid Numbers'!$A$2:$L$4952,'Grid Numbers'!$K$2,$B$70:$H$71))</f>
        <v>#VALUE!</v>
      </c>
      <c r="C45" s="598"/>
      <c r="D45" s="487"/>
      <c r="G45" s="306" t="str">
        <f>IF(ISNUMBER($AI$58),$K$8,"")</f>
        <v/>
      </c>
      <c r="H45" s="305" t="str">
        <f>IF(ISNUMBER($AI$58),"FWL","")</f>
        <v/>
      </c>
      <c r="J45" s="596"/>
      <c r="K45" s="596"/>
      <c r="L45" s="308"/>
      <c r="M45" s="307"/>
      <c r="Q45" s="306" t="str">
        <f>IF(ISNUMBER($AK$58),$K$8,"")</f>
        <v/>
      </c>
      <c r="R45" s="305" t="str">
        <f>IF(ISNUMBER($AK$58),"FEL","")</f>
        <v/>
      </c>
      <c r="T45" s="596"/>
      <c r="U45" s="487"/>
      <c r="V45" s="581"/>
      <c r="W45" s="471" t="e">
        <f>IF(NOT(ISBLANK(U45)),U45,DGET('Grid Numbers'!$A$2:$L$4952,'Grid Numbers'!$K$2,$B$78:$H$79))</f>
        <v>#VALUE!</v>
      </c>
      <c r="X45" s="423" t="s">
        <v>410</v>
      </c>
      <c r="AA45" s="593"/>
      <c r="AB45" s="292"/>
      <c r="AC45" s="317"/>
      <c r="AD45" s="317"/>
      <c r="AE45" s="772" t="s">
        <v>446</v>
      </c>
      <c r="AF45" s="683"/>
      <c r="AG45" s="768" t="s">
        <v>447</v>
      </c>
      <c r="AH45" s="682"/>
      <c r="AI45" s="772" t="s">
        <v>448</v>
      </c>
      <c r="AJ45" s="683"/>
      <c r="AK45" s="772" t="s">
        <v>449</v>
      </c>
      <c r="AL45" s="683"/>
      <c r="AV45" s="311"/>
      <c r="AW45" s="311"/>
      <c r="AX45" s="311"/>
      <c r="AY45" s="311"/>
      <c r="AZ45" s="311"/>
      <c r="BA45" s="311"/>
      <c r="BB45" s="311" t="s">
        <v>451</v>
      </c>
      <c r="BD45" s="318">
        <v>1</v>
      </c>
      <c r="BE45" s="317" t="s">
        <v>430</v>
      </c>
      <c r="BF45" s="334" t="str">
        <f>IF(AND(MAX($AE$80:$AL$80)&lt;1,ISNUMBER($AE$38), ISNUMBER($AF$38)),IF(AND($AE$38&gt;0,$AF$38&gt;0),3,IF(AND($AE$38&lt;0,IF(-$AE$38&lt;$BZ$19,$AO$84,$AO$87)&lt;0),4,IF(AND(IF(-$AF$38&lt;$AW$19,$AN$84,$AN$85)&lt;0,$AF$38&lt;0),2,""))),"")</f>
        <v/>
      </c>
      <c r="BG45" s="291">
        <v>9</v>
      </c>
      <c r="BH45" s="291">
        <v>4</v>
      </c>
      <c r="BI45" s="291">
        <v>3</v>
      </c>
      <c r="BJ45" s="291">
        <v>10</v>
      </c>
      <c r="BK45" s="291">
        <v>15</v>
      </c>
      <c r="BL45" s="291">
        <v>16</v>
      </c>
      <c r="BM45" s="291">
        <v>17</v>
      </c>
      <c r="BN45" s="291">
        <v>8</v>
      </c>
      <c r="BO45" s="291">
        <v>5</v>
      </c>
      <c r="BZ45" s="596"/>
      <c r="CA45" s="596"/>
    </row>
    <row r="46" spans="1:79" ht="12" customHeight="1" x14ac:dyDescent="0.25">
      <c r="A46" s="426" t="s">
        <v>411</v>
      </c>
      <c r="B46" s="319" t="e">
        <f>IF(NOT(ISBLANK(D46)),D46,DGET('Grid Numbers'!$A$2:$L$4952,'Grid Numbers'!$L$2,$B$70:$H$71))</f>
        <v>#VALUE!</v>
      </c>
      <c r="C46" s="598"/>
      <c r="D46" s="490"/>
      <c r="G46" s="313" t="str">
        <f>IF(ISNUMBER($AI$69),$B$9,"")</f>
        <v/>
      </c>
      <c r="H46" s="312" t="str">
        <f>IF(AND(G47="",G48=""),"",IF($AI$69=1,"NE/SW",IF($AI$69=2,"NW/SW",IF($AI$69=3,"SW/SW",IF($AI$69=4,"SE/SW","")))))</f>
        <v/>
      </c>
      <c r="I46" s="425"/>
      <c r="J46" s="424"/>
      <c r="K46" s="424"/>
      <c r="L46" s="308"/>
      <c r="M46" s="307"/>
      <c r="Q46" s="313" t="str">
        <f>IF(ISNUMBER($AK$69),$B$9,"")</f>
        <v/>
      </c>
      <c r="R46" s="312" t="str">
        <f>IF(AND(Q47="",Q48=""),"",IF($AK$69=1,"NE/SE",IF($AK$69=2,"NW/SE",IF($AK$69=3,"SW/SE",IF($AK$69=4,"SE/SE","")))))</f>
        <v/>
      </c>
      <c r="S46" s="425"/>
      <c r="T46" s="424"/>
      <c r="U46" s="490"/>
      <c r="V46" s="581"/>
      <c r="W46" s="319" t="e">
        <f>IF(NOT(ISBLANK(U46)),U46,DGET('Grid Numbers'!$A$2:$L$4952,'Grid Numbers'!$L$2,$B$78:$H$79))</f>
        <v>#VALUE!</v>
      </c>
      <c r="X46" s="423" t="s">
        <v>411</v>
      </c>
      <c r="AA46" s="593"/>
      <c r="AB46" s="292"/>
      <c r="AD46" s="317"/>
      <c r="AE46" s="783">
        <v>1</v>
      </c>
      <c r="AF46" s="683"/>
      <c r="AG46" s="783">
        <v>2</v>
      </c>
      <c r="AH46" s="683"/>
      <c r="AI46" s="783">
        <v>3</v>
      </c>
      <c r="AJ46" s="683"/>
      <c r="AK46" s="783">
        <v>4</v>
      </c>
      <c r="AL46" s="683"/>
      <c r="AV46" s="311"/>
      <c r="AW46" s="311"/>
      <c r="AX46" s="311"/>
      <c r="AY46" s="311"/>
      <c r="AZ46" s="311"/>
      <c r="BA46" s="311"/>
      <c r="BB46" s="311" t="s">
        <v>453</v>
      </c>
      <c r="BD46" s="318">
        <v>2</v>
      </c>
      <c r="BE46" s="317" t="s">
        <v>430</v>
      </c>
      <c r="BF46" s="334" t="str">
        <f>IF(AND(MAX($AE$80:$AL$80)&lt;1,ISNUMBER($AG$39), ISNUMBER($AH$39)),IF(AND(IF($AH$39&lt;$BC$19,$AP$85,$AP$84)&lt;0,$AH$39&gt;0),2,IF(AND($AG$39&gt;0,$AH$39&lt;0),9,IF(AND($AG$39&lt;0,IF(-$AG$39&lt;$BD$19,$AQ$85,$AQ$86)&lt;0),8,""))),"")</f>
        <v/>
      </c>
      <c r="BG46" s="291">
        <v>10</v>
      </c>
      <c r="BH46" s="291">
        <v>3</v>
      </c>
      <c r="BI46" s="291">
        <v>2</v>
      </c>
      <c r="BJ46" s="291">
        <v>11</v>
      </c>
      <c r="BK46" s="291">
        <v>14</v>
      </c>
      <c r="BL46" s="291">
        <v>15</v>
      </c>
      <c r="BM46" s="291">
        <v>16</v>
      </c>
      <c r="BN46" s="291">
        <v>9</v>
      </c>
      <c r="BO46" s="291">
        <v>4</v>
      </c>
      <c r="BZ46" s="596"/>
      <c r="CA46" s="596"/>
    </row>
    <row r="47" spans="1:79" ht="12" customHeight="1" x14ac:dyDescent="0.25">
      <c r="A47" s="426" t="s">
        <v>412</v>
      </c>
      <c r="B47" s="643" t="e">
        <f>IF(AND($L$38='SHL Section'!$BE$51,MAX('BHL Section 1'!$BF$37:$BF$40)=4),'BHL Section 1'!$W$47,IF(AND($L$38='SHL Section'!$BE$54,MAX('BHL Section 1'!$BF$41:$BF$44)=4),'BHL Section 1'!$W$47,IF(AND($L$38='SHL Section'!$BE$57,MAX('BHL Section 1'!$BF$45:$BF$48)=4),'BHL Section 1'!$W$47,IF(B43="","",IF(OR(B46=1,B46=4),180-(B43+B44/60+B45/3600),180+(B43+B44/60+B45/3600))))))</f>
        <v>#VALUE!</v>
      </c>
      <c r="C47" s="598"/>
      <c r="G47" s="310" t="str">
        <f>IF(ISNUMBER($AI$69),$I$9,"")</f>
        <v/>
      </c>
      <c r="H47" s="309" t="str">
        <f>IF(ISNUMBER($AI$69),"FSL","")</f>
        <v/>
      </c>
      <c r="I47" s="425"/>
      <c r="J47" s="424"/>
      <c r="K47" s="424"/>
      <c r="L47" s="308"/>
      <c r="M47" s="307"/>
      <c r="Q47" s="310" t="str">
        <f>IF(ISNUMBER($AK$69),$I$9,"")</f>
        <v/>
      </c>
      <c r="R47" s="309" t="str">
        <f>IF(ISNUMBER($AK$69),"FSL","")</f>
        <v/>
      </c>
      <c r="S47" s="425"/>
      <c r="T47" s="424"/>
      <c r="V47" s="581"/>
      <c r="W47" s="642" t="e">
        <f>IF(AND($L$38='SHL Section'!$BE$51,MAX('BHL Section 1'!$BF$37:$BF$40)=8),'BHL Section 1'!$B$47,IF(AND($L$38='SHL Section'!$BE$54,MAX('BHL Section 1'!$BF$41:$BF$44)=8),'BHL Section 1'!$B$47,IF(AND($L$38='SHL Section'!$BE$57,MAX('BHL Section 1'!$BF$45:$BF$48)=8),'BHL Section 1'!$B$47,IF(W43="","",IF(OR(W46=1,W46=4),180-(W43+W44/60+W45/3600),180+(W43+W44/60+W45/3600))))))</f>
        <v>#VALUE!</v>
      </c>
      <c r="X47" s="423" t="s">
        <v>412</v>
      </c>
      <c r="AA47" s="593"/>
      <c r="AE47" s="761" t="s">
        <v>452</v>
      </c>
      <c r="AF47" s="757"/>
      <c r="AG47" s="767" t="s">
        <v>452</v>
      </c>
      <c r="AH47" s="735"/>
      <c r="AI47" s="761" t="s">
        <v>452</v>
      </c>
      <c r="AJ47" s="757"/>
      <c r="AK47" s="761" t="s">
        <v>452</v>
      </c>
      <c r="AL47" s="757"/>
      <c r="AV47" s="311"/>
      <c r="AW47" s="311"/>
      <c r="AX47" s="311"/>
      <c r="AY47" s="311"/>
      <c r="AZ47" s="311"/>
      <c r="BA47" s="311"/>
      <c r="BB47" s="311" t="s">
        <v>454</v>
      </c>
      <c r="BD47" s="318">
        <v>3</v>
      </c>
      <c r="BE47" s="317" t="s">
        <v>430</v>
      </c>
      <c r="BF47" s="334" t="str">
        <f>IF(AND(MAX($AE$80:$AL$80)&lt;1,ISNUMBER($AI$40), ISNUMBER($AJ$40)),IF(AND($AI$40&gt;0,IF($AI$40&lt;$BJ$19,$AS$86,$AS$85)&lt;0),8,IF(AND($AI$40&lt;0,$AJ$40&lt;0),7,IF(AND(IF($AJ$40&lt;$BM$19,$AR$86,$AR$87)&lt;0,$AJ$40&gt;0),6,""))),"")</f>
        <v/>
      </c>
      <c r="BG47" s="291">
        <v>11</v>
      </c>
      <c r="BH47" s="291">
        <v>2</v>
      </c>
      <c r="BI47" s="291">
        <v>1</v>
      </c>
      <c r="BJ47" s="291">
        <v>12</v>
      </c>
      <c r="BK47" s="291">
        <v>13</v>
      </c>
      <c r="BL47" s="291">
        <v>14</v>
      </c>
      <c r="BM47" s="291">
        <v>15</v>
      </c>
      <c r="BN47" s="291">
        <v>10</v>
      </c>
      <c r="BO47" s="291">
        <v>3</v>
      </c>
      <c r="BZ47" s="596"/>
      <c r="CA47" s="596"/>
    </row>
    <row r="48" spans="1:79" ht="12" customHeight="1" x14ac:dyDescent="0.25">
      <c r="C48" s="598"/>
      <c r="G48" s="306" t="str">
        <f>IF(ISNUMBER($AI$69),$K$9,"")</f>
        <v/>
      </c>
      <c r="H48" s="305" t="str">
        <f>IF(ISNUMBER($AI$69),"FWL","")</f>
        <v/>
      </c>
      <c r="I48" s="425"/>
      <c r="J48" s="424"/>
      <c r="K48" s="424"/>
      <c r="L48" s="308"/>
      <c r="M48" s="307"/>
      <c r="Q48" s="306" t="str">
        <f>IF(ISNUMBER($AK$69),$K$9,"")</f>
        <v/>
      </c>
      <c r="R48" s="305" t="str">
        <f>IF(ISNUMBER($AK$69),"FEL","")</f>
        <v/>
      </c>
      <c r="S48" s="425"/>
      <c r="T48" s="424"/>
      <c r="V48" s="581"/>
      <c r="AA48" s="593"/>
      <c r="AE48" s="762"/>
      <c r="AF48" s="683"/>
      <c r="AG48" s="762"/>
      <c r="AH48" s="683"/>
      <c r="AI48" s="762"/>
      <c r="AJ48" s="683"/>
      <c r="AK48" s="762"/>
      <c r="AL48" s="683"/>
      <c r="AV48" s="311"/>
      <c r="AW48" s="311"/>
      <c r="AX48" s="311"/>
      <c r="AY48" s="311"/>
      <c r="AZ48" s="311"/>
      <c r="BA48" s="311"/>
      <c r="BB48" s="311" t="s">
        <v>455</v>
      </c>
      <c r="BD48" s="466">
        <v>4</v>
      </c>
      <c r="BE48" s="591" t="s">
        <v>430</v>
      </c>
      <c r="BF48" s="316" t="str">
        <f>IF(AND(MAX($AE$80:$AL$80)&lt;1,ISNUMBER($AK$41), ISNUMBER($AL$41)),IF(AND(IF(-$AL$41&lt;$BS$19,$AT$87,$AT$86)&lt;0,$AL$41&lt;0),6,IF(AND($AK$41&lt;0,$AL$41&gt;0),5,IF(AND($AK$41&gt;0,IF($AK$41&lt;$BT$19,$AU$87,$AU$84)&lt;0),4,""))),"")</f>
        <v/>
      </c>
      <c r="BG48" s="291">
        <v>12</v>
      </c>
      <c r="BH48" s="291">
        <v>1</v>
      </c>
      <c r="BI48" s="291">
        <v>6</v>
      </c>
      <c r="BJ48" s="291">
        <v>7</v>
      </c>
      <c r="BK48" s="291">
        <v>18</v>
      </c>
      <c r="BL48" s="291">
        <v>13</v>
      </c>
      <c r="BM48" s="291">
        <v>14</v>
      </c>
      <c r="BN48" s="291">
        <v>11</v>
      </c>
      <c r="BO48" s="291">
        <v>2</v>
      </c>
      <c r="BZ48" s="596"/>
      <c r="CA48" s="596"/>
    </row>
    <row r="49" spans="1:79" ht="12" customHeight="1" x14ac:dyDescent="0.25">
      <c r="B49" s="417" t="e">
        <f>B50</f>
        <v>#VALUE!</v>
      </c>
      <c r="C49" s="598"/>
      <c r="G49" s="313" t="str">
        <f>IF(ISNUMBER($AI$80),$B$10,"")</f>
        <v/>
      </c>
      <c r="H49" s="312" t="str">
        <f>IF(AND(G50="",G51=""),"",IF($AI$80=1,"NE/SW",IF($AI$80=2,"NW/SW",IF($AI$80=3,"SW/SW",IF($AI$80=4,"SE/SW","")))))</f>
        <v/>
      </c>
      <c r="I49" s="425"/>
      <c r="J49" s="424"/>
      <c r="K49" s="424"/>
      <c r="L49" s="308"/>
      <c r="M49" s="307"/>
      <c r="Q49" s="313" t="str">
        <f>IF(ISNUMBER($AK$80),$B$10,"")</f>
        <v/>
      </c>
      <c r="R49" s="312" t="str">
        <f>IF(AND(Q50="",Q51=""),"",IF($AK$80=1,"NE/SE",IF($AK$80=2,"NW/SE",IF($AK$80=3,"SW/SE",IF($AK$80=4,"SE/SE","")))))</f>
        <v/>
      </c>
      <c r="S49" s="425"/>
      <c r="T49" s="424"/>
      <c r="U49" s="593"/>
      <c r="V49" s="581"/>
      <c r="W49" s="425" t="e">
        <f>W50</f>
        <v>#VALUE!</v>
      </c>
      <c r="AA49" s="593"/>
      <c r="AE49" s="289"/>
      <c r="AF49" s="288"/>
      <c r="AG49" s="290"/>
      <c r="AH49" s="290"/>
      <c r="AI49" s="289"/>
      <c r="AJ49" s="288"/>
      <c r="AK49" s="289"/>
      <c r="AL49" s="288"/>
      <c r="AV49" s="311"/>
      <c r="AW49" s="311"/>
      <c r="AX49" s="311"/>
      <c r="AY49" s="311"/>
      <c r="AZ49" s="311"/>
      <c r="BA49" s="311"/>
      <c r="BB49" s="311" t="s">
        <v>461</v>
      </c>
      <c r="BG49" s="291">
        <v>13</v>
      </c>
      <c r="BH49" s="291">
        <v>12</v>
      </c>
      <c r="BI49" s="291">
        <v>7</v>
      </c>
      <c r="BJ49" s="291">
        <v>18</v>
      </c>
      <c r="BK49" s="291">
        <v>19</v>
      </c>
      <c r="BL49" s="291">
        <v>24</v>
      </c>
      <c r="BM49" s="291">
        <v>23</v>
      </c>
      <c r="BN49" s="291">
        <v>14</v>
      </c>
      <c r="BO49" s="291">
        <v>11</v>
      </c>
      <c r="BZ49" s="596"/>
      <c r="CA49" s="596"/>
    </row>
    <row r="50" spans="1:79" ht="12" customHeight="1" x14ac:dyDescent="0.25">
      <c r="A50" s="426" t="s">
        <v>385</v>
      </c>
      <c r="B50" s="299" t="e">
        <f>IF(NOT(ISBLANK(D50)),D50,DGET('Grid Numbers'!$A$2:$L$4952,'Grid Numbers'!$H$2,$B$72:$H$73))</f>
        <v>#VALUE!</v>
      </c>
      <c r="C50" s="598"/>
      <c r="D50" s="486"/>
      <c r="G50" s="310" t="str">
        <f>IF(ISNUMBER($AI$80),$I$10,"")</f>
        <v/>
      </c>
      <c r="H50" s="309" t="str">
        <f>IF(ISNUMBER($AI$80),"FSL","")</f>
        <v/>
      </c>
      <c r="I50" s="425"/>
      <c r="J50" s="424"/>
      <c r="K50" s="424"/>
      <c r="L50" s="308"/>
      <c r="M50" s="307"/>
      <c r="Q50" s="310" t="str">
        <f>IF(ISNUMBER($AK$80),$I$10,"")</f>
        <v/>
      </c>
      <c r="R50" s="309" t="str">
        <f>IF(ISNUMBER($AK$80),"FSL","")</f>
        <v/>
      </c>
      <c r="S50" s="425"/>
      <c r="T50" s="424"/>
      <c r="U50" s="486"/>
      <c r="V50" s="581"/>
      <c r="W50" s="299" t="e">
        <f>IF(NOT(ISBLANK(U50)),U50,DGET('Grid Numbers'!$A$2:$L$4952,'Grid Numbers'!$H$2,$B$80:$H$81))</f>
        <v>#VALUE!</v>
      </c>
      <c r="X50" s="423" t="s">
        <v>385</v>
      </c>
      <c r="AA50" s="593"/>
      <c r="AE50" s="761" t="s">
        <v>456</v>
      </c>
      <c r="AF50" s="757"/>
      <c r="AG50" s="767" t="s">
        <v>457</v>
      </c>
      <c r="AH50" s="735"/>
      <c r="AI50" s="761" t="s">
        <v>458</v>
      </c>
      <c r="AJ50" s="757"/>
      <c r="AK50" s="761" t="s">
        <v>459</v>
      </c>
      <c r="AL50" s="757"/>
      <c r="AV50" s="311"/>
      <c r="AW50" s="311"/>
      <c r="AX50" s="311"/>
      <c r="AY50" s="311"/>
      <c r="AZ50" s="311"/>
      <c r="BA50" s="311"/>
      <c r="BB50" s="311" t="s">
        <v>463</v>
      </c>
      <c r="BG50" s="291">
        <v>14</v>
      </c>
      <c r="BH50" s="291">
        <v>11</v>
      </c>
      <c r="BI50" s="291">
        <v>12</v>
      </c>
      <c r="BJ50" s="291">
        <v>13</v>
      </c>
      <c r="BK50" s="291">
        <v>24</v>
      </c>
      <c r="BL50" s="291">
        <v>23</v>
      </c>
      <c r="BM50" s="291">
        <v>22</v>
      </c>
      <c r="BN50" s="291">
        <v>15</v>
      </c>
      <c r="BO50" s="291">
        <v>10</v>
      </c>
      <c r="BZ50" s="596"/>
      <c r="CA50" s="596"/>
    </row>
    <row r="51" spans="1:79" ht="12" customHeight="1" x14ac:dyDescent="0.25">
      <c r="A51" s="426" t="s">
        <v>395</v>
      </c>
      <c r="B51" s="293" t="e">
        <f>IF(NOT(ISBLANK(D51)),D51,DGET('Grid Numbers'!$A$2:$L$4952,'Grid Numbers'!$I$2,$B$72:$H$73))</f>
        <v>#VALUE!</v>
      </c>
      <c r="C51" s="598"/>
      <c r="D51" s="486"/>
      <c r="G51" s="306" t="str">
        <f>IF(ISNUMBER($AI$80),$K$10,"")</f>
        <v/>
      </c>
      <c r="H51" s="305" t="str">
        <f>IF(ISNUMBER($AI$80),"FWL","")</f>
        <v/>
      </c>
      <c r="I51" s="425"/>
      <c r="J51" s="424"/>
      <c r="K51" s="424"/>
      <c r="L51" s="308"/>
      <c r="M51" s="307"/>
      <c r="Q51" s="306" t="str">
        <f>IF(ISNUMBER($AK$80),$K$10,"")</f>
        <v/>
      </c>
      <c r="R51" s="305" t="str">
        <f>IF(ISNUMBER($AK$80),"FEL","")</f>
        <v/>
      </c>
      <c r="S51" s="425"/>
      <c r="T51" s="424"/>
      <c r="U51" s="486"/>
      <c r="V51" s="581"/>
      <c r="W51" s="471" t="e">
        <f>IF(NOT(ISBLANK(U51)),U51,DGET('Grid Numbers'!$A$2:$L$4952,'Grid Numbers'!$I$2,$B$80:$H$81))</f>
        <v>#VALUE!</v>
      </c>
      <c r="X51" s="423" t="s">
        <v>395</v>
      </c>
      <c r="AA51" s="593"/>
      <c r="AB51" s="292"/>
      <c r="AC51" s="292"/>
      <c r="AD51" s="467" t="s">
        <v>340</v>
      </c>
      <c r="AE51" s="588" t="s">
        <v>336</v>
      </c>
      <c r="AF51" s="588" t="s">
        <v>337</v>
      </c>
      <c r="AG51" s="465" t="s">
        <v>336</v>
      </c>
      <c r="AH51" s="464" t="s">
        <v>337</v>
      </c>
      <c r="AI51" s="588" t="s">
        <v>336</v>
      </c>
      <c r="AJ51" s="588" t="s">
        <v>337</v>
      </c>
      <c r="AK51" s="588" t="s">
        <v>336</v>
      </c>
      <c r="AL51" s="588" t="s">
        <v>337</v>
      </c>
      <c r="AV51" s="311"/>
      <c r="AW51" s="311"/>
      <c r="AX51" s="311"/>
      <c r="AY51" s="311"/>
      <c r="AZ51" s="311"/>
      <c r="BA51" s="311"/>
      <c r="BB51" s="311" t="s">
        <v>464</v>
      </c>
      <c r="BG51" s="291">
        <v>15</v>
      </c>
      <c r="BH51" s="291">
        <v>10</v>
      </c>
      <c r="BI51" s="291">
        <v>11</v>
      </c>
      <c r="BJ51" s="291">
        <v>14</v>
      </c>
      <c r="BK51" s="291">
        <v>23</v>
      </c>
      <c r="BL51" s="291">
        <v>22</v>
      </c>
      <c r="BM51" s="291">
        <v>21</v>
      </c>
      <c r="BN51" s="291">
        <v>16</v>
      </c>
      <c r="BO51" s="291">
        <v>9</v>
      </c>
      <c r="BZ51" s="596"/>
      <c r="CA51" s="596"/>
    </row>
    <row r="52" spans="1:79" ht="12" customHeight="1" x14ac:dyDescent="0.25">
      <c r="A52" s="426" t="s">
        <v>398</v>
      </c>
      <c r="B52" s="293" t="e">
        <f>IF(NOT(ISBLANK(D52)),D52,DGET('Grid Numbers'!$A$2:$L$4952,'Grid Numbers'!$J$2,$B$72:$H$73))</f>
        <v>#VALUE!</v>
      </c>
      <c r="C52" s="598"/>
      <c r="D52" s="486"/>
      <c r="I52" s="425"/>
      <c r="J52" s="424"/>
      <c r="K52" s="424"/>
      <c r="L52" s="308"/>
      <c r="M52" s="307"/>
      <c r="P52" s="596"/>
      <c r="S52" s="425"/>
      <c r="T52" s="424"/>
      <c r="U52" s="486"/>
      <c r="V52" s="581"/>
      <c r="W52" s="471" t="e">
        <f>IF(NOT(ISBLANK(U52)),U52,DGET('Grid Numbers'!$A$2:$L$4952,'Grid Numbers'!$J$2,$B$80:$H$81))</f>
        <v>#VALUE!</v>
      </c>
      <c r="X52" s="423" t="s">
        <v>398</v>
      </c>
      <c r="AA52" s="593"/>
      <c r="AB52" s="593"/>
      <c r="AD52" s="317">
        <v>1</v>
      </c>
      <c r="AE52" s="304" t="str">
        <f>IF($AD52=AE$48,-($Q$30/$AV$28+$Q$31/$BZ$28*$AV$19/$AW$19)/(1-$AV$19/$AW$19*$CA$19/$BZ$19),"")</f>
        <v/>
      </c>
      <c r="AF52" s="285" t="str">
        <f>IF($AD52=AE$48,-($Q$31/$BZ$28+$Q$30/$AV$28*$CA$19/$BZ$19)/(1-$AV$19/$AW$19*$CA$19/$BZ$19),"")</f>
        <v/>
      </c>
      <c r="AG52" s="417" t="str">
        <f>IF($AD52=AG$48,-($G$30/$AZ$28-$BB$19-($G$31/$BD$28-$BC$19)*$AZ$19/$BA$19)/(1-$AZ$19/$BA$19*$BE$19/$BD$19),"")</f>
        <v/>
      </c>
      <c r="AH52" s="417" t="str">
        <f>IF($AD52=AG$48,($G$31/$BD$28-$BC$19-($G$30/$AZ$28-$BB$19)*$BE$19/$BD$19)/(1-$AZ$19/$BA$19*$BE$19/$BD$19)+$BC$19,"")</f>
        <v/>
      </c>
      <c r="AI52" s="304" t="str">
        <f>IF($AD52=AI$48,($G$46/$BN$28-$BJ$19+$BL$19+($G$47/$BH$28-$BM$19+$BK$19)*$BN$19/$BO$19)/(1-$BI$19/$BH$19*$BN$19/$BO$19)+$BJ$19,"")</f>
        <v/>
      </c>
      <c r="AJ52" s="285" t="str">
        <f>IF($AD52=AI$48,($G$47/$BH$28-$BM$19+$BK$19+($G$46/$BN$28-$BJ$19+$BL$19)*$BI$19/$BH$19)/(1-$BI$19/$BH$19*$BN$19/$BO$19)+$BM$19,"")</f>
        <v/>
      </c>
      <c r="AK52" s="304" t="str">
        <f>IF($AD52=AK$48,($Q$46/$BR$28-$BT$19-($Q$47/$BV$28-$BU$19)*$BR$19/$BS$19)/(1-$BW$19/$BV$19*$BR$19/$BS$19)+$BT$19,"")</f>
        <v/>
      </c>
      <c r="AL52" s="285" t="str">
        <f>IF($AD52=AK$48,-($Q$47/$BV$28-$BU$19-($Q$46/$BR$28-$BT$19)*$BW$19/$BV$19)/(1-$BW$19/$BV$19*$BR$19/$BS$19),"")</f>
        <v/>
      </c>
      <c r="BG52" s="291">
        <v>16</v>
      </c>
      <c r="BH52" s="291">
        <v>9</v>
      </c>
      <c r="BI52" s="291">
        <v>10</v>
      </c>
      <c r="BJ52" s="291">
        <v>15</v>
      </c>
      <c r="BK52" s="291">
        <v>22</v>
      </c>
      <c r="BL52" s="291">
        <v>21</v>
      </c>
      <c r="BM52" s="291">
        <v>20</v>
      </c>
      <c r="BN52" s="291">
        <v>17</v>
      </c>
      <c r="BO52" s="291">
        <v>8</v>
      </c>
      <c r="BZ52" s="596"/>
      <c r="CA52" s="596"/>
    </row>
    <row r="53" spans="1:79" ht="12" customHeight="1" x14ac:dyDescent="0.25">
      <c r="A53" s="426" t="s">
        <v>410</v>
      </c>
      <c r="B53" s="293" t="e">
        <f>IF(NOT(ISBLANK(D53)),D53,DGET('Grid Numbers'!$A$2:$L$4952,'Grid Numbers'!$K$2,$B$72:$H$73))</f>
        <v>#VALUE!</v>
      </c>
      <c r="C53" s="598"/>
      <c r="D53" s="487"/>
      <c r="I53" s="425"/>
      <c r="J53" s="424"/>
      <c r="K53" s="424"/>
      <c r="L53" s="308"/>
      <c r="M53" s="307"/>
      <c r="P53" s="596"/>
      <c r="S53" s="425"/>
      <c r="T53" s="424"/>
      <c r="U53" s="487"/>
      <c r="V53" s="581"/>
      <c r="W53" s="471" t="e">
        <f>IF(NOT(ISBLANK(U53)),U53,DGET('Grid Numbers'!$A$2:$L$4952,'Grid Numbers'!$K$2,$B$80:$H$81))</f>
        <v>#VALUE!</v>
      </c>
      <c r="X53" s="423" t="s">
        <v>410</v>
      </c>
      <c r="AA53" s="593"/>
      <c r="AB53" s="593"/>
      <c r="AD53" s="317">
        <v>2</v>
      </c>
      <c r="AE53" s="304" t="str">
        <f>IF($AD53=AE$48,-($Q$30/$AX$28+$AV$19+($Q$31/$BZ$28-$AW$19)*$AX$19/$AY$19)/(1-$AX$19/$AY$19*$CA$19/$BZ$19),"")</f>
        <v/>
      </c>
      <c r="AF53" s="285" t="str">
        <f>IF($AD53=AE$48,-($Q$31/$BZ$28-$AW$19+($Q$30/$AX$28+$AV$19)*$CA$19/$BZ$19)/(1-$AX$19/$AY$19*$CA$19/$BZ$19)-$AW$19,"")</f>
        <v/>
      </c>
      <c r="AG53" s="417" t="str">
        <f>IF($AD53=AG$48,-($G$30/$BB$28-$G$31/$BD$28*$BB$19/$BC$19)/(1-$BE$19/$BD$19*$BB$19/$BC$19),"")</f>
        <v/>
      </c>
      <c r="AH53" s="417" t="str">
        <f>IF($AD53=AG$48,($G$31/$BD$28-$G$30/$BB$28*$BE$19/$BD$19)/(1-$BE$19/$BD$19*$BB$19/$BC$19),"")</f>
        <v/>
      </c>
      <c r="AI53" s="304" t="str">
        <f>IF($AD53=AI$48,($G$46/$BL$28-$BJ$19+($G$47/$BH$28+$BK$19)*$BL$19/$BM$19)/(1-$BI$19/$BH$19*$BL$19/$BM$19)+$BJ$19,"")</f>
        <v/>
      </c>
      <c r="AJ53" s="285" t="str">
        <f>IF($AD53=AI$48,($G$47/$BH$28+$BK$19+($G$46/$BL$28-$BJ$19)*$BI$19/$BH$19)/(1-$BI$19/$BH$19*$BL$19/$BM$19),"")</f>
        <v/>
      </c>
      <c r="AK53" s="304" t="str">
        <f>IF($AD53=AK$48,($Q$46/$BP$28-$BT19-$BR$19-($Q$47/$BV$28-$BS$19-$BU$19)*$BP$19/$BQ$19)/(1-$BW$19/$BV$19*$BP$19/$BQ$19)+$BT$19,"")</f>
        <v/>
      </c>
      <c r="AL53" s="285" t="str">
        <f>IF($AD53=AK$48,-($Q$47/$BV$28-$BS$19-$BU$19-($Q$46/$BP$28-$BT$19-$BR$19)*$BW$19/$BV$19)/(1-$BW$19/$BV$19*$BP$19/$BQ$19)-$BS$19,"")</f>
        <v/>
      </c>
      <c r="BG53" s="291">
        <v>17</v>
      </c>
      <c r="BH53" s="291">
        <v>8</v>
      </c>
      <c r="BI53" s="291">
        <v>9</v>
      </c>
      <c r="BJ53" s="291">
        <v>16</v>
      </c>
      <c r="BK53" s="291">
        <v>21</v>
      </c>
      <c r="BL53" s="291">
        <v>20</v>
      </c>
      <c r="BM53" s="291">
        <v>19</v>
      </c>
      <c r="BN53" s="291">
        <v>18</v>
      </c>
      <c r="BO53" s="291">
        <v>7</v>
      </c>
      <c r="BZ53" s="596"/>
      <c r="CA53" s="596"/>
    </row>
    <row r="54" spans="1:79" x14ac:dyDescent="0.25">
      <c r="A54" s="426" t="s">
        <v>411</v>
      </c>
      <c r="B54" s="319" t="e">
        <f>IF(NOT(ISBLANK(D54)),D54,DGET('Grid Numbers'!$A$2:$L$4952,'Grid Numbers'!$L$2,$B$72:$H$73))</f>
        <v>#VALUE!</v>
      </c>
      <c r="C54" s="598"/>
      <c r="D54" s="490"/>
      <c r="F54" s="646"/>
      <c r="I54" s="425"/>
      <c r="J54" s="424"/>
      <c r="K54" s="424"/>
      <c r="L54" s="308"/>
      <c r="M54" s="307"/>
      <c r="P54" s="646"/>
      <c r="S54" s="425"/>
      <c r="T54" s="424"/>
      <c r="U54" s="490"/>
      <c r="V54" s="581"/>
      <c r="W54" s="319" t="e">
        <f>IF(NOT(ISBLANK(U54)),U54,DGET('Grid Numbers'!$A$2:$L$4952,'Grid Numbers'!$L$2,$B$80:$H$81))</f>
        <v>#VALUE!</v>
      </c>
      <c r="X54" s="423" t="s">
        <v>411</v>
      </c>
      <c r="AA54" s="593"/>
      <c r="AB54" s="593"/>
      <c r="AD54" s="317">
        <v>3</v>
      </c>
      <c r="AE54" s="304" t="str">
        <f>IF($AD54=AE$48,-($Q$30/$AX$28+$AV$19-$BZ$19+($Q$31/$BX$28+$CA$19-$AW$19)*$AX$19/$AY$19)/(1-$AX$19/$AY$19*$BY$19/$BX$19)-$BZ$19,"")</f>
        <v/>
      </c>
      <c r="AF54" s="285" t="str">
        <f>IF($AD54=AE$48,-($Q$31/$BX$28+$CA$19-$AW$19+($Q$30/$AX$28+$AV$19-$BZ$19)*$BY$19/$BX$19)/(1-$AX$19/$AY$19*$BY$19/$BX$19)-$AW$19,"")</f>
        <v/>
      </c>
      <c r="AG54" s="417" t="str">
        <f>IF($AD54=AG$48,-($G$30/$BB$28-$BD$19-($G$31/$BF$28-$BE$19)*$BB$19/$BC$19)/(1-$BG$19/$BF$19*$BB$19/$BC$19)-$BD$19,"")</f>
        <v/>
      </c>
      <c r="AH54" s="417" t="str">
        <f>IF($AD54=AG$48,($G$31/$BF$28-$BE$19-($G$30/$BB$28-$BD$19)*$BG$19/$BF$19)/(1-$BG$19/$BF$19*$BB$19/$BC$19),"")</f>
        <v/>
      </c>
      <c r="AI54" s="304" t="str">
        <f>IF($AD54=AI$48,($G$46/$BL$28+$G$47/$BJ$28*$BL$19/$BM$19)/(1-$BK$19/$BJ$19*$BL$19/$BM$19),"")</f>
        <v/>
      </c>
      <c r="AJ54" s="285" t="str">
        <f>IF($AD54=AI$48,($G$47/$BJ$28+$G$46/$BL$28*$BK$19/$BJ$19)/(1-$BK$19/$BJ$19*$BL$19/$BM$19),"")</f>
        <v/>
      </c>
      <c r="AK54" s="304" t="str">
        <f>IF($AD54=AK$48,($Q$46/$BP$28-$BR$19-($Q$47/$BT$28-$BS$19)*$BP$19/$BQ$19)/(1-$BU$19/$BT$19*$BP$19/$BQ$19),"")</f>
        <v/>
      </c>
      <c r="AL54" s="285" t="str">
        <f>IF($AD54=AK$48,-($Q$47/$BT$28-$BS$19-($Q$46/$BP$28-$BR$19)*$BU$19/$BT$19)/(1-$BU$19/$BT$19*$BP$19/$BQ$19)-$BS$19,"")</f>
        <v/>
      </c>
      <c r="BG54" s="291">
        <v>18</v>
      </c>
      <c r="BH54" s="291">
        <v>7</v>
      </c>
      <c r="BI54" s="291">
        <v>8</v>
      </c>
      <c r="BJ54" s="291">
        <v>17</v>
      </c>
      <c r="BK54" s="291">
        <v>20</v>
      </c>
      <c r="BL54" s="291">
        <v>19</v>
      </c>
      <c r="BM54" s="291">
        <v>24</v>
      </c>
      <c r="BN54" s="291">
        <v>13</v>
      </c>
      <c r="BO54" s="291">
        <v>12</v>
      </c>
      <c r="BZ54" s="596"/>
      <c r="CA54" s="596"/>
    </row>
    <row r="55" spans="1:79" ht="12" customHeight="1" thickBot="1" x14ac:dyDescent="0.3">
      <c r="A55" s="426" t="s">
        <v>412</v>
      </c>
      <c r="B55" s="643" t="e">
        <f>IF(AND($L$38='SHL Section'!$BE$51,MAX('BHL Section 1'!$BF$37:$BF$40)=4),'BHL Section 1'!$W$55,IF(AND($L$38='SHL Section'!$BE$54,MAX('BHL Section 1'!$BF$41:$BF$44)=4),'BHL Section 1'!$W$55,IF(AND($L$38='SHL Section'!$BE$57,MAX('BHL Section 1'!$BF$45:$BF$48)=4),'BHL Section 1'!$W$55,IF(B51="","",IF(OR(B54=1,B54=4),180-(B51+B52/60+B53/3600),180+(B51+B52/60+B53/3600))))))</f>
        <v>#VALUE!</v>
      </c>
      <c r="C55" s="584"/>
      <c r="D55" s="576"/>
      <c r="E55" s="576"/>
      <c r="F55" s="576"/>
      <c r="G55" s="576"/>
      <c r="H55" s="576"/>
      <c r="I55" s="576"/>
      <c r="J55" s="576"/>
      <c r="K55" s="576"/>
      <c r="L55" s="303"/>
      <c r="M55" s="302"/>
      <c r="N55" s="576"/>
      <c r="O55" s="576"/>
      <c r="P55" s="576"/>
      <c r="Q55" s="576"/>
      <c r="R55" s="576"/>
      <c r="S55" s="576"/>
      <c r="T55" s="576"/>
      <c r="U55" s="576"/>
      <c r="V55" s="577"/>
      <c r="W55" s="642" t="e">
        <f>IF(AND($L$38='SHL Section'!$BE$51,MAX('BHL Section 1'!$BF$37:$BF$40)=8),'BHL Section 1'!$B$55,IF(AND($L$38='SHL Section'!$BE$54,MAX('BHL Section 1'!$BF$41:$BF$44)=8),'BHL Section 1'!$B$55,IF(AND($L$38='SHL Section'!$BE$57,MAX('BHL Section 1'!$BF$45:$BF$48)=8),'BHL Section 1'!$B$55,IF(W51="","",IF(OR(W54=1,W54=4),180-(W51+W52/60+W53/3600),180+(W51+W52/60+W53/3600))))))</f>
        <v>#VALUE!</v>
      </c>
      <c r="X55" s="423" t="s">
        <v>412</v>
      </c>
      <c r="AA55" s="593"/>
      <c r="AB55" s="593"/>
      <c r="AD55" s="317">
        <v>4</v>
      </c>
      <c r="AE55" s="304" t="str">
        <f>IF($AD55=AE$48,-($Q$30/$AV$28-$BZ$19+($Q$31/$BX$28+$CA$19)*$AV$19/$AW$19)/(1-$AV$19/$AW$19*$BY$19/$BX$19)-$BZ$19,"")</f>
        <v/>
      </c>
      <c r="AF55" s="285" t="str">
        <f>IF($AD55=AE$48,-($Q$31/$BX$28+$CA$19+($Q$30/$AV$28-$BZ$19)*$BY$19/$BX$19)/(1-$AV$19/$AW$19*$BY$19/$BX$19),"")</f>
        <v/>
      </c>
      <c r="AG55" s="417" t="str">
        <f>IF($AD55=AG$48,-($G$30/$AZ$28-$BD$19-$BB$19-($G$31/$BF$28-$BC$19-$BE$19)*$AZ$19/$BA$19)/(1-$AZ$19/$BA$19*$BG$19/$BF$19)-$BD$19,"")</f>
        <v/>
      </c>
      <c r="AH55" s="417" t="str">
        <f>IF($AD55=AG$48,($G$31/$BF$28-$BC$19-$BE$19-($G$30/$AZ$28-$BD$19-$BB$19)*$BG$19/$BF$19)/(1-$AZ$19/$BA$19*$BG$19/$BF$19)+$BC$19,"")</f>
        <v/>
      </c>
      <c r="AI55" s="304" t="str">
        <f>IF($AD55=AI$48,($G$46/$BN$28+$BL$19+($G$47/$BJ$28-$BM$19)*$BN$19/$BO$19)/(1-$BK$19/$BJ$19*$BN$19/$BO$19),"")</f>
        <v/>
      </c>
      <c r="AJ55" s="285" t="str">
        <f>IF($AD55=AI$48,($G$47/$BJ$28-$BM$19+($G$46/$BN$28+$BL$19)*$BK$19/$BJ$19)/(1-$BK$19/$BJ$19*$BN$19/$BO$19)+$BM$19,"")</f>
        <v/>
      </c>
      <c r="AK55" s="304" t="str">
        <f>IF($AD55=AK$48,($Q$46/$BR$28-$Q$47/$BT$28*$BR$19/$BS$19)/(1-$BU$19/$BT$19*$BR$19/$BS$19),"")</f>
        <v/>
      </c>
      <c r="AL55" s="285" t="str">
        <f>IF($AD55=AK$48,-($Q$47/$BT$28-$Q$46/$BR$28*$BU$19/$BT$19)/(1-$BU$19/$BT$19*$BR$19/$BS$19),"")</f>
        <v/>
      </c>
      <c r="AW55" s="596">
        <v>1</v>
      </c>
      <c r="AX55" s="596">
        <v>2</v>
      </c>
      <c r="AY55" s="596">
        <v>3</v>
      </c>
      <c r="AZ55" s="596">
        <v>4</v>
      </c>
      <c r="BG55" s="291">
        <v>19</v>
      </c>
      <c r="BH55" s="291">
        <v>18</v>
      </c>
      <c r="BI55" s="291">
        <v>17</v>
      </c>
      <c r="BJ55" s="291">
        <v>20</v>
      </c>
      <c r="BK55" s="291">
        <v>29</v>
      </c>
      <c r="BL55" s="291">
        <v>30</v>
      </c>
      <c r="BM55" s="291">
        <v>25</v>
      </c>
      <c r="BN55" s="291">
        <v>24</v>
      </c>
      <c r="BO55" s="291">
        <v>13</v>
      </c>
      <c r="BZ55" s="596"/>
      <c r="CA55" s="596"/>
    </row>
    <row r="56" spans="1:79" ht="12" customHeight="1" thickBot="1" x14ac:dyDescent="0.3">
      <c r="B56" s="775" t="e">
        <f>CONCATENATE("SW SC of ",$L$38)</f>
        <v>#VALUE!</v>
      </c>
      <c r="C56" s="679"/>
      <c r="L56" s="774" t="e">
        <f>CONCATENATE("S QC of ",$L$38)</f>
        <v>#VALUE!</v>
      </c>
      <c r="M56" s="702"/>
      <c r="V56" s="766" t="e">
        <f>CONCATENATE("SE SC of ",$L$38)</f>
        <v>#VALUE!</v>
      </c>
      <c r="W56" s="679"/>
      <c r="AA56" s="593"/>
      <c r="AB56" s="593"/>
      <c r="AE56" s="289"/>
      <c r="AF56" s="288"/>
      <c r="AG56" s="290"/>
      <c r="AH56" s="290"/>
      <c r="AI56" s="289"/>
      <c r="AJ56" s="288"/>
      <c r="AK56" s="289"/>
      <c r="AL56" s="288"/>
      <c r="AV56" s="596">
        <v>1</v>
      </c>
      <c r="AW56" s="291" t="s">
        <v>429</v>
      </c>
      <c r="AX56" s="291" t="s">
        <v>440</v>
      </c>
      <c r="AY56" s="291" t="s">
        <v>450</v>
      </c>
      <c r="AZ56" s="291" t="s">
        <v>455</v>
      </c>
      <c r="BG56" s="291">
        <v>20</v>
      </c>
      <c r="BH56" s="291">
        <v>17</v>
      </c>
      <c r="BI56" s="291">
        <v>16</v>
      </c>
      <c r="BJ56" s="291">
        <v>21</v>
      </c>
      <c r="BK56" s="291">
        <v>28</v>
      </c>
      <c r="BL56" s="291">
        <v>29</v>
      </c>
      <c r="BM56" s="291">
        <v>30</v>
      </c>
      <c r="BN56" s="291">
        <v>19</v>
      </c>
      <c r="BO56" s="291">
        <v>18</v>
      </c>
      <c r="BZ56" s="596"/>
      <c r="CA56" s="596"/>
    </row>
    <row r="57" spans="1:79" ht="12" customHeight="1" x14ac:dyDescent="0.25">
      <c r="D57" s="426" t="s">
        <v>385</v>
      </c>
      <c r="E57" s="300" t="e">
        <f>IF(NOT(ISBLANK(F57)),F57,DGET('Grid Numbers'!$A$2:$L$4952,'Grid Numbers'!$H$2,$L$74:$R$75))</f>
        <v>#VALUE!</v>
      </c>
      <c r="F57" s="486"/>
      <c r="H57" s="297"/>
      <c r="I57" s="297"/>
      <c r="J57" s="426" t="s">
        <v>385</v>
      </c>
      <c r="K57" s="301" t="e">
        <f>IF(NOT(ISBLANK(L57)),L57,DGET('Grid Numbers'!$A$2:$L$4952,'Grid Numbers'!$H$2,$L$76:$R$77))</f>
        <v>#VALUE!</v>
      </c>
      <c r="L57" s="486"/>
      <c r="N57" s="426" t="s">
        <v>385</v>
      </c>
      <c r="O57" s="300" t="e">
        <f>IF(NOT(ISBLANK(P57)),P57,DGET('Grid Numbers'!$A$2:$L$4952,'Grid Numbers'!$H$2,$L$78:$R$79))</f>
        <v>#VALUE!</v>
      </c>
      <c r="P57" s="486"/>
      <c r="Q57" s="297"/>
      <c r="R57" s="297"/>
      <c r="T57" s="426" t="s">
        <v>385</v>
      </c>
      <c r="U57" s="299" t="e">
        <f>IF(NOT(ISBLANK(V57)),V57,DGET('Grid Numbers'!$A$2:$L$4952,'Grid Numbers'!$H$2,$L$80:$R$81))</f>
        <v>#VALUE!</v>
      </c>
      <c r="V57" s="486"/>
      <c r="AA57" s="593"/>
      <c r="AB57" s="593"/>
      <c r="AE57" s="761" t="s">
        <v>467</v>
      </c>
      <c r="AF57" s="757"/>
      <c r="AG57" s="767" t="s">
        <v>467</v>
      </c>
      <c r="AH57" s="735"/>
      <c r="AI57" s="761" t="s">
        <v>467</v>
      </c>
      <c r="AJ57" s="757"/>
      <c r="AK57" s="761" t="s">
        <v>467</v>
      </c>
      <c r="AL57" s="757"/>
      <c r="AV57" s="596">
        <v>2</v>
      </c>
      <c r="AW57" s="291" t="s">
        <v>434</v>
      </c>
      <c r="AX57" s="291" t="s">
        <v>443</v>
      </c>
      <c r="AY57" s="291" t="s">
        <v>451</v>
      </c>
      <c r="AZ57" s="291" t="s">
        <v>461</v>
      </c>
      <c r="BG57" s="291">
        <v>21</v>
      </c>
      <c r="BH57" s="291">
        <v>16</v>
      </c>
      <c r="BI57" s="291">
        <v>15</v>
      </c>
      <c r="BJ57" s="291">
        <v>22</v>
      </c>
      <c r="BK57" s="291">
        <v>27</v>
      </c>
      <c r="BL57" s="291">
        <v>28</v>
      </c>
      <c r="BM57" s="291">
        <v>29</v>
      </c>
      <c r="BN57" s="291">
        <v>20</v>
      </c>
      <c r="BO57" s="291">
        <v>17</v>
      </c>
      <c r="BZ57" s="596"/>
      <c r="CA57" s="596"/>
    </row>
    <row r="58" spans="1:79" ht="12" customHeight="1" x14ac:dyDescent="0.25">
      <c r="D58" s="426" t="s">
        <v>395</v>
      </c>
      <c r="E58" s="293" t="e">
        <f>IF(NOT(ISBLANK(F58)),F58,DGET('Grid Numbers'!$A$2:$L$4952,'Grid Numbers'!$I$2,$L$74:$R$75))</f>
        <v>#VALUE!</v>
      </c>
      <c r="F58" s="486"/>
      <c r="J58" s="426" t="s">
        <v>395</v>
      </c>
      <c r="K58" s="294" t="e">
        <f>IF(NOT(ISBLANK(L58)),L58,DGET('Grid Numbers'!$A$2:$L$4952,'Grid Numbers'!$I$2,$L$76:$R$77))</f>
        <v>#VALUE!</v>
      </c>
      <c r="L58" s="486"/>
      <c r="N58" s="426" t="s">
        <v>395</v>
      </c>
      <c r="O58" s="293" t="e">
        <f>IF(NOT(ISBLANK(P58)),P58,DGET('Grid Numbers'!$A$2:$L$4952,'Grid Numbers'!$I$2,$L$78:$R$79))</f>
        <v>#VALUE!</v>
      </c>
      <c r="P58" s="486"/>
      <c r="T58" s="426" t="s">
        <v>395</v>
      </c>
      <c r="U58" s="293" t="e">
        <f>IF(NOT(ISBLANK(V58)),V58,DGET('Grid Numbers'!$A$2:$L$4952,'Grid Numbers'!$I$2,$L$80:$R$81))</f>
        <v>#VALUE!</v>
      </c>
      <c r="V58" s="486"/>
      <c r="AA58" s="593"/>
      <c r="AB58" s="593"/>
      <c r="AE58" s="762" t="str">
        <f>IF($AE$30="","",IF(AND((-$AE$30+$AF$30*$AV$19/$AW$19)&gt;0,-$AE$30&lt;$BZ$19,(-$AF$30+$AE$30*$CA$19/$BZ$19)&gt;0,-$AF$30&lt;$AW$19),1,IF(AND((-$AE$30-$AV$19+($AF$30+$AW$19)*$AX$19/$AY$19)&gt;0,-$AE$30&lt;$BZ$19,-$AF$30&gt;$AW$19,-$AF$30&lt;$AX$22),2,IF(AND(-$AE$30&lt;$BY$22,-$AE$30&gt;$BZ$19,-$AF$30&gt;$AW$19,-$AF$30&lt;$AX$22),3,IF(AND(-$AE$30&lt;$BY$22,-$AE$30&gt;$BZ$19,(-$AF$30-$CA$19-(-$AE$30-$BZ$19)*$BY$19/$BX$19)&gt;0,-$AF$30&lt;$AW$19),4,"")))))</f>
        <v/>
      </c>
      <c r="AF58" s="683"/>
      <c r="AG58" s="762" t="str">
        <f>IF($AG$30="","",IF(AND((-$AG$30+$BB$19+($AH$30-$BC$19)*$AZ$19/$BA$19)&gt;0,-$AG$30&lt;$BD$19,$AH$30&gt;$BC$19,$AH$30&lt;$BB$22),1,IF(AND((-$AG$30+$AH$30*$BB$19/$BC$19)&gt;0,-$AG$30&lt;$BD$19,($AH$30-$AG$30*$BE$19/$BD$19)&gt;0,$AH$30&lt;$BC$19),2,IF(AND(-$AG$30&gt;$BD$19,-$AG$30&lt;$BE$22,($AH$30+$BE$19+(-$AG$30-$BD$19)*$BG$19/$BF$19)&gt;0,$AH$30&lt;$BC$19),3,IF(AND(-$AG$30&gt;$BD$19,-$AG$30&lt;$BE$22,$AH$30&gt;$BC$19,$AH$30&lt;$BB$22),4,"")))))</f>
        <v/>
      </c>
      <c r="AH58" s="683"/>
      <c r="AI58" s="762" t="str">
        <f>IF($AI$30="","",IF(AND($AI$30&gt;$BJ$19,$AI$30&lt;$BI$22,$AJ$30&gt;$BM$19,$AJ$30&lt;$BN$22),1,IF(AND($AI$30&gt;$BJ$19,$AI$30&lt;$BI$22,($AJ$30-$BK$19-($AI$30-$BJ$19)*$BI$19/$BH$19)&gt;0,$AJ$30&lt;$BM$19),2,IF(AND(($AI$30-$AJ$30*$BL$19/$BM$19)&gt;0,$AI$30&lt;$BJ$19,($AJ$30-$AI$30*$BK$19/$BJ$19)&gt;0,$AJ$30&lt;$BM$19),3,IF(AND(($AI$30-$BL$19-($AJ$30-$BM$19)*$BN$19/$BO$19)&gt;0,$AI$30&lt;$BJ$19,$AJ$30&gt;$BM$19,$AJ$30&lt;$BN$22),4,"")))))</f>
        <v/>
      </c>
      <c r="AJ58" s="683"/>
      <c r="AK58" s="762" t="str">
        <f>IF($AK$30="","",IF(AND($AK$30&gt;$BT$19,$AK$30&lt;$BU$22,(-$AL$30+$BU$19+($AK$30-$BT$19)*$BW$19/$BV$19)&gt;0,-$AL$30&lt;$BS$19),1,IF(AND($AK$30&gt;$BT$19,$AK$30&lt;$BU$22,-$AL$30&gt;$BS$19,-$AL$30&lt;$BR$22),2,IF(AND(($AK$30+$BR$19+(-$AL$30-$BS$19)*$BP$19/$BQ$19)&gt;0,$AK$30&lt;$BT$19,-$AL$30&gt;$BS$19,-$AL$30&lt;$BR$22),3,IF(AND(($AK$30-$AL$30*$BR$19/$BS$19)&gt;0,$AK$30&lt;$BT$19,(-$AL$30+$AK$30*$BU$19/$BT$19)&gt;0,-$AL$30&lt;$BS$19),4,"")))))</f>
        <v/>
      </c>
      <c r="AL58" s="683"/>
      <c r="AV58" s="596">
        <v>3</v>
      </c>
      <c r="AW58" s="291" t="s">
        <v>437</v>
      </c>
      <c r="AX58" s="291" t="s">
        <v>444</v>
      </c>
      <c r="AY58" s="291" t="s">
        <v>453</v>
      </c>
      <c r="AZ58" s="291" t="s">
        <v>463</v>
      </c>
      <c r="BG58" s="291">
        <v>22</v>
      </c>
      <c r="BH58" s="291">
        <v>15</v>
      </c>
      <c r="BI58" s="291">
        <v>14</v>
      </c>
      <c r="BJ58" s="291">
        <v>23</v>
      </c>
      <c r="BK58" s="291">
        <v>26</v>
      </c>
      <c r="BL58" s="291">
        <v>27</v>
      </c>
      <c r="BM58" s="291">
        <v>28</v>
      </c>
      <c r="BN58" s="291">
        <v>21</v>
      </c>
      <c r="BO58" s="291">
        <v>16</v>
      </c>
      <c r="BZ58" s="596"/>
      <c r="CA58" s="596"/>
    </row>
    <row r="59" spans="1:79" ht="12" customHeight="1" x14ac:dyDescent="0.25">
      <c r="D59" s="426" t="s">
        <v>398</v>
      </c>
      <c r="E59" s="293" t="e">
        <f>IF(NOT(ISBLANK(F59)),F59,DGET('Grid Numbers'!$A$2:$L$4952,'Grid Numbers'!$J$2,$L$74:$R$75))</f>
        <v>#VALUE!</v>
      </c>
      <c r="F59" s="486"/>
      <c r="J59" s="426" t="s">
        <v>398</v>
      </c>
      <c r="K59" s="294" t="e">
        <f>IF(NOT(ISBLANK(L59)),L59,DGET('Grid Numbers'!$A$2:$L$4952,'Grid Numbers'!$J$2,$L$76:$R$77))</f>
        <v>#VALUE!</v>
      </c>
      <c r="L59" s="486"/>
      <c r="N59" s="426" t="s">
        <v>398</v>
      </c>
      <c r="O59" s="293" t="e">
        <f>IF(NOT(ISBLANK(P59)),P59,DGET('Grid Numbers'!$A$2:$L$4952,'Grid Numbers'!$J$2,$L$78:$R$79))</f>
        <v>#VALUE!</v>
      </c>
      <c r="P59" s="486"/>
      <c r="T59" s="426" t="s">
        <v>398</v>
      </c>
      <c r="U59" s="293" t="e">
        <f>IF(NOT(ISBLANK(V59)),V59,DGET('Grid Numbers'!$A$2:$L$4952,'Grid Numbers'!$J$2,$L$80:$R$81))</f>
        <v>#VALUE!</v>
      </c>
      <c r="V59" s="486"/>
      <c r="AA59" s="593"/>
      <c r="AB59" s="593"/>
      <c r="AE59" s="289"/>
      <c r="AF59" s="288"/>
      <c r="AG59" s="290"/>
      <c r="AH59" s="290"/>
      <c r="AI59" s="289"/>
      <c r="AJ59" s="288"/>
      <c r="AK59" s="289"/>
      <c r="AL59" s="288"/>
      <c r="AV59" s="596">
        <v>4</v>
      </c>
      <c r="AW59" s="291" t="s">
        <v>439</v>
      </c>
      <c r="AX59" s="291" t="s">
        <v>445</v>
      </c>
      <c r="AY59" s="291" t="s">
        <v>454</v>
      </c>
      <c r="AZ59" s="291" t="s">
        <v>464</v>
      </c>
      <c r="BG59" s="291">
        <v>23</v>
      </c>
      <c r="BH59" s="291">
        <v>14</v>
      </c>
      <c r="BI59" s="291">
        <v>13</v>
      </c>
      <c r="BJ59" s="291">
        <v>24</v>
      </c>
      <c r="BK59" s="291">
        <v>25</v>
      </c>
      <c r="BL59" s="291">
        <v>26</v>
      </c>
      <c r="BM59" s="291">
        <v>27</v>
      </c>
      <c r="BN59" s="291">
        <v>22</v>
      </c>
      <c r="BO59" s="291">
        <v>15</v>
      </c>
      <c r="BZ59" s="596"/>
      <c r="CA59" s="596"/>
    </row>
    <row r="60" spans="1:79" ht="12" customHeight="1" x14ac:dyDescent="0.25">
      <c r="D60" s="426" t="s">
        <v>410</v>
      </c>
      <c r="E60" s="293" t="e">
        <f>IF(NOT(ISBLANK(F60)),F60,DGET('Grid Numbers'!$A$2:$L$4952,'Grid Numbers'!$K$2,$L$74:$R$75))</f>
        <v>#VALUE!</v>
      </c>
      <c r="F60" s="487"/>
      <c r="J60" s="426" t="s">
        <v>410</v>
      </c>
      <c r="K60" s="294" t="e">
        <f>IF(NOT(ISBLANK(L60)),L60,DGET('Grid Numbers'!$A$2:$L$4952,'Grid Numbers'!$K$2,$L$76:$R$77))</f>
        <v>#VALUE!</v>
      </c>
      <c r="L60" s="487"/>
      <c r="N60" s="426" t="s">
        <v>410</v>
      </c>
      <c r="O60" s="293" t="e">
        <f>IF(NOT(ISBLANK(P60)),P60,DGET('Grid Numbers'!$A$2:$L$4952,'Grid Numbers'!$K$2,$L$78:$R$79))</f>
        <v>#VALUE!</v>
      </c>
      <c r="P60" s="487"/>
      <c r="T60" s="426" t="s">
        <v>410</v>
      </c>
      <c r="U60" s="293" t="e">
        <f>IF(NOT(ISBLANK(V60)),V60,DGET('Grid Numbers'!$A$2:$L$4952,'Grid Numbers'!$K$2,$L$80:$R$81))</f>
        <v>#VALUE!</v>
      </c>
      <c r="V60" s="487"/>
      <c r="AA60" s="593"/>
      <c r="AB60" s="593"/>
      <c r="AE60" s="761" t="s">
        <v>468</v>
      </c>
      <c r="AF60" s="757"/>
      <c r="AG60" s="761" t="s">
        <v>469</v>
      </c>
      <c r="AH60" s="757"/>
      <c r="AI60" s="761" t="s">
        <v>470</v>
      </c>
      <c r="AJ60" s="757"/>
      <c r="AK60" s="761" t="s">
        <v>471</v>
      </c>
      <c r="AL60" s="757"/>
      <c r="BG60" s="291">
        <v>24</v>
      </c>
      <c r="BH60" s="291">
        <v>13</v>
      </c>
      <c r="BI60" s="291">
        <v>18</v>
      </c>
      <c r="BJ60" s="291">
        <v>19</v>
      </c>
      <c r="BK60" s="291">
        <v>30</v>
      </c>
      <c r="BL60" s="291">
        <v>25</v>
      </c>
      <c r="BM60" s="291">
        <v>26</v>
      </c>
      <c r="BN60" s="291">
        <v>23</v>
      </c>
      <c r="BO60" s="291">
        <v>14</v>
      </c>
      <c r="BZ60" s="596"/>
      <c r="CA60" s="596"/>
    </row>
    <row r="61" spans="1:79" ht="12" customHeight="1" x14ac:dyDescent="0.25">
      <c r="D61" s="426" t="s">
        <v>411</v>
      </c>
      <c r="E61" s="319" t="e">
        <f>IF(NOT(ISBLANK(F61)),F61,DGET('Grid Numbers'!$A$2:$L$4952,'Grid Numbers'!$L$2,$L$74:$R$75))</f>
        <v>#VALUE!</v>
      </c>
      <c r="F61" s="490"/>
      <c r="J61" s="426" t="s">
        <v>411</v>
      </c>
      <c r="K61" s="319" t="e">
        <f>IF(NOT(ISBLANK(L61)),L61,DGET('Grid Numbers'!$A$2:$L$4952,'Grid Numbers'!$L$2,$L$76:$R$77))</f>
        <v>#VALUE!</v>
      </c>
      <c r="L61" s="490"/>
      <c r="N61" s="426" t="s">
        <v>411</v>
      </c>
      <c r="O61" s="319" t="e">
        <f>IF(NOT(ISBLANK(P61)),P61,DGET('Grid Numbers'!$A$2:$L$4952,'Grid Numbers'!$L$2,$L$78:$R$79))</f>
        <v>#VALUE!</v>
      </c>
      <c r="P61" s="490"/>
      <c r="T61" s="426" t="s">
        <v>411</v>
      </c>
      <c r="U61" s="319" t="e">
        <f>IF(NOT(ISBLANK(V61)),V61,DGET('Grid Numbers'!$A$2:$L$4952,'Grid Numbers'!$L$2,$L$80:$R$81))</f>
        <v>#VALUE!</v>
      </c>
      <c r="V61" s="490"/>
      <c r="AA61" s="593"/>
      <c r="AB61" s="593"/>
      <c r="AD61" s="467" t="s">
        <v>340</v>
      </c>
      <c r="AE61" s="588" t="s">
        <v>186</v>
      </c>
      <c r="AF61" s="588" t="s">
        <v>188</v>
      </c>
      <c r="AG61" s="465" t="s">
        <v>186</v>
      </c>
      <c r="AH61" s="464" t="s">
        <v>189</v>
      </c>
      <c r="AI61" s="588" t="s">
        <v>187</v>
      </c>
      <c r="AJ61" s="588" t="s">
        <v>189</v>
      </c>
      <c r="AK61" s="588" t="s">
        <v>187</v>
      </c>
      <c r="AL61" s="588" t="s">
        <v>188</v>
      </c>
      <c r="AN61" s="596" t="s">
        <v>472</v>
      </c>
      <c r="AW61" s="292" t="e">
        <f>VLOOKUP(MAX($AE$48:$AL$48),$AV$56:$AZ$59,MAX($AE$48:$AL$48)+1,FALSE)</f>
        <v>#N/A</v>
      </c>
      <c r="BG61" s="291">
        <v>25</v>
      </c>
      <c r="BH61" s="291">
        <v>24</v>
      </c>
      <c r="BI61" s="291">
        <v>19</v>
      </c>
      <c r="BJ61" s="291">
        <v>30</v>
      </c>
      <c r="BK61" s="291">
        <v>31</v>
      </c>
      <c r="BL61" s="291">
        <v>36</v>
      </c>
      <c r="BM61" s="291">
        <v>35</v>
      </c>
      <c r="BN61" s="291">
        <v>26</v>
      </c>
      <c r="BO61" s="291">
        <v>23</v>
      </c>
      <c r="BZ61" s="596"/>
      <c r="CA61" s="596"/>
    </row>
    <row r="62" spans="1:79" ht="12" customHeight="1" x14ac:dyDescent="0.25">
      <c r="D62" s="426" t="s">
        <v>412</v>
      </c>
      <c r="E62" s="642" t="e">
        <f>IF(AND($L$38='SHL Section'!$BE$50,MAX('SHL Section'!$BF$37:$BF$40)=2),'SHL Section'!$E$23,IF(AND($L$38='SHL Section'!$BE$53,MAX('SHL Section'!$BF$41:$BF$44)=2),'SHL Section'!$E$23,IF(AND($L$38='SHL Section'!$BE$56,MAX('SHL Section'!$BF$45:$BF$48)=2),'SHL Section'!$E$23,IF(E58="","",IF(OR(E61=1,E61=4),180-(E58+E59/60+E60/3600),(E58+E59/60+E60/3600))))))</f>
        <v>#VALUE!</v>
      </c>
      <c r="J62" s="426" t="s">
        <v>412</v>
      </c>
      <c r="K62" s="642" t="e">
        <f>IF(AND($L$38='SHL Section'!$BE$50,MAX('SHL Section'!$BF$37:$BF$40)=2),'SHL Section'!$K$23,IF(AND($L$38='SHL Section'!$BE$53,MAX('SHL Section'!$BF$41:$BF$44)=2),'SHL Section'!$K$23,IF(AND($L$38='SHL Section'!$BE$56,MAX('SHL Section'!$BF$45:$BF$48)=2),'SHL Section'!$K$23,IF(K58="","",IF(OR(K61=1,K61=4),180-(K58+K59/60+K60/3600),(K58+K59/60+K60/3600))))))</f>
        <v>#VALUE!</v>
      </c>
      <c r="L62" s="446"/>
      <c r="M62" s="446"/>
      <c r="N62" s="426" t="s">
        <v>412</v>
      </c>
      <c r="O62" s="642" t="e">
        <f>IF(AND($L$38='SHL Section'!$BE$50,MAX('SHL Section'!$BF$37:$BF$40)=2),'SHL Section'!$O$23,IF(AND($L$38='SHL Section'!$BE$53,MAX('SHL Section'!$BF$41:$BF$44)=2),'SHL Section'!$O$23,IF(AND($L$38='SHL Section'!$BE$56,MAX('SHL Section'!$BF$45:$BF$48)=2),'SHL Section'!$O$23,IF(O58="","",IF(OR(O61=1,O61=4),180-(O58+O59/60+O60/3600),(O58+O59/60+O60/3600))))))</f>
        <v>#VALUE!</v>
      </c>
      <c r="T62" s="426" t="s">
        <v>412</v>
      </c>
      <c r="U62" s="643" t="e">
        <f>IF(AND($L$38='SHL Section'!$BE$50,MAX('SHL Section'!$BF$37:$BF$40)=2),'SHL Section'!$U$23,IF(AND($L$38='SHL Section'!$BE$53,MAX('SHL Section'!$BF$41:$BF$44)=2),'SHL Section'!$U$23,IF(AND($L$38='SHL Section'!$BE$56,MAX('SHL Section'!$BF$45:$BF$48)=2),'SHL Section'!$U$23,IF(U58="","",IF(OR(U61=1,U61=4),180-(U58+U59/60+U60/3600),(U58+U59/60+U60/3600))))))</f>
        <v>#VALUE!</v>
      </c>
      <c r="AA62" s="593"/>
      <c r="AB62" s="593"/>
      <c r="AD62" s="317">
        <v>1</v>
      </c>
      <c r="AE62" s="304" t="str">
        <f>IF($AD62=AE$58,(-$AE$30+$AF$30*$AV$19/$AW$19)*$AV$28,"")</f>
        <v/>
      </c>
      <c r="AF62" s="285" t="str">
        <f>IF($AD62=AE$58,(-$AF$30+$AE$30*$CA$19/$BZ$19)*$BZ$28,"")</f>
        <v/>
      </c>
      <c r="AG62" s="304" t="str">
        <f>IF($AD62=AG$58,(-$AG$30+$BB$19+($AH$30-$BC$19)*$AZ$19/$BA$19)*$AZ$28,"")</f>
        <v/>
      </c>
      <c r="AH62" s="285" t="str">
        <f>IF($AD62=AG$58,($AH$30-$AG$30*$BE$19/$BD$19)*$BD$28,"")</f>
        <v/>
      </c>
      <c r="AI62" s="304" t="str">
        <f>IF($AD62=AI$58,($AI$30-$BL$19-($AJ$30-$BM$19)*$BN$19/$BO$19)*$BN$28,"")</f>
        <v/>
      </c>
      <c r="AJ62" s="285" t="str">
        <f>IF($AD62=AI$58,($AJ$30-$BK$19-($AI$30-$BJ$19)*$BI$19/$BH$19)*$BH$28,"")</f>
        <v/>
      </c>
      <c r="AK62" s="304" t="str">
        <f>IF($AD62=AK$58,($AK$30-$AL$30*$BR$19/$BS$19)*$BR$28,"")</f>
        <v/>
      </c>
      <c r="AL62" s="285" t="str">
        <f>IF($AD62=AK$58,(-$AL$30+$BU$19+($AK$30-$BT$19)*$BW$19/$BV$19)*$BV$28,"")</f>
        <v/>
      </c>
      <c r="AN62" s="287" t="str">
        <f>IF(ISNUMBER($AE$30),(-$AE$30+$AF$30*$AV$19/$AW$19),"")</f>
        <v/>
      </c>
      <c r="AO62" s="286" t="str">
        <f>IF(ISNUMBER($AF$30),(-$AF$30+$AE$30*$CA$19/$BZ$19),"")</f>
        <v/>
      </c>
      <c r="AP62" s="287" t="str">
        <f>IF(ISNUMBER($AG$30),(-$AG$30+$BB$19+($AH$30-$BC$19)*$AZ$19/$BA$19),"")</f>
        <v/>
      </c>
      <c r="AQ62" s="286" t="str">
        <f>IF(ISNUMBER($AH$30),($AH$30-$AG$30*$BE$19/$BD$19),"")</f>
        <v/>
      </c>
      <c r="AR62" s="287" t="str">
        <f>IF(ISNUMBER($AI$30),($AI$30-$BL$19-($AJ$30-$BM$19)*$BN$19/$BO$19),"")</f>
        <v/>
      </c>
      <c r="AS62" s="286" t="str">
        <f>IF(ISNUMBER($AJ$30),($AJ$30-$BK$19-($AI$30-$BJ$19)*$BI$19/$BH$19),"")</f>
        <v/>
      </c>
      <c r="AT62" s="287" t="str">
        <f>IF(ISNUMBER($AK$30),($AK$30-$AL$30*$BR$19/$BS$19),"")</f>
        <v/>
      </c>
      <c r="AU62" s="286" t="str">
        <f>IF(ISNUMBER($AL$30),(-$AL$30+$BU$19+($AK$30-$BT$19)*$BW$19/$BV$19),"")</f>
        <v/>
      </c>
      <c r="AW62" s="417"/>
      <c r="AX62" s="417"/>
      <c r="AY62" s="417"/>
      <c r="AZ62" s="417"/>
      <c r="BG62" s="291">
        <v>26</v>
      </c>
      <c r="BH62" s="291">
        <v>23</v>
      </c>
      <c r="BI62" s="291">
        <v>24</v>
      </c>
      <c r="BJ62" s="291">
        <v>25</v>
      </c>
      <c r="BK62" s="291">
        <v>36</v>
      </c>
      <c r="BL62" s="291">
        <v>35</v>
      </c>
      <c r="BM62" s="291">
        <v>34</v>
      </c>
      <c r="BN62" s="291">
        <v>27</v>
      </c>
      <c r="BO62" s="291">
        <v>22</v>
      </c>
      <c r="BZ62" s="596"/>
      <c r="CA62" s="596"/>
    </row>
    <row r="63" spans="1:79" ht="12" customHeight="1" x14ac:dyDescent="0.25">
      <c r="E63" s="417" t="e">
        <f>E57</f>
        <v>#VALUE!</v>
      </c>
      <c r="F63" s="446"/>
      <c r="G63" s="446"/>
      <c r="H63" s="446"/>
      <c r="I63" s="446"/>
      <c r="J63" s="446"/>
      <c r="K63" s="417" t="e">
        <f>K57</f>
        <v>#VALUE!</v>
      </c>
      <c r="N63" s="446"/>
      <c r="O63" s="417" t="e">
        <f>O57</f>
        <v>#VALUE!</v>
      </c>
      <c r="P63" s="446"/>
      <c r="Q63" s="446"/>
      <c r="R63" s="446"/>
      <c r="S63" s="446"/>
      <c r="T63" s="446"/>
      <c r="U63" s="417" t="e">
        <f>U57</f>
        <v>#VALUE!</v>
      </c>
      <c r="AA63" s="593"/>
      <c r="AB63" s="593"/>
      <c r="AD63" s="317">
        <v>2</v>
      </c>
      <c r="AE63" s="304" t="str">
        <f>IF($AD63=AE$58,(-$AE$30-$AV$19+($AF$30+$AW$19)*$AX$19/$AY$19)*$AX$28,"")</f>
        <v/>
      </c>
      <c r="AF63" s="285" t="str">
        <f>IF($AD63=AE$58,(-$AF$30+$AE$30*$CA$19/$BZ$19)*$BZ$28,"")</f>
        <v/>
      </c>
      <c r="AG63" s="304" t="str">
        <f>IF($AD63=AG$58,(-$AG$30+$AH$30*$BB$19/$BC$19)*$BB$28,"")</f>
        <v/>
      </c>
      <c r="AH63" s="285" t="str">
        <f>IF($AD63=AG$58,($AH$30-$AG$30*$BE$19/$BD$19)*$BD$28,"")</f>
        <v/>
      </c>
      <c r="AI63" s="304" t="str">
        <f>IF($AD63=AI$58,($AI$30-$AJ$30*$BL$19/$BM$19)*$BL$28,"")</f>
        <v/>
      </c>
      <c r="AJ63" s="285" t="str">
        <f>IF($AD63=AI$58,($AJ$30-$BK$19-($AI$30-$BJ$19)*$BI$19/$BH$19)*$BH$28,"")</f>
        <v/>
      </c>
      <c r="AK63" s="304" t="str">
        <f>IF($AD63=AK$58,($AK$30+$BR$19+(-$AL$30-$BS$19)*$BP$19/$BQ$19)*$BP$28,"")</f>
        <v/>
      </c>
      <c r="AL63" s="285" t="str">
        <f>IF($AD63=AK$58,(-$AL$30+$BU$19+($AK$30-$BT$19)*$BW$19/$BV$19)*$BV$28,"")</f>
        <v/>
      </c>
      <c r="AN63" s="304" t="str">
        <f>IF(ISNUMBER($AE$30),(-$AE$30-$AV$19+($AF$30+$AW$19)*$AX$19/$AY$19),"")</f>
        <v/>
      </c>
      <c r="AO63" s="285" t="str">
        <f>IF(ISNUMBER($AF$30),(-$AF$30+$AE$30*$CA$19/$BZ$19),"")</f>
        <v/>
      </c>
      <c r="AP63" s="304" t="str">
        <f>IF(ISNUMBER($AG$30),(-$AG$30+$AH$30*$BB$19/$BC$19),"")</f>
        <v/>
      </c>
      <c r="AQ63" s="285" t="str">
        <f>IF(ISNUMBER($AH$30),($AH$30-$AG$30*$BE$19/$BD$19),"")</f>
        <v/>
      </c>
      <c r="AR63" s="304" t="str">
        <f>IF(ISNUMBER($AI$30),($AI$30-$AJ$30*$BL$19/$BM$19),"")</f>
        <v/>
      </c>
      <c r="AS63" s="285" t="str">
        <f>IF(ISNUMBER($AJ$30),($AJ$30-$BK$19-($AI$30-$BJ$19)*$BI$19/$BH$19),"")</f>
        <v/>
      </c>
      <c r="AT63" s="304" t="str">
        <f>IF(ISNUMBER($AK$30),($AK$30+$BR$19+(-$AL$30-$BS$19)*$BP$19/$BQ$19),"")</f>
        <v/>
      </c>
      <c r="AU63" s="285" t="str">
        <f>IF(ISNUMBER($AL$30),(-$AL$30+$BU$19+($AK$30-$BT$19)*$BW$19/$BV$19),"")</f>
        <v/>
      </c>
      <c r="BG63" s="291">
        <v>27</v>
      </c>
      <c r="BH63" s="291">
        <v>22</v>
      </c>
      <c r="BI63" s="291">
        <v>23</v>
      </c>
      <c r="BJ63" s="291">
        <v>26</v>
      </c>
      <c r="BK63" s="291">
        <v>35</v>
      </c>
      <c r="BL63" s="291">
        <v>34</v>
      </c>
      <c r="BM63" s="291">
        <v>33</v>
      </c>
      <c r="BN63" s="291">
        <v>28</v>
      </c>
      <c r="BO63" s="291">
        <v>21</v>
      </c>
      <c r="BZ63" s="596"/>
      <c r="CA63" s="596"/>
    </row>
    <row r="64" spans="1:79" ht="12" customHeight="1" x14ac:dyDescent="0.25">
      <c r="AA64" s="593"/>
      <c r="AB64" s="593"/>
      <c r="AD64" s="317">
        <v>3</v>
      </c>
      <c r="AE64" s="304" t="str">
        <f>IF($AD64=AE$58,(-$AE$30-$AV$19+($AF$30+$AW$19)*$AX$19/$AY$19)*$AX$28,"")</f>
        <v/>
      </c>
      <c r="AF64" s="285" t="str">
        <f>IF($AD64=AE$58,(-$AF$30-$CA$19-(-$AE$30-$BZ$19)*$BY$19/$BX$19)*$BX$28,"")</f>
        <v/>
      </c>
      <c r="AG64" s="304" t="str">
        <f>IF($AD64=AG$58,(-$AG$30+$AH$30*$BB$19/$BC$19)*$BB$28,"")</f>
        <v/>
      </c>
      <c r="AH64" s="285" t="str">
        <f>IF($AD64=AG$58,($AH$30+$BE$19+(-$AG$30-$BD$19)*$BG$19/$BF$19)*$BF$28,"")</f>
        <v/>
      </c>
      <c r="AI64" s="304" t="str">
        <f>IF($AD64=AI$58,($AI$30-$AJ$30*$BL$19/$BM$19)*$BL$28,"")</f>
        <v/>
      </c>
      <c r="AJ64" s="285" t="str">
        <f>IF($AD64=AI$58,($AJ$30-$AI$30*$BK$19/$BJ$19)*$BJ$28,"")</f>
        <v/>
      </c>
      <c r="AK64" s="304" t="str">
        <f>IF($AD64=AK$58,($AK$30+$BR$19+(-$AL$30-$BS$19)*$BP$19/$BQ$19)*$BP$28,"")</f>
        <v/>
      </c>
      <c r="AL64" s="285" t="str">
        <f>IF($AD64=AK$58,(-$AL$30+$AK$30*$BU$19/$BT$19)*$BT$28,"")</f>
        <v/>
      </c>
      <c r="AN64" s="304" t="str">
        <f>IF(ISNUMBER($AE$30),(-$AE$30-$AV$19+($AF$30+$AW$19)*$AX$19/$AY$19),"")</f>
        <v/>
      </c>
      <c r="AO64" s="285" t="str">
        <f>IF(ISNUMBER($AF$30),(-$AF$30-$CA$19-(-$AE$30-$BZ$19)*$BY$19/$BX$19),"")</f>
        <v/>
      </c>
      <c r="AP64" s="304" t="str">
        <f>IF(ISNUMBER($AG$30),(-$AG$30+$AH$30*$BB$19/$BC$19),"")</f>
        <v/>
      </c>
      <c r="AQ64" s="285" t="str">
        <f>IF(ISNUMBER($AH$30),($AH$30+$BE$19+(-$AG$30-$BD$19)*$BG$19/$BF$19),"")</f>
        <v/>
      </c>
      <c r="AR64" s="304" t="str">
        <f>IF(ISNUMBER($AI$30),($AI$30-$AJ$30*$BL$19/$BM$19),"")</f>
        <v/>
      </c>
      <c r="AS64" s="285" t="str">
        <f>IF(ISNUMBER($AJ$30),($AJ$30-$AI$30*$BK$19/$BJ$19),"")</f>
        <v/>
      </c>
      <c r="AT64" s="304" t="str">
        <f>IF(ISNUMBER($AK$30),($AK$30+$BR$19+(-$AL$30-$BS$19)*$BP$19/$BQ$19),"")</f>
        <v/>
      </c>
      <c r="AU64" s="285" t="str">
        <f>IF(ISNUMBER($AL$30),(-$AL$30+$AK$30*$BU$19/$BT$19),"")</f>
        <v/>
      </c>
      <c r="BG64" s="291">
        <v>28</v>
      </c>
      <c r="BH64" s="291">
        <v>21</v>
      </c>
      <c r="BI64" s="291">
        <v>22</v>
      </c>
      <c r="BJ64" s="291">
        <v>27</v>
      </c>
      <c r="BK64" s="291">
        <v>34</v>
      </c>
      <c r="BL64" s="291">
        <v>33</v>
      </c>
      <c r="BM64" s="291">
        <v>32</v>
      </c>
      <c r="BN64" s="291">
        <v>29</v>
      </c>
      <c r="BO64" s="291">
        <v>20</v>
      </c>
      <c r="BZ64" s="596"/>
      <c r="CA64" s="596"/>
    </row>
    <row r="65" spans="2:79" ht="12" customHeight="1" x14ac:dyDescent="0.25">
      <c r="AA65" s="593"/>
      <c r="AB65" s="593"/>
      <c r="AD65" s="317">
        <v>4</v>
      </c>
      <c r="AE65" s="284" t="str">
        <f>IF($AD65=AE$58,(-$AE$30+$AF$30*$AV$19/$AW$19)*$AV$28,"")</f>
        <v/>
      </c>
      <c r="AF65" s="283" t="str">
        <f>IF($AD65=AE$58,(-$AF$30-$CA$19-(-$AE$30-$BZ$19)*$BY$19/$BX$19)*$BX$28,"")</f>
        <v/>
      </c>
      <c r="AG65" s="284" t="str">
        <f>IF($AD65=AG$58,(-$AG$30+$BB$19+($AH$30-$BC$19)*$AZ$19/$BA$19)*$AZ$28,"")</f>
        <v/>
      </c>
      <c r="AH65" s="283" t="str">
        <f>IF($AD65=AG$58,($AH$30+$BE$19+(-$AG$30-$BD$19)*$BG$19/$BF$19)*$BF$28,"")</f>
        <v/>
      </c>
      <c r="AI65" s="284" t="str">
        <f>IF($AD65=AI$58,($AI$30-$BL$19-($AJ$30-$BM$19)*$BN$19/$BO$19)*$BN$28,"")</f>
        <v/>
      </c>
      <c r="AJ65" s="283" t="str">
        <f>IF($AD65=AI$58,($AJ$30-$AI$30*$BK$19/$BJ$19)*$BJ$28,"")</f>
        <v/>
      </c>
      <c r="AK65" s="284" t="str">
        <f>IF($AD65=AK$58,($AK$30-$AL$30*$BR$19/$BS$19)*$BR$28,"")</f>
        <v/>
      </c>
      <c r="AL65" s="283" t="str">
        <f>IF($AD65=AK$58,(-$AL$30+$AK$30*$BU$19/$BT$19)*$BT$28,"")</f>
        <v/>
      </c>
      <c r="AN65" s="284" t="str">
        <f>IF(ISNUMBER($AE$30),(-$AE$30+$AF$30*$AV$19/$AW$19),"")</f>
        <v/>
      </c>
      <c r="AO65" s="283" t="str">
        <f>IF(ISNUMBER($AF$30),(-$AF$30-$CA$19-(-$AE$30-$BZ$19)*$BY$19/$BX$19),"")</f>
        <v/>
      </c>
      <c r="AP65" s="284" t="str">
        <f>IF(ISNUMBER($AG$30),(-$AG$30+$BB$19+($AH$30-$BC$19)*$AZ$19/$BA$19),"")</f>
        <v/>
      </c>
      <c r="AQ65" s="283" t="str">
        <f>IF(ISNUMBER($AH$30),($AH$30+$BE$19+(-$AG$30-$BD$19)*$BG$19/$BF$19),"")</f>
        <v/>
      </c>
      <c r="AR65" s="284" t="str">
        <f>IF(ISNUMBER($AI$30),($AI$30-$BL$19-($AJ$30-$BM$19)*$BN$19/$BO$19),"")</f>
        <v/>
      </c>
      <c r="AS65" s="283" t="str">
        <f>IF(ISNUMBER($AJ$30),($AJ$30-$AI$30*$BK$19/$BJ$19),"")</f>
        <v/>
      </c>
      <c r="AT65" s="284" t="str">
        <f>IF(ISNUMBER($AK$30),($AK$30-$AL$30*$BR$19/$BS$19),"")</f>
        <v/>
      </c>
      <c r="AU65" s="283" t="str">
        <f>IF(ISNUMBER($AL$30),(-$AL$30+$AK$30*$BU$19/$BT$19),"")</f>
        <v/>
      </c>
      <c r="BG65" s="291">
        <v>29</v>
      </c>
      <c r="BH65" s="291">
        <v>20</v>
      </c>
      <c r="BI65" s="291">
        <v>21</v>
      </c>
      <c r="BJ65" s="291">
        <v>28</v>
      </c>
      <c r="BK65" s="291">
        <v>33</v>
      </c>
      <c r="BL65" s="291">
        <v>32</v>
      </c>
      <c r="BM65" s="291">
        <v>31</v>
      </c>
      <c r="BN65" s="291">
        <v>30</v>
      </c>
      <c r="BO65" s="291">
        <v>19</v>
      </c>
      <c r="BZ65" s="596"/>
      <c r="CA65" s="596"/>
    </row>
    <row r="66" spans="2:79" ht="12" customHeight="1" x14ac:dyDescent="0.25">
      <c r="B66" s="460" t="s">
        <v>56</v>
      </c>
      <c r="C66" s="460" t="s">
        <v>55</v>
      </c>
      <c r="D66" s="460" t="s">
        <v>57</v>
      </c>
      <c r="E66" s="460" t="s">
        <v>310</v>
      </c>
      <c r="F66" s="460" t="s">
        <v>311</v>
      </c>
      <c r="G66" s="460" t="s">
        <v>157</v>
      </c>
      <c r="H66" s="460" t="s">
        <v>312</v>
      </c>
      <c r="L66" s="460" t="s">
        <v>56</v>
      </c>
      <c r="M66" s="460" t="s">
        <v>55</v>
      </c>
      <c r="N66" s="460" t="s">
        <v>57</v>
      </c>
      <c r="O66" s="460" t="s">
        <v>310</v>
      </c>
      <c r="P66" s="460" t="s">
        <v>311</v>
      </c>
      <c r="Q66" s="460" t="s">
        <v>157</v>
      </c>
      <c r="R66" s="460" t="s">
        <v>312</v>
      </c>
      <c r="AA66" s="593"/>
      <c r="AB66" s="593"/>
      <c r="AE66" s="282" t="str">
        <f>IF(ISNUMBER($AE$62),AE$62,IF(ISNUMBER($AE$63),AE$63,IF(ISNUMBER($AE$64),AE$64,IF(ISNUMBER($AE$65),AE$65,""))))</f>
        <v/>
      </c>
      <c r="AF66" s="281" t="str">
        <f>IF(ISNUMBER($AF$62),AF$62,IF(ISNUMBER($AF$63),AF$63,IF(ISNUMBER($AF$64),AF$64,IF(ISNUMBER($AF$65),AF$65,""))))</f>
        <v/>
      </c>
      <c r="AG66" s="282" t="str">
        <f>IF(ISNUMBER($AG$62),AG$62,IF(ISNUMBER($AG$63),AG$63,IF(ISNUMBER($AG$64),AG$64,IF(ISNUMBER($AG$65),AG$65,""))))</f>
        <v/>
      </c>
      <c r="AH66" s="281" t="str">
        <f>IF(ISNUMBER($AH$62),AH$62,IF(ISNUMBER($AH$63),AH$63,IF(ISNUMBER($AH$64),AH$64,IF(ISNUMBER($AH$65),AH$65,""))))</f>
        <v/>
      </c>
      <c r="AI66" s="282" t="str">
        <f>IF(ISNUMBER($AI$62),AI$62,IF(ISNUMBER($AI$63),AI$63,IF(ISNUMBER($AI$64),AI$64,IF(ISNUMBER($AI$65),AI$65,""))))</f>
        <v/>
      </c>
      <c r="AJ66" s="281" t="str">
        <f>IF(ISNUMBER($AJ$62),AJ$62,IF(ISNUMBER($AJ$63),AJ$63,IF(ISNUMBER($AJ$64),AJ$64,IF(ISNUMBER($AJ$65),AJ$65,""))))</f>
        <v/>
      </c>
      <c r="AK66" s="282" t="str">
        <f>IF(ISNUMBER($AK$62),AK$62,IF(ISNUMBER($AK$63),AK$63,IF(ISNUMBER($AK$64),AK$64,IF(ISNUMBER($AK$65),AK$65,""))))</f>
        <v/>
      </c>
      <c r="AL66" s="281" t="str">
        <f>IF(ISNUMBER($AL$62),AL$62,IF(ISNUMBER($AL$63),AL$63,IF(ISNUMBER($AL$64),AL$64,IF(ISNUMBER($AL$65),AL$65,""))))</f>
        <v/>
      </c>
      <c r="AO66" s="417"/>
      <c r="AP66" s="417"/>
      <c r="AQ66" s="417"/>
      <c r="AR66" s="417"/>
      <c r="AS66" s="417"/>
      <c r="AT66" s="417"/>
      <c r="BG66" s="291">
        <v>30</v>
      </c>
      <c r="BH66" s="291">
        <v>19</v>
      </c>
      <c r="BI66" s="291">
        <v>20</v>
      </c>
      <c r="BJ66" s="291">
        <v>29</v>
      </c>
      <c r="BK66" s="291">
        <v>32</v>
      </c>
      <c r="BL66" s="291">
        <v>31</v>
      </c>
      <c r="BM66" s="291">
        <v>36</v>
      </c>
      <c r="BN66" s="291">
        <v>25</v>
      </c>
      <c r="BO66" s="291">
        <v>24</v>
      </c>
      <c r="BZ66" s="596"/>
      <c r="CA66" s="596"/>
    </row>
    <row r="67" spans="2:79" ht="12" customHeight="1" x14ac:dyDescent="0.25">
      <c r="B67" s="473" t="e">
        <f>$L$38</f>
        <v>#VALUE!</v>
      </c>
      <c r="C67" s="473">
        <f>$O$7</f>
        <v>0</v>
      </c>
      <c r="D67" s="473">
        <f>IF($P$7 = "S", 2,1)</f>
        <v>2</v>
      </c>
      <c r="E67" s="473">
        <f>$Q$7</f>
        <v>0</v>
      </c>
      <c r="F67" s="473">
        <f>IF($R$7 = "W", 2,1)</f>
        <v>2</v>
      </c>
      <c r="G67" s="473">
        <f>'SHL Section'!$S$7</f>
        <v>0</v>
      </c>
      <c r="H67" s="472" t="s">
        <v>473</v>
      </c>
      <c r="J67" s="366"/>
      <c r="L67" s="473" t="e">
        <f>$L$38</f>
        <v>#VALUE!</v>
      </c>
      <c r="M67" s="473">
        <f>$O$7</f>
        <v>0</v>
      </c>
      <c r="N67" s="473">
        <f>IF($P$7 = "S", 2,1)</f>
        <v>2</v>
      </c>
      <c r="O67" s="473">
        <f>$Q$7</f>
        <v>0</v>
      </c>
      <c r="P67" s="473">
        <f>IF($R$7 = "W", 2,1)</f>
        <v>2</v>
      </c>
      <c r="Q67" s="473">
        <f>'SHL Section'!$S$7</f>
        <v>0</v>
      </c>
      <c r="R67" s="472" t="s">
        <v>474</v>
      </c>
      <c r="AA67" s="593"/>
      <c r="AB67" s="593"/>
      <c r="AE67" s="289"/>
      <c r="AF67" s="288"/>
      <c r="AG67" s="290"/>
      <c r="AH67" s="290"/>
      <c r="AI67" s="289"/>
      <c r="AJ67" s="288"/>
      <c r="AK67" s="289"/>
      <c r="AL67" s="288"/>
      <c r="AO67" s="417"/>
      <c r="AP67" s="417"/>
      <c r="AQ67" s="417"/>
      <c r="AR67" s="417"/>
      <c r="AS67" s="417"/>
      <c r="AT67" s="417"/>
      <c r="BG67" s="291">
        <v>31</v>
      </c>
      <c r="BH67" s="291">
        <v>30</v>
      </c>
      <c r="BI67" s="291">
        <v>29</v>
      </c>
      <c r="BJ67" s="291">
        <v>32</v>
      </c>
      <c r="BK67" s="291">
        <v>5</v>
      </c>
      <c r="BL67" s="291">
        <v>6</v>
      </c>
      <c r="BM67" s="291">
        <v>1</v>
      </c>
      <c r="BN67" s="291">
        <v>36</v>
      </c>
      <c r="BO67" s="291">
        <v>25</v>
      </c>
      <c r="BZ67" s="596"/>
      <c r="CA67" s="596"/>
    </row>
    <row r="68" spans="2:79" ht="12" customHeight="1" x14ac:dyDescent="0.25">
      <c r="B68" s="460" t="s">
        <v>56</v>
      </c>
      <c r="C68" s="460" t="s">
        <v>55</v>
      </c>
      <c r="D68" s="460" t="s">
        <v>57</v>
      </c>
      <c r="E68" s="460" t="s">
        <v>310</v>
      </c>
      <c r="F68" s="460" t="s">
        <v>311</v>
      </c>
      <c r="G68" s="460" t="s">
        <v>157</v>
      </c>
      <c r="H68" s="460" t="s">
        <v>312</v>
      </c>
      <c r="J68" s="293"/>
      <c r="L68" s="460" t="s">
        <v>56</v>
      </c>
      <c r="M68" s="460" t="s">
        <v>55</v>
      </c>
      <c r="N68" s="460" t="s">
        <v>57</v>
      </c>
      <c r="O68" s="460" t="s">
        <v>310</v>
      </c>
      <c r="P68" s="460" t="s">
        <v>311</v>
      </c>
      <c r="Q68" s="460" t="s">
        <v>157</v>
      </c>
      <c r="R68" s="460" t="s">
        <v>312</v>
      </c>
      <c r="AA68" s="593"/>
      <c r="AB68" s="593"/>
      <c r="AE68" s="761" t="s">
        <v>475</v>
      </c>
      <c r="AF68" s="757"/>
      <c r="AG68" s="767" t="s">
        <v>475</v>
      </c>
      <c r="AH68" s="735"/>
      <c r="AI68" s="761" t="s">
        <v>475</v>
      </c>
      <c r="AJ68" s="757"/>
      <c r="AK68" s="761" t="s">
        <v>475</v>
      </c>
      <c r="AL68" s="757"/>
      <c r="AO68" s="417"/>
      <c r="AP68" s="417"/>
      <c r="AQ68" s="417"/>
      <c r="AR68" s="417"/>
      <c r="AS68" s="417"/>
      <c r="AT68" s="417"/>
      <c r="BG68" s="291">
        <v>32</v>
      </c>
      <c r="BH68" s="291">
        <v>29</v>
      </c>
      <c r="BI68" s="291">
        <v>28</v>
      </c>
      <c r="BJ68" s="291">
        <v>33</v>
      </c>
      <c r="BK68" s="291">
        <v>4</v>
      </c>
      <c r="BL68" s="291">
        <v>5</v>
      </c>
      <c r="BM68" s="291">
        <v>6</v>
      </c>
      <c r="BN68" s="291">
        <v>31</v>
      </c>
      <c r="BO68" s="291">
        <v>30</v>
      </c>
      <c r="BZ68" s="596"/>
      <c r="CA68" s="596"/>
    </row>
    <row r="69" spans="2:79" ht="12" customHeight="1" x14ac:dyDescent="0.25">
      <c r="B69" s="473" t="e">
        <f>$L$38</f>
        <v>#VALUE!</v>
      </c>
      <c r="C69" s="473">
        <f>$O$7</f>
        <v>0</v>
      </c>
      <c r="D69" s="473">
        <f>IF($P$7 = "S", 2,1)</f>
        <v>2</v>
      </c>
      <c r="E69" s="473">
        <f>$Q$7</f>
        <v>0</v>
      </c>
      <c r="F69" s="473">
        <f>IF($R$7 = "W", 2,1)</f>
        <v>2</v>
      </c>
      <c r="G69" s="473">
        <f>'SHL Section'!$S$7</f>
        <v>0</v>
      </c>
      <c r="H69" t="s">
        <v>476</v>
      </c>
      <c r="J69" s="293"/>
      <c r="L69" s="473" t="e">
        <f>$L$38</f>
        <v>#VALUE!</v>
      </c>
      <c r="M69" s="473">
        <f>$O$7</f>
        <v>0</v>
      </c>
      <c r="N69" s="473">
        <f>IF($P$7 = "S", 2,1)</f>
        <v>2</v>
      </c>
      <c r="O69" s="473">
        <f>$Q$7</f>
        <v>0</v>
      </c>
      <c r="P69" s="473">
        <f>IF($R$7 = "W", 2,1)</f>
        <v>2</v>
      </c>
      <c r="Q69" s="473">
        <f>'SHL Section'!$S$7</f>
        <v>0</v>
      </c>
      <c r="R69" s="472" t="s">
        <v>477</v>
      </c>
      <c r="AA69" s="593"/>
      <c r="AB69" s="593"/>
      <c r="AE69" s="762" t="str">
        <f>IF($AE$36="","",IF(AND((-$AE$36+$AF$36*$AV$19/$AW$19)&gt;0,-$AE$36&lt;$BZ$19,(-$AF$36+$AE$36*$CA$19/$BZ$19)&gt;0,-$AF$36&lt;$AW$19),1,IF(AND((-$AE$36-$AV$19+($AF$36+$AW$19)*$AX$19/$AY$19)&gt;0,-$AE$36&lt;$BZ$19,-$AF$36&gt;$AW$19,-$AF$36&lt;$AX$22),2,IF(AND(-$AE$36&lt;$BY$22,-$AE$36&gt;$BZ$19,-$AF$36&gt;$AW$19,-$AF$36&lt;$AX$22),3,IF(AND(-$AE$36&lt;$BY$22,-$AE$36&gt;$BZ$19,(-$AF$36-$CA$19-(-$AE$36-$BZ$19)*$BY$19/$BX$19)&gt;0,-$AF$36&lt;$AW$19),4,"")))))</f>
        <v/>
      </c>
      <c r="AF69" s="683"/>
      <c r="AG69" s="762" t="str">
        <f>IF($AG$36="","",IF(AND((-$AG$36+$BB$19+($AH$36-$BC$19)*$AZ$19/$BA$19)&gt;0,-$AG$36&lt;$BD$19,$AH$36&gt;$BC$19,$AH$36&lt;$BB$22),1,IF(AND((-$AG$36+$AH$36*$BB$19/$BC$19)&gt;0,-$AG$36&lt;$BD$19,($AH$36-$AG$36*$BE$19/$BD$19)&gt;0,$AH$36&lt;$BC$19),2,IF(AND(-$AG$36&gt;$BD$19,-$AG$36&lt;$BE$22,($AH$36+$BE$19+(-$AG$36-$BD$19)*$BG$19/$BF$19)&gt;0,$AH$36&lt;$BC$19),3,IF(AND(-$AG$36&gt;$BD$19,-$AG$36&lt;$BE$22,$AH$36&gt;$BC$19,$AH$36&lt;$BB$22),4,"")))))</f>
        <v/>
      </c>
      <c r="AH69" s="683"/>
      <c r="AI69" s="762" t="str">
        <f>IF($AI$36="","",IF(AND($AI$36&gt;$BJ$19,$AI$36&lt;$BI$22,$AJ$36&gt;$BM$19,$AJ$36&lt;$BN$22),1,IF(AND($AI$36&gt;$BJ$19,$AI$36&lt;$BI$22,($AJ$36-$BK$19-($AI$36-$BJ$19)*$BI$19/$BH$19)&gt;0,$AJ$36&lt;$BM$19),2,IF(AND(($AI$36-$AJ$36*$BL$19/$BM$19)&gt;0,$AI$36&lt;$BJ$19,($AJ$36-$AI$36*$BK$19/$BJ$19)&gt;0,$AJ$36&lt;$BM$19),3,IF(AND(($AI$36-$BL$19-($AJ$36-$BM$19)*$BN$19/$BO$19)&gt;0,$AI$36&lt;$BJ$19,$AJ$36&gt;$BM$19,$AJ$36&lt;$BN$22),4,"")))))</f>
        <v/>
      </c>
      <c r="AJ69" s="683"/>
      <c r="AK69" s="762" t="str">
        <f>IF($AK$36="","",IF(AND($AK$36&gt;$BT$19,$AK$36&lt;$BU$22,(-$AL$36+$BU$19+($AK$36-$BT$19)*$BW$19/$BV$19)&gt;0,-$AL$36&lt;$BS$19),1,IF(AND($AK$36&gt;$BT$19,$AK$36&lt;$BU$22,-$AL$36&gt;$BS$19,-$AL$36&lt;$BR$22),2,IF(AND(($AK$36+$BR$19+(-$AL$36-$BS$19)*$BP$19/$BQ$19)&gt;0,$AK$36&lt;$BT$19,-$AL$36&gt;$BS$19,-$AL$36&lt;$BR$22),3,IF(AND(($AK$36-$AL$36*$BR$19/$BS$19)&gt;0,$AK$36&lt;$BT$19,(-$AL$36+$AK$36*$BU$19/$BT$19)&gt;0,-$AL$36&lt;$BS$19),4,"")))))</f>
        <v/>
      </c>
      <c r="AL69" s="683"/>
      <c r="BG69" s="291">
        <v>33</v>
      </c>
      <c r="BH69" s="291">
        <v>28</v>
      </c>
      <c r="BI69" s="291">
        <v>27</v>
      </c>
      <c r="BJ69" s="291">
        <v>34</v>
      </c>
      <c r="BK69" s="291">
        <v>3</v>
      </c>
      <c r="BL69" s="291">
        <v>4</v>
      </c>
      <c r="BM69" s="291">
        <v>5</v>
      </c>
      <c r="BN69" s="291">
        <v>32</v>
      </c>
      <c r="BO69" s="291">
        <v>29</v>
      </c>
      <c r="BZ69" s="596"/>
      <c r="CA69" s="596"/>
    </row>
    <row r="70" spans="2:79" ht="12" customHeight="1" x14ac:dyDescent="0.25">
      <c r="B70" s="460" t="s">
        <v>56</v>
      </c>
      <c r="C70" s="460" t="s">
        <v>55</v>
      </c>
      <c r="D70" s="460" t="s">
        <v>57</v>
      </c>
      <c r="E70" s="460" t="s">
        <v>310</v>
      </c>
      <c r="F70" s="460" t="s">
        <v>311</v>
      </c>
      <c r="G70" s="460" t="s">
        <v>157</v>
      </c>
      <c r="H70" s="460" t="s">
        <v>312</v>
      </c>
      <c r="J70" s="293"/>
      <c r="L70" s="460" t="s">
        <v>56</v>
      </c>
      <c r="M70" s="460" t="s">
        <v>55</v>
      </c>
      <c r="N70" s="460" t="s">
        <v>57</v>
      </c>
      <c r="O70" s="460" t="s">
        <v>310</v>
      </c>
      <c r="P70" s="460" t="s">
        <v>311</v>
      </c>
      <c r="Q70" s="460" t="s">
        <v>157</v>
      </c>
      <c r="R70" s="460" t="s">
        <v>312</v>
      </c>
      <c r="AA70" s="593"/>
      <c r="AB70" s="593"/>
      <c r="AE70" s="289"/>
      <c r="AF70" s="288"/>
      <c r="AG70" s="290"/>
      <c r="AH70" s="290"/>
      <c r="AI70" s="289"/>
      <c r="AJ70" s="288"/>
      <c r="AK70" s="289"/>
      <c r="AL70" s="288"/>
      <c r="BG70" s="291">
        <v>34</v>
      </c>
      <c r="BH70" s="291">
        <v>27</v>
      </c>
      <c r="BI70" s="291">
        <v>26</v>
      </c>
      <c r="BJ70" s="291">
        <v>35</v>
      </c>
      <c r="BK70" s="291">
        <v>2</v>
      </c>
      <c r="BL70" s="291">
        <v>3</v>
      </c>
      <c r="BM70" s="291">
        <v>4</v>
      </c>
      <c r="BN70" s="291">
        <v>33</v>
      </c>
      <c r="BO70" s="291">
        <v>28</v>
      </c>
      <c r="BZ70" s="596"/>
      <c r="CA70" s="596"/>
    </row>
    <row r="71" spans="2:79" ht="12" customHeight="1" x14ac:dyDescent="0.25">
      <c r="B71" s="473" t="e">
        <f>$L$38</f>
        <v>#VALUE!</v>
      </c>
      <c r="C71" s="473">
        <f>$O$7</f>
        <v>0</v>
      </c>
      <c r="D71" s="473">
        <f>IF($P$7 = "S", 2,1)</f>
        <v>2</v>
      </c>
      <c r="E71" s="473">
        <f>$Q$7</f>
        <v>0</v>
      </c>
      <c r="F71" s="473">
        <f>IF($R$7 = "W", 2,1)</f>
        <v>2</v>
      </c>
      <c r="G71" s="473">
        <f>'SHL Section'!$S$7</f>
        <v>0</v>
      </c>
      <c r="H71" t="s">
        <v>478</v>
      </c>
      <c r="J71" s="319"/>
      <c r="L71" s="473" t="e">
        <f>$L$38</f>
        <v>#VALUE!</v>
      </c>
      <c r="M71" s="473">
        <f>$O$7</f>
        <v>0</v>
      </c>
      <c r="N71" s="473">
        <f>IF($P$7 = "S", 2,1)</f>
        <v>2</v>
      </c>
      <c r="O71" s="473">
        <f>$Q$7</f>
        <v>0</v>
      </c>
      <c r="P71" s="473">
        <f>IF($R$7 = "W", 2,1)</f>
        <v>2</v>
      </c>
      <c r="Q71" s="473">
        <f>'SHL Section'!$S$7</f>
        <v>0</v>
      </c>
      <c r="R71" s="472" t="s">
        <v>479</v>
      </c>
      <c r="AA71" s="593"/>
      <c r="AB71" s="593"/>
      <c r="AE71" s="761" t="s">
        <v>480</v>
      </c>
      <c r="AF71" s="757"/>
      <c r="AG71" s="761" t="s">
        <v>481</v>
      </c>
      <c r="AH71" s="757"/>
      <c r="AI71" s="761" t="s">
        <v>482</v>
      </c>
      <c r="AJ71" s="757"/>
      <c r="AK71" s="761" t="s">
        <v>483</v>
      </c>
      <c r="AL71" s="757"/>
      <c r="BG71" s="291">
        <v>35</v>
      </c>
      <c r="BH71" s="291">
        <v>26</v>
      </c>
      <c r="BI71" s="291">
        <v>25</v>
      </c>
      <c r="BJ71" s="291">
        <v>36</v>
      </c>
      <c r="BK71" s="291">
        <v>1</v>
      </c>
      <c r="BL71" s="291">
        <v>2</v>
      </c>
      <c r="BM71" s="291">
        <v>3</v>
      </c>
      <c r="BN71" s="291">
        <v>34</v>
      </c>
      <c r="BO71" s="291">
        <v>27</v>
      </c>
      <c r="BZ71" s="596"/>
      <c r="CA71" s="596"/>
    </row>
    <row r="72" spans="2:79" ht="12" customHeight="1" x14ac:dyDescent="0.25">
      <c r="B72" s="460" t="s">
        <v>56</v>
      </c>
      <c r="C72" s="460" t="s">
        <v>55</v>
      </c>
      <c r="D72" s="460" t="s">
        <v>57</v>
      </c>
      <c r="E72" s="460" t="s">
        <v>310</v>
      </c>
      <c r="F72" s="460" t="s">
        <v>311</v>
      </c>
      <c r="G72" s="460" t="s">
        <v>157</v>
      </c>
      <c r="H72" s="460" t="s">
        <v>312</v>
      </c>
      <c r="L72" s="460" t="s">
        <v>56</v>
      </c>
      <c r="M72" s="460" t="s">
        <v>55</v>
      </c>
      <c r="N72" s="460" t="s">
        <v>57</v>
      </c>
      <c r="O72" s="460" t="s">
        <v>310</v>
      </c>
      <c r="P72" s="460" t="s">
        <v>311</v>
      </c>
      <c r="Q72" s="460" t="s">
        <v>157</v>
      </c>
      <c r="R72" s="460" t="s">
        <v>312</v>
      </c>
      <c r="AA72" s="593"/>
      <c r="AB72" s="593"/>
      <c r="AD72" s="467" t="s">
        <v>340</v>
      </c>
      <c r="AE72" s="588" t="s">
        <v>186</v>
      </c>
      <c r="AF72" s="588" t="s">
        <v>188</v>
      </c>
      <c r="AG72" s="465" t="s">
        <v>186</v>
      </c>
      <c r="AH72" s="464" t="s">
        <v>189</v>
      </c>
      <c r="AI72" s="588" t="s">
        <v>187</v>
      </c>
      <c r="AJ72" s="588" t="s">
        <v>189</v>
      </c>
      <c r="AK72" s="588" t="s">
        <v>187</v>
      </c>
      <c r="AL72" s="588" t="s">
        <v>188</v>
      </c>
      <c r="AN72" s="596" t="s">
        <v>472</v>
      </c>
      <c r="BG72" s="291">
        <v>36</v>
      </c>
      <c r="BH72" s="291">
        <v>25</v>
      </c>
      <c r="BI72" s="291">
        <v>30</v>
      </c>
      <c r="BJ72" s="291">
        <v>31</v>
      </c>
      <c r="BK72" s="291">
        <v>6</v>
      </c>
      <c r="BL72" s="291">
        <v>1</v>
      </c>
      <c r="BM72" s="291">
        <v>2</v>
      </c>
      <c r="BN72" s="291">
        <v>35</v>
      </c>
      <c r="BO72" s="291">
        <v>26</v>
      </c>
      <c r="BZ72" s="596"/>
      <c r="CA72" s="596"/>
    </row>
    <row r="73" spans="2:79" ht="12" customHeight="1" x14ac:dyDescent="0.25">
      <c r="B73" s="473" t="e">
        <f>$L$38</f>
        <v>#VALUE!</v>
      </c>
      <c r="C73" s="473">
        <f>$O$7</f>
        <v>0</v>
      </c>
      <c r="D73" s="473">
        <f>IF($P$7 = "S", 2,1)</f>
        <v>2</v>
      </c>
      <c r="E73" s="473">
        <f>$Q$7</f>
        <v>0</v>
      </c>
      <c r="F73" s="473">
        <f>IF($R$7 = "W", 2,1)</f>
        <v>2</v>
      </c>
      <c r="G73" s="473">
        <f>'SHL Section'!$S$7</f>
        <v>0</v>
      </c>
      <c r="H73" t="s">
        <v>484</v>
      </c>
      <c r="L73" s="473" t="e">
        <f>$L$38</f>
        <v>#VALUE!</v>
      </c>
      <c r="M73" s="473">
        <f>$O$7</f>
        <v>0</v>
      </c>
      <c r="N73" s="473">
        <f>IF($P$7 = "S", 2,1)</f>
        <v>2</v>
      </c>
      <c r="O73" s="473">
        <f>$Q$7</f>
        <v>0</v>
      </c>
      <c r="P73" s="473">
        <f>IF($R$7 = "W", 2,1)</f>
        <v>2</v>
      </c>
      <c r="Q73" s="473">
        <f>'SHL Section'!$S$7</f>
        <v>0</v>
      </c>
      <c r="R73" s="472" t="s">
        <v>485</v>
      </c>
      <c r="AA73" s="593"/>
      <c r="AB73" s="593"/>
      <c r="AD73" s="317">
        <v>1</v>
      </c>
      <c r="AE73" s="304" t="str">
        <f>IF($AD73=AE$69,(-$AE$36+$AF$36*$AV$19/$AW$19)*$AV$28,"")</f>
        <v/>
      </c>
      <c r="AF73" s="285" t="str">
        <f>IF($AD73=AE$69,(-$AF$36+$AE$36*$CA$19/$BZ$19)*$BZ$28,"")</f>
        <v/>
      </c>
      <c r="AG73" s="304" t="str">
        <f>IF($AD73=AG$69,(-$AG$36+$BB$19+($AH$36-$BC$19)*$AZ$19/$BA$19)*$AZ$28,"")</f>
        <v/>
      </c>
      <c r="AH73" s="285" t="str">
        <f>IF($AD73=AG$69,($AH$36-$AG$36*$BE$19/$BD$19)*$BD$28,"")</f>
        <v/>
      </c>
      <c r="AI73" s="304" t="str">
        <f>IF($AD73=AI$69,($AI$36-$BL$19-($AJ$36-$BM$19)*$BN$19/$BO$19)*$BN$28,"")</f>
        <v/>
      </c>
      <c r="AJ73" s="285" t="str">
        <f>IF($AD73=AI$69,($AJ$36-$BK$19-($AI$36-$BJ$19)*$BI$19/$BH$19)*$BH$28,"")</f>
        <v/>
      </c>
      <c r="AK73" s="304" t="str">
        <f>IF($AD73=AK$69,($AK$36-$AL$36*$BR$19/$BS$19)*$BR$28,"")</f>
        <v/>
      </c>
      <c r="AL73" s="285" t="str">
        <f>IF($AD73=AK$69,(-$AL$36+$BU$19+($AK$36-$BT$19)*$BW$19/$BV$19)*$BV$28,"")</f>
        <v/>
      </c>
      <c r="AN73" s="287" t="str">
        <f>IF(ISNUMBER($AE$36),(-$AE$36+$AF$36*$AV$19/$AW$19),"")</f>
        <v/>
      </c>
      <c r="AO73" s="286" t="str">
        <f>IF(ISNUMBER($AF$36),(-$AF$36+$AE$36*$CA$19/$BZ$19),"")</f>
        <v/>
      </c>
      <c r="AP73" s="287" t="str">
        <f>IF(ISNUMBER($AG$36),(-$AG$36+$BB$19+($AH$36-$BC$19)*$AZ$19/$BA$19),"")</f>
        <v/>
      </c>
      <c r="AQ73" s="286" t="str">
        <f>IF(ISNUMBER($AH$36),($AH$36-$AG$36*$BE$19/$BD$19),"")</f>
        <v/>
      </c>
      <c r="AR73" s="287" t="str">
        <f>IF(ISNUMBER($AI$36),($AI$36-$BL$19-($AJ$36-$BM$19)*$BN$19/$BO$19),"")</f>
        <v/>
      </c>
      <c r="AS73" s="286" t="str">
        <f>IF(ISNUMBER($AJ$36),($AJ$36-$BK$19-($AI$36-$BJ$19)*$BI$19/$BH$19),"")</f>
        <v/>
      </c>
      <c r="AT73" s="287" t="str">
        <f>IF(ISNUMBER($AK$36),($AK$36-$AL$36*$BR$19/$BS$19),"")</f>
        <v/>
      </c>
      <c r="AU73" s="286" t="str">
        <f>IF(ISNUMBER($AL$36),(-$AL$36+$BU$19+($AK$36-$BT$19)*$BW$19/$BV$19),"")</f>
        <v/>
      </c>
      <c r="BZ73" s="596"/>
      <c r="CA73" s="596"/>
    </row>
    <row r="74" spans="2:79" ht="12" customHeight="1" x14ac:dyDescent="0.25">
      <c r="B74" s="460" t="s">
        <v>56</v>
      </c>
      <c r="C74" s="460" t="s">
        <v>55</v>
      </c>
      <c r="D74" s="460" t="s">
        <v>57</v>
      </c>
      <c r="E74" s="460" t="s">
        <v>310</v>
      </c>
      <c r="F74" s="460" t="s">
        <v>311</v>
      </c>
      <c r="G74" s="460" t="s">
        <v>157</v>
      </c>
      <c r="H74" s="460" t="s">
        <v>312</v>
      </c>
      <c r="L74" s="460" t="s">
        <v>56</v>
      </c>
      <c r="M74" s="460" t="s">
        <v>55</v>
      </c>
      <c r="N74" s="460" t="s">
        <v>57</v>
      </c>
      <c r="O74" s="460" t="s">
        <v>310</v>
      </c>
      <c r="P74" s="460" t="s">
        <v>311</v>
      </c>
      <c r="Q74" s="460" t="s">
        <v>157</v>
      </c>
      <c r="R74" s="460" t="s">
        <v>312</v>
      </c>
      <c r="AA74" s="593"/>
      <c r="AB74" s="593"/>
      <c r="AD74" s="317">
        <v>2</v>
      </c>
      <c r="AE74" s="304" t="str">
        <f>IF($AD74=AE$69,(-$AE$36-$AV$19+($AF$36+$AW$19)*$AX$19/$AY$19)*$AX$28,"")</f>
        <v/>
      </c>
      <c r="AF74" s="285" t="str">
        <f>IF($AD74=AE$69,(-$AF$36+$AE$36*$CA$19/$BZ$19)*$BZ$28,"")</f>
        <v/>
      </c>
      <c r="AG74" s="304" t="str">
        <f>IF($AD74=AG$69,(-$AG$36+$AH$36*$BB$19/$BC$19)*$BB$28,"")</f>
        <v/>
      </c>
      <c r="AH74" s="285" t="str">
        <f>IF($AD74=AG$69,($AH$36-$AG$36*$BE$19/$BD$19)*$BD$28,"")</f>
        <v/>
      </c>
      <c r="AI74" s="304" t="str">
        <f>IF($AD74=AI$69,($AI$36-$AJ$36*$BL$19/$BM$19)*$BL$28,"")</f>
        <v/>
      </c>
      <c r="AJ74" s="285" t="str">
        <f>IF($AD74=AI$69,($AJ$36-$BK$19-($AI$36-$BJ$19)*$BI$19/$BH$19)*$BH$28,"")</f>
        <v/>
      </c>
      <c r="AK74" s="304" t="str">
        <f>IF($AD74=AK$69,($AK$36+$BR$19+(-$AL$36-$BS$19)*$BP$19/$BQ$19)*$BP$28,"")</f>
        <v/>
      </c>
      <c r="AL74" s="285" t="str">
        <f>IF($AD74=AK$69,(-$AL$36+$BU$19+($AK$36-$BT$19)*$BW$19/$BV$19)*$BV$28,"")</f>
        <v/>
      </c>
      <c r="AN74" s="304" t="str">
        <f>IF(ISNUMBER($AE$36),(-$AE$36-$AV$19+($AF$36+$AW$19)*$AX$19/$AY$19),"")</f>
        <v/>
      </c>
      <c r="AO74" s="285" t="str">
        <f>IF(ISNUMBER($AF$36),(-$AF$36+$AE$36*$CA$19/$BZ$19),"")</f>
        <v/>
      </c>
      <c r="AP74" s="304" t="str">
        <f>IF(ISNUMBER($AG$36),(-$AG$36+$AH$36*$BB$19/$BC$19),"")</f>
        <v/>
      </c>
      <c r="AQ74" s="285" t="str">
        <f>IF(ISNUMBER($AH$36),($AH$36-$AG$36*$BE$19/$BD$19),"")</f>
        <v/>
      </c>
      <c r="AR74" s="304" t="str">
        <f>IF(ISNUMBER($AI$36),($AI$36-$AJ$36*$BL$19/$BM$19),"")</f>
        <v/>
      </c>
      <c r="AS74" s="285" t="str">
        <f>IF(ISNUMBER($AJ$36),($AJ$36-$BK$19-($AI$36-$BJ$19)*$BI$19/$BH$19),"")</f>
        <v/>
      </c>
      <c r="AT74" s="304" t="str">
        <f>IF(ISNUMBER($AK$36),($AK$36+$BR$19+(-$AL$36-$BS$19)*$BP$19/$BQ$19),"")</f>
        <v/>
      </c>
      <c r="AU74" s="285" t="str">
        <f>IF(ISNUMBER($AL$36),(-$AL$36+$BU$19+($AK$36-$BT$19)*$BW$19/$BV$19),"")</f>
        <v/>
      </c>
      <c r="BZ74" s="596"/>
      <c r="CA74" s="596"/>
    </row>
    <row r="75" spans="2:79" ht="12" customHeight="1" x14ac:dyDescent="0.25">
      <c r="B75" s="473" t="e">
        <f>$L$38</f>
        <v>#VALUE!</v>
      </c>
      <c r="C75" s="473">
        <f>$O$7</f>
        <v>0</v>
      </c>
      <c r="D75" s="473">
        <f>IF($P$7 = "S", 2,1)</f>
        <v>2</v>
      </c>
      <c r="E75" s="473">
        <f>$Q$7</f>
        <v>0</v>
      </c>
      <c r="F75" s="473">
        <f>IF($R$7 = "W", 2,1)</f>
        <v>2</v>
      </c>
      <c r="G75" s="473">
        <f>'SHL Section'!$S$7</f>
        <v>0</v>
      </c>
      <c r="H75" s="472" t="s">
        <v>486</v>
      </c>
      <c r="L75" s="473" t="e">
        <f>$L$38</f>
        <v>#VALUE!</v>
      </c>
      <c r="M75" s="473">
        <f>$O$7</f>
        <v>0</v>
      </c>
      <c r="N75" s="473">
        <f>IF($P$7 = "S", 2,1)</f>
        <v>2</v>
      </c>
      <c r="O75" s="473">
        <f>$Q$7</f>
        <v>0</v>
      </c>
      <c r="P75" s="473">
        <f>IF($R$7 = "W", 2,1)</f>
        <v>2</v>
      </c>
      <c r="Q75" s="473">
        <f>'SHL Section'!$S$7</f>
        <v>0</v>
      </c>
      <c r="R75" s="472" t="s">
        <v>487</v>
      </c>
      <c r="AA75" s="593"/>
      <c r="AB75" s="593"/>
      <c r="AD75" s="317">
        <v>3</v>
      </c>
      <c r="AE75" s="304" t="str">
        <f>IF($AD75=AE$69,(-$AE$36-$AV$19+($AF$36+$AW$19)*$AX$19/$AY$19)*$AX$28,"")</f>
        <v/>
      </c>
      <c r="AF75" s="285" t="str">
        <f>IF($AD75=AE$69,(-$AF$36-$CA$19-(-$AE$36-$BZ$19)*$BY$19/$BX$19)*$BX$28,"")</f>
        <v/>
      </c>
      <c r="AG75" s="304" t="str">
        <f>IF($AD75=AG$69,(-$AG$36+$AH$36*$BB$19/$BC$19)*$BB$28,"")</f>
        <v/>
      </c>
      <c r="AH75" s="285" t="str">
        <f>IF($AD75=AG$69,($AH$36+$BE$19+(-$AG$36-$BD$19)*$BG$19/$BF$19)*$BF$28,"")</f>
        <v/>
      </c>
      <c r="AI75" s="304" t="str">
        <f>IF($AD75=AI$69,($AI$36-$AJ$36*$BL$19/$BM$19)*$BL$28,"")</f>
        <v/>
      </c>
      <c r="AJ75" s="285" t="str">
        <f>IF($AD75=AI$69,($AJ$36-$AI$36*$BK$19/$BJ$19)*$BJ$28,"")</f>
        <v/>
      </c>
      <c r="AK75" s="304" t="str">
        <f>IF($AD75=AK$69,($AK$36+$BR$19+(-$AL$36-$BS$19)*$BP$19/$BQ$19)*$BP$28,"")</f>
        <v/>
      </c>
      <c r="AL75" s="285" t="str">
        <f>IF($AD75=AK$69,(-$AL$36+$AK$36*$BU$19/$BT$19)*$BT$28,"")</f>
        <v/>
      </c>
      <c r="AN75" s="304" t="str">
        <f>IF(ISNUMBER($AE$36),(-$AE$36-$AV$19+($AF$36+$AW$19)*$AX$19/$AY$19),"")</f>
        <v/>
      </c>
      <c r="AO75" s="285" t="str">
        <f>IF(ISNUMBER($AF$36),(-$AF$36-$CA$19-(-$AE$36-$BZ$19)*$BY$19/$BX$19),"")</f>
        <v/>
      </c>
      <c r="AP75" s="304" t="str">
        <f>IF(ISNUMBER($AG$36),(-$AG$36+$AH$36*$BB$19/$BC$19),"")</f>
        <v/>
      </c>
      <c r="AQ75" s="285" t="str">
        <f>IF(ISNUMBER($AH$36),($AH$36+$BE$19+(-$AG$36-$BD$19)*$BG$19/$BF$19),"")</f>
        <v/>
      </c>
      <c r="AR75" s="304" t="str">
        <f>IF(ISNUMBER($AI$36),($AI$36-$AJ$36*$BL$19/$BM$19),"")</f>
        <v/>
      </c>
      <c r="AS75" s="285" t="str">
        <f>IF(ISNUMBER($AJ$36),($AJ$36-$AI$36*$BK$19/$BJ$19),"")</f>
        <v/>
      </c>
      <c r="AT75" s="304" t="str">
        <f>IF(ISNUMBER($AK$36),($AK$36+$BR$19+(-$AL$36-$BS$19)*$BP$19/$BQ$19),"")</f>
        <v/>
      </c>
      <c r="AU75" s="285" t="str">
        <f>IF(ISNUMBER($AL$36),(-$AL$36+$AK$36*$BU$19/$BT$19),"")</f>
        <v/>
      </c>
      <c r="BZ75" s="596"/>
      <c r="CA75" s="596"/>
    </row>
    <row r="76" spans="2:79" ht="12" customHeight="1" x14ac:dyDescent="0.25">
      <c r="B76" s="460" t="s">
        <v>56</v>
      </c>
      <c r="C76" s="460" t="s">
        <v>55</v>
      </c>
      <c r="D76" s="460" t="s">
        <v>57</v>
      </c>
      <c r="E76" s="460" t="s">
        <v>310</v>
      </c>
      <c r="F76" s="460" t="s">
        <v>311</v>
      </c>
      <c r="G76" s="460" t="s">
        <v>157</v>
      </c>
      <c r="H76" s="460" t="s">
        <v>312</v>
      </c>
      <c r="L76" s="460" t="s">
        <v>56</v>
      </c>
      <c r="M76" s="460" t="s">
        <v>55</v>
      </c>
      <c r="N76" s="460" t="s">
        <v>57</v>
      </c>
      <c r="O76" s="460" t="s">
        <v>310</v>
      </c>
      <c r="P76" s="460" t="s">
        <v>311</v>
      </c>
      <c r="Q76" s="460" t="s">
        <v>157</v>
      </c>
      <c r="R76" s="460" t="s">
        <v>312</v>
      </c>
      <c r="AA76" s="593"/>
      <c r="AB76" s="593"/>
      <c r="AD76" s="317">
        <v>4</v>
      </c>
      <c r="AE76" s="304" t="str">
        <f>IF($AD76=AE$69,(-$AE$36+$AF$36*$AV$19/$AW$19)*$AV$28,"")</f>
        <v/>
      </c>
      <c r="AF76" s="285" t="str">
        <f>IF($AD76=AE$69,(-$AF$36-$CA$19-(-$AE$36-$BZ$19)*$BY$19/$BX$19)*$BX$28,"")</f>
        <v/>
      </c>
      <c r="AG76" s="304" t="str">
        <f>IF($AD76=AG$69,(-$AG$36+$BB$19+($AH$36-$BC$19)*$AZ$19/$BA$19)*$AZ$28,"")</f>
        <v/>
      </c>
      <c r="AH76" s="285" t="str">
        <f>IF($AD76=AG$69,($AH$36+$BE$19+(-$AG$36-$BD$19)*$BG$19/$BF$19)*$BF$28,"")</f>
        <v/>
      </c>
      <c r="AI76" s="304" t="str">
        <f>IF($AD76=AI$69,($AI$36-$BL$19-($AJ$36-$BM$19)*$BN$19/$BO$19)*$BN$28,"")</f>
        <v/>
      </c>
      <c r="AJ76" s="285" t="str">
        <f>IF($AD76=AI$69,($AJ$36-$AI$36*$BK$19/$BJ$19)*$BJ$28,"")</f>
        <v/>
      </c>
      <c r="AK76" s="304" t="str">
        <f>IF($AD76=AK$69,($AK$36-$AL$36*$BR$19/$BS$19)*$BR$28,"")</f>
        <v/>
      </c>
      <c r="AL76" s="285" t="str">
        <f>IF($AD76=AK$69,(-$AL$36+$AK$36*$BU$19/$BT$19)*$BT$28,"")</f>
        <v/>
      </c>
      <c r="AN76" s="284" t="str">
        <f>IF(ISNUMBER($AE$36),(-$AE$36+$AF$36*$AV$19/$AW$19),"")</f>
        <v/>
      </c>
      <c r="AO76" s="283" t="str">
        <f>IF(ISNUMBER($AF$36),(-$AF$36-$CA$19-(-$AE$36-$BZ$19)*$BY$19/$BX$19),"")</f>
        <v/>
      </c>
      <c r="AP76" s="284" t="str">
        <f>IF(ISNUMBER($AG$36),(-$AG$36+$BB$19+($AH$36-$BC$19)*$AZ$19/$BA$19),"")</f>
        <v/>
      </c>
      <c r="AQ76" s="283" t="str">
        <f>IF(ISNUMBER($AH$36),($AH$36+$BE$19+(-$AG$36-$BD$19)*$BG$19/$BF$19),"")</f>
        <v/>
      </c>
      <c r="AR76" s="284" t="str">
        <f>IF(ISNUMBER($AI$36),($AI$36-$BL$19-($AJ$36-$BM$19)*$BN$19/$BO$19),"")</f>
        <v/>
      </c>
      <c r="AS76" s="283" t="str">
        <f>IF(ISNUMBER($AJ$36),($AJ$36-$AI$36*$BK$19/$BJ$19),"")</f>
        <v/>
      </c>
      <c r="AT76" s="284" t="str">
        <f>IF(ISNUMBER($AK$36),($AK$36-$AL$36*$BR$19/$BS$19),"")</f>
        <v/>
      </c>
      <c r="AU76" s="283" t="str">
        <f>IF(ISNUMBER($AL$36),(-$AL$36+$AK$36*$BU$19/$BT$19),"")</f>
        <v/>
      </c>
      <c r="BZ76" s="596"/>
      <c r="CA76" s="596"/>
    </row>
    <row r="77" spans="2:79" ht="12" customHeight="1" x14ac:dyDescent="0.25">
      <c r="B77" s="473" t="e">
        <f>$L$38</f>
        <v>#VALUE!</v>
      </c>
      <c r="C77" s="473">
        <f>$O$7</f>
        <v>0</v>
      </c>
      <c r="D77" s="473">
        <f>IF($P$7 = "S", 2,1)</f>
        <v>2</v>
      </c>
      <c r="E77" s="473">
        <f>$Q$7</f>
        <v>0</v>
      </c>
      <c r="F77" s="473">
        <f>IF($R$7 = "W", 2,1)</f>
        <v>2</v>
      </c>
      <c r="G77" s="473">
        <f>'SHL Section'!$S$7</f>
        <v>0</v>
      </c>
      <c r="H77" t="s">
        <v>488</v>
      </c>
      <c r="L77" s="473" t="e">
        <f>$L$38</f>
        <v>#VALUE!</v>
      </c>
      <c r="M77" s="473">
        <f>$O$7</f>
        <v>0</v>
      </c>
      <c r="N77" s="473">
        <f>IF($P$7 = "S", 2,1)</f>
        <v>2</v>
      </c>
      <c r="O77" s="473">
        <f>$Q$7</f>
        <v>0</v>
      </c>
      <c r="P77" s="473">
        <f>IF($R$7 = "W", 2,1)</f>
        <v>2</v>
      </c>
      <c r="Q77" s="473">
        <f>'SHL Section'!$S$7</f>
        <v>0</v>
      </c>
      <c r="R77" s="472" t="s">
        <v>489</v>
      </c>
      <c r="AA77" s="593"/>
      <c r="AB77" s="593"/>
      <c r="AE77" s="282" t="str">
        <f>IF(ISNUMBER($AE$73),AE$73,IF(ISNUMBER($AE$74),AE$74,IF(ISNUMBER($AE$75),AE$75,IF(ISNUMBER($AE$76),AE$76,""))))</f>
        <v/>
      </c>
      <c r="AF77" s="281" t="str">
        <f>IF(ISNUMBER($AF$73),AF$73,IF(ISNUMBER($AF$74),AF$74,IF(ISNUMBER($AF$75),AF$75,IF(ISNUMBER($AF$76),AF$76,""))))</f>
        <v/>
      </c>
      <c r="AG77" s="282" t="str">
        <f>IF(ISNUMBER($AG$73),AG$73,IF(ISNUMBER($AG$74),AG$74,IF(ISNUMBER($AG$75),AG$75,IF(ISNUMBER($AG$76),AG$76,""))))</f>
        <v/>
      </c>
      <c r="AH77" s="281" t="str">
        <f>IF(ISNUMBER($AH$73),AH$73,IF(ISNUMBER($AH$74),AH$74,IF(ISNUMBER($AH$75),AH$75,IF(ISNUMBER($AH$76),AH$76,""))))</f>
        <v/>
      </c>
      <c r="AI77" s="282" t="str">
        <f>IF(ISNUMBER($AI$73),AI$73,IF(ISNUMBER($AI$74),AI$74,IF(ISNUMBER($AI$75),AI$75,IF(ISNUMBER($AI$76),AI$76,""))))</f>
        <v/>
      </c>
      <c r="AJ77" s="281" t="str">
        <f>IF(ISNUMBER($AJ$73),AJ$73,IF(ISNUMBER($AJ$74),AJ$74,IF(ISNUMBER($AJ$75),AJ$75,IF(ISNUMBER($AJ$76),AJ$76,""))))</f>
        <v/>
      </c>
      <c r="AK77" s="282" t="str">
        <f>IF(ISNUMBER($AK$73),AK$73,IF(ISNUMBER($AK$74),AK$74,IF(ISNUMBER($AK$75),AK$75,IF(ISNUMBER($AK$76),AK$76,""))))</f>
        <v/>
      </c>
      <c r="AL77" s="281" t="str">
        <f>IF(ISNUMBER($AL$73),AL$73,IF(ISNUMBER($AL$74),AL$74,IF(ISNUMBER($AL$75),AL$75,IF(ISNUMBER($AL$76),AL$76,""))))</f>
        <v/>
      </c>
      <c r="BZ77" s="596"/>
      <c r="CA77" s="596"/>
    </row>
    <row r="78" spans="2:79" ht="12" customHeight="1" x14ac:dyDescent="0.25">
      <c r="B78" s="460" t="s">
        <v>56</v>
      </c>
      <c r="C78" s="460" t="s">
        <v>55</v>
      </c>
      <c r="D78" s="460" t="s">
        <v>57</v>
      </c>
      <c r="E78" s="460" t="s">
        <v>310</v>
      </c>
      <c r="F78" s="460" t="s">
        <v>311</v>
      </c>
      <c r="G78" s="460" t="s">
        <v>157</v>
      </c>
      <c r="H78" s="460" t="s">
        <v>312</v>
      </c>
      <c r="L78" s="460" t="s">
        <v>56</v>
      </c>
      <c r="M78" s="460" t="s">
        <v>55</v>
      </c>
      <c r="N78" s="460" t="s">
        <v>57</v>
      </c>
      <c r="O78" s="460" t="s">
        <v>310</v>
      </c>
      <c r="P78" s="460" t="s">
        <v>311</v>
      </c>
      <c r="Q78" s="460" t="s">
        <v>157</v>
      </c>
      <c r="R78" s="460" t="s">
        <v>312</v>
      </c>
      <c r="AA78" s="593"/>
      <c r="AB78" s="593"/>
      <c r="AE78" s="289"/>
      <c r="AF78" s="288"/>
      <c r="AG78" s="290"/>
      <c r="AH78" s="290"/>
      <c r="AI78" s="289"/>
      <c r="AJ78" s="288"/>
      <c r="AK78" s="289"/>
      <c r="AL78" s="288"/>
      <c r="BZ78" s="596"/>
      <c r="CA78" s="596"/>
    </row>
    <row r="79" spans="2:79" ht="12" customHeight="1" x14ac:dyDescent="0.25">
      <c r="B79" s="473" t="e">
        <f>$L$38</f>
        <v>#VALUE!</v>
      </c>
      <c r="C79" s="473">
        <f>$O$7</f>
        <v>0</v>
      </c>
      <c r="D79" s="473">
        <f>IF($P$7 = "S", 2,1)</f>
        <v>2</v>
      </c>
      <c r="E79" s="473">
        <f>$Q$7</f>
        <v>0</v>
      </c>
      <c r="F79" s="473">
        <f>IF($R$7 = "W", 2,1)</f>
        <v>2</v>
      </c>
      <c r="G79" s="473">
        <f>'SHL Section'!$S$7</f>
        <v>0</v>
      </c>
      <c r="H79" t="s">
        <v>490</v>
      </c>
      <c r="L79" s="473" t="e">
        <f>$L$38</f>
        <v>#VALUE!</v>
      </c>
      <c r="M79" s="473">
        <f>$O$7</f>
        <v>0</v>
      </c>
      <c r="N79" s="473">
        <f>IF($P$7 = "S", 2,1)</f>
        <v>2</v>
      </c>
      <c r="O79" s="473">
        <f>$Q$7</f>
        <v>0</v>
      </c>
      <c r="P79" s="473">
        <f>IF($R$7 = "W", 2,1)</f>
        <v>2</v>
      </c>
      <c r="Q79" s="473">
        <f>'SHL Section'!$S$7</f>
        <v>0</v>
      </c>
      <c r="R79" s="472" t="s">
        <v>491</v>
      </c>
      <c r="AA79" s="593"/>
      <c r="AB79" s="593"/>
      <c r="AE79" s="761" t="s">
        <v>492</v>
      </c>
      <c r="AF79" s="757"/>
      <c r="AG79" s="767" t="s">
        <v>492</v>
      </c>
      <c r="AH79" s="735"/>
      <c r="AI79" s="761" t="s">
        <v>492</v>
      </c>
      <c r="AJ79" s="757"/>
      <c r="AK79" s="761" t="s">
        <v>492</v>
      </c>
      <c r="AL79" s="757"/>
      <c r="BZ79" s="596"/>
      <c r="CA79" s="596"/>
    </row>
    <row r="80" spans="2:79" ht="12" customHeight="1" x14ac:dyDescent="0.25">
      <c r="B80" s="460" t="s">
        <v>56</v>
      </c>
      <c r="C80" s="460" t="s">
        <v>55</v>
      </c>
      <c r="D80" s="460" t="s">
        <v>57</v>
      </c>
      <c r="E80" s="460" t="s">
        <v>310</v>
      </c>
      <c r="F80" s="460" t="s">
        <v>311</v>
      </c>
      <c r="G80" s="460" t="s">
        <v>157</v>
      </c>
      <c r="H80" s="460" t="s">
        <v>312</v>
      </c>
      <c r="L80" s="460" t="s">
        <v>56</v>
      </c>
      <c r="M80" s="460" t="s">
        <v>55</v>
      </c>
      <c r="N80" s="460" t="s">
        <v>57</v>
      </c>
      <c r="O80" s="460" t="s">
        <v>310</v>
      </c>
      <c r="P80" s="460" t="s">
        <v>311</v>
      </c>
      <c r="Q80" s="460" t="s">
        <v>157</v>
      </c>
      <c r="R80" s="460" t="s">
        <v>312</v>
      </c>
      <c r="AA80" s="593"/>
      <c r="AB80" s="593"/>
      <c r="AE80" s="762" t="str">
        <f>IF($AE$42="","",IF(AND((-$AE$42+$AF$42*$AV$19/$AW$19)&gt;0,-$AE$42&lt;$BZ$19,(-$AF$42+$AE$42*$CA$19/$BZ$19)&gt;0,-$AF$42&lt;$AW$19),1,IF(AND((-$AE$42-$AV$19+($AF$42+$AW$19)*$AX$19/$AY$19)&gt;0,-$AE$42&lt;$BZ$19,-$AF$42&gt;$AW$19,-$AF$42&lt;$AX$22),2,IF(AND(-$AE$42&lt;$BY$22,-$AE$42&gt;$BZ$19,-$AF$42&gt;$AW$19,-$AF$42&lt;$AX$22),3,IF(AND(-$AE$42&lt;$BY$22,-$AE$42&gt;$BZ$19,(-$AF$42-$CA$19-(-$AE$42-$BZ$19)*$BY$19/$BX$19)&gt;0,-$AF$42&lt;$AW$19),4,"")))))</f>
        <v/>
      </c>
      <c r="AF80" s="683"/>
      <c r="AG80" s="762" t="str">
        <f>IF($AG$42="","",IF(AND((-$AG$42+$BB$19+($AH$42-$BC$19)*$AZ$19/$BA$19)&gt;0,-$AG$42&lt;$BD$19,$AH$42&gt;$BC$19,$AH$42&lt;$BB$22),1,IF(AND((-$AG$42+$AH$42*$BB$19/$BC$19)&gt;0,-$AG$42&lt;$BD$19,($AH$42-$AG$42*$BE$19/$BD$19)&gt;0,$AH$42&lt;$BC$19),2,IF(AND(-$AG$42&gt;$BD$19,-$AG$42&lt;$BE$22,($AH$42+$BE$19+(-$AG$42-$BD$19)*$BG$19/$BF$19)&gt;0,$AH$42&lt;$BC$19),3,IF(AND(-$AG$42&gt;$BD$19,-$AG$42&lt;$BE$22,$AH$42&gt;$BC$19,$AH$42&lt;$BB$22),4,"")))))</f>
        <v/>
      </c>
      <c r="AH80" s="683"/>
      <c r="AI80" s="762" t="str">
        <f>IF($AI$42="","",IF(AND($AI$42&gt;$BJ$19,$AI$42&lt;$BI$22,$AJ$42&gt;$BM$19,$AJ$42&lt;$BN$22),1,IF(AND($AI$42&gt;$BJ$19,$AI$42&lt;$BI$22,($AJ$42-$BK$19-($AI$42-$BJ$19)*$BI$19/$BH$19)&gt;0,$AJ$42&lt;$BM$19),2,IF(AND(($AI$42-$AJ$42*$BL$19/$BM$19)&gt;0,$AI$42&lt;$BJ$19,($AJ$42-$AI$42*$BK$19/$BJ$19)&gt;0,$AJ$42&lt;$BM$19),3,IF(AND(($AI$42-$BL$19-($AJ$42-$BM$19)*$BN$19/$BO$19)&gt;0,$AI$42&lt;$BJ$19,$AJ$42&gt;$BM$19,$AJ$42&lt;$BN$22),4,"")))))</f>
        <v/>
      </c>
      <c r="AJ80" s="683"/>
      <c r="AK80" s="762" t="str">
        <f>IF($AK$42="","",IF(AND($AK$42&gt;$BT$19,$AK$42&lt;$BU$22,(-$AL$42+$BU$19+($AK$42-$BT$19)*$BW$19/$BV$19)&gt;0,-$AL$42&lt;$BS$19),1,IF(AND($AK$42&gt;$BT$19,$AK$42&lt;$BU$22,-$AL$42&gt;$BS$19,-$AL$42&lt;$BR$22),2,IF(AND(($AK$42+$BR$19+(-$AL$42-$BS$19)*$BP$19/$BQ$19)&gt;0,$AK$42&lt;$BT$19,-$AL$42&gt;$BS$19,-$AL$42&lt;$BR$22),3,IF(AND(($AK$42-$AL$42*$BR$19/$BS$19)&gt;0,$AK$42&lt;$BT$19,(-$AL$42+$AK$42*$BU$19/$BT$19)&gt;0,-$AL$42&lt;$BS$19),4,"")))))</f>
        <v/>
      </c>
      <c r="AL80" s="683"/>
      <c r="BZ80" s="596"/>
      <c r="CA80" s="596"/>
    </row>
    <row r="81" spans="2:79" ht="12" customHeight="1" x14ac:dyDescent="0.25">
      <c r="B81" s="473" t="e">
        <f>$L$38</f>
        <v>#VALUE!</v>
      </c>
      <c r="C81" s="473">
        <f>$O$7</f>
        <v>0</v>
      </c>
      <c r="D81" s="473">
        <f>IF($P$7 = "S", 2,1)</f>
        <v>2</v>
      </c>
      <c r="E81" s="473">
        <f>$Q$7</f>
        <v>0</v>
      </c>
      <c r="F81" s="473">
        <f>IF($R$7 = "W", 2,1)</f>
        <v>2</v>
      </c>
      <c r="G81" s="473">
        <f>'SHL Section'!$S$7</f>
        <v>0</v>
      </c>
      <c r="H81" t="s">
        <v>493</v>
      </c>
      <c r="L81" s="473" t="e">
        <f>$L$38</f>
        <v>#VALUE!</v>
      </c>
      <c r="M81" s="473">
        <f>$O$7</f>
        <v>0</v>
      </c>
      <c r="N81" s="473">
        <f>IF($P$7 = "S", 2,1)</f>
        <v>2</v>
      </c>
      <c r="O81" s="473">
        <f>$Q$7</f>
        <v>0</v>
      </c>
      <c r="P81" s="473">
        <f>IF($R$7 = "W", 2,1)</f>
        <v>2</v>
      </c>
      <c r="Q81" s="473">
        <f>'SHL Section'!$S$7</f>
        <v>0</v>
      </c>
      <c r="R81" s="472" t="s">
        <v>494</v>
      </c>
      <c r="AA81" s="593"/>
      <c r="AB81" s="593"/>
      <c r="AE81" s="289"/>
      <c r="AF81" s="288"/>
      <c r="AG81" s="290"/>
      <c r="AH81" s="290"/>
      <c r="AI81" s="289"/>
      <c r="AJ81" s="288"/>
      <c r="AK81" s="289"/>
      <c r="AL81" s="288"/>
      <c r="BZ81" s="596"/>
      <c r="CA81" s="596"/>
    </row>
    <row r="82" spans="2:79" ht="12" customHeight="1" x14ac:dyDescent="0.25">
      <c r="B82" s="473"/>
      <c r="C82" s="473"/>
      <c r="D82" s="473"/>
      <c r="E82" s="473"/>
      <c r="F82" s="473"/>
      <c r="G82" s="473"/>
      <c r="L82" s="473"/>
      <c r="M82" s="473"/>
      <c r="N82" s="473"/>
      <c r="O82" s="473"/>
      <c r="P82" s="473"/>
      <c r="Q82" s="473"/>
      <c r="R82" s="472"/>
      <c r="AA82" s="593"/>
      <c r="AB82" s="593"/>
      <c r="AE82" s="761" t="s">
        <v>495</v>
      </c>
      <c r="AF82" s="757"/>
      <c r="AG82" s="761" t="s">
        <v>496</v>
      </c>
      <c r="AH82" s="757"/>
      <c r="AI82" s="761" t="s">
        <v>482</v>
      </c>
      <c r="AJ82" s="757"/>
      <c r="AK82" s="761" t="s">
        <v>497</v>
      </c>
      <c r="AL82" s="757"/>
      <c r="BZ82" s="596"/>
      <c r="CA82" s="596"/>
    </row>
    <row r="83" spans="2:79" ht="12" customHeight="1" x14ac:dyDescent="0.25">
      <c r="AA83" s="593"/>
      <c r="AB83" s="593"/>
      <c r="AD83" s="467" t="s">
        <v>340</v>
      </c>
      <c r="AE83" s="588" t="s">
        <v>186</v>
      </c>
      <c r="AF83" s="588" t="s">
        <v>188</v>
      </c>
      <c r="AG83" s="465" t="s">
        <v>186</v>
      </c>
      <c r="AH83" s="464" t="s">
        <v>189</v>
      </c>
      <c r="AI83" s="588" t="s">
        <v>187</v>
      </c>
      <c r="AJ83" s="588" t="s">
        <v>189</v>
      </c>
      <c r="AK83" s="588" t="s">
        <v>187</v>
      </c>
      <c r="AL83" s="588" t="s">
        <v>188</v>
      </c>
      <c r="AN83" s="596" t="s">
        <v>472</v>
      </c>
      <c r="BZ83" s="596"/>
      <c r="CA83" s="596"/>
    </row>
    <row r="84" spans="2:79" ht="12" customHeight="1" x14ac:dyDescent="0.25">
      <c r="AA84" s="593"/>
      <c r="AB84" s="593"/>
      <c r="AD84" s="317">
        <v>1</v>
      </c>
      <c r="AE84" s="304" t="str">
        <f>IF($AD84=AE$80,(-$AE$42+$AF$42*$AV$19/$AW$19)*$AV$28,"")</f>
        <v/>
      </c>
      <c r="AF84" s="285" t="str">
        <f>IF($AD84=AE$80,(-$AF$42+$AE$42*$CA$19/$BZ$19)*$BZ$28,"")</f>
        <v/>
      </c>
      <c r="AG84" s="304" t="str">
        <f>IF($AD84=AG$80,(-$AG$42+$BB$19+($AH$42-$BC$19)*$AZ$19/$BA$19)*$AZ$28,"")</f>
        <v/>
      </c>
      <c r="AH84" s="285" t="str">
        <f>IF($AD84=AG$80,($AH$42-$AG$42*$BE$19/$BD$19)*$BD$28,"")</f>
        <v/>
      </c>
      <c r="AI84" s="304" t="str">
        <f>IF($AD84=AI$80,($AI$42-$BL$19-($AJ$42-$BM$19)*$BN$19/$BO$19)*$BN$28,"")</f>
        <v/>
      </c>
      <c r="AJ84" s="285" t="str">
        <f>IF($AD84=AI$80,($AJ$42-$BK$19-($AI$42-$BJ$19)*$BI$19/$BH$19)*$BH$28,"")</f>
        <v/>
      </c>
      <c r="AK84" s="304" t="str">
        <f>IF($AD84=AK$80,($AK$42-$AL$42*$BR$19/$BS$19)*$BR$28,"")</f>
        <v/>
      </c>
      <c r="AL84" s="285" t="str">
        <f>IF($AD84=AK$80,(-$AL$42+$BU$19+($AK$42-$BT$19)*$BW$19/$BV$19)*$BV$28,"")</f>
        <v/>
      </c>
      <c r="AN84" s="287" t="str">
        <f>IF(ISNUMBER($AE$42),(-$AE$42+$AF$42*$AV$19/$AW$19),"")</f>
        <v/>
      </c>
      <c r="AO84" s="286" t="str">
        <f>IF(ISNUMBER($AF$42),(-$AF$42+$AE$42*$CA$19/$BZ$19),"")</f>
        <v/>
      </c>
      <c r="AP84" s="287" t="str">
        <f>IF(ISNUMBER($AG$42),(-$AG$42+$BB$19+($AH$42-$BC$19)*$AZ$19/$BA$19),"")</f>
        <v/>
      </c>
      <c r="AQ84" s="286" t="str">
        <f>IF(ISNUMBER($AH$42),($AH$42-$AG$42*$BE$19/$BD$19),"")</f>
        <v/>
      </c>
      <c r="AR84" s="287" t="str">
        <f>IF(ISNUMBER($AI$42),($AI$42-$BL$19-($AJ$42-$BM$19)*$BN$19/$BO$19),"")</f>
        <v/>
      </c>
      <c r="AS84" s="286" t="str">
        <f>IF(ISNUMBER($AJ$42),($AJ$42-$BK$19-($AI$42-$BJ$19)*$BI$19/$BH$19),"")</f>
        <v/>
      </c>
      <c r="AT84" s="287" t="str">
        <f>IF(ISNUMBER($AK$42),($AK$42-$AL$42*$BR$19/$BS$19),"")</f>
        <v/>
      </c>
      <c r="AU84" s="286" t="str">
        <f>IF(ISNUMBER($AL$42),(-$AL$42+$BU$19+($AK$42-$BT$19)*$BW$19/$BV$19),"")</f>
        <v/>
      </c>
      <c r="BZ84" s="596"/>
      <c r="CA84" s="596"/>
    </row>
    <row r="85" spans="2:79" ht="12" customHeight="1" x14ac:dyDescent="0.25">
      <c r="AA85" s="593"/>
      <c r="AB85" s="593"/>
      <c r="AD85" s="317">
        <v>2</v>
      </c>
      <c r="AE85" s="304" t="str">
        <f>IF($AD85=AE$80,(-$AE$42-$AV$19+($AF$42+$AW$19)*$AX$19/$AY$19)*$AX$28,"")</f>
        <v/>
      </c>
      <c r="AF85" s="285" t="str">
        <f>IF($AD85=AE$80,(-$AF$42+$AE$42*$CA$19/$BZ$19)*$BZ$28,"")</f>
        <v/>
      </c>
      <c r="AG85" s="304" t="str">
        <f>IF($AD85=AG$80,(-$AG$42+$AH$42*$BB$19/$BC$19)*$BB$28,"")</f>
        <v/>
      </c>
      <c r="AH85" s="285" t="str">
        <f>IF($AD85=AG$80,($AH$42-$AG$42*$BE$19/$BD$19)*$BD$28,"")</f>
        <v/>
      </c>
      <c r="AI85" s="304" t="str">
        <f>IF($AD85=AI$80,($AI$42-$AJ$42*$BL$19/$BM$19)*$BL$28,"")</f>
        <v/>
      </c>
      <c r="AJ85" s="285" t="str">
        <f>IF($AD85=AI$80,($AJ$42-$BK$19-($AI$42-$BJ$19)*$BI$19/$BH$19)*$BH$28,"")</f>
        <v/>
      </c>
      <c r="AK85" s="304" t="str">
        <f>IF($AD85=AK$80,($AK$42+$BR$19+(-$AL$42-$BS$19)*$BP$19/$BQ$19)*$BP$28,"")</f>
        <v/>
      </c>
      <c r="AL85" s="285" t="str">
        <f>IF($AD85=AK$80,(-$AL$42+$BU$19+($AK$42-$BT$19)*$BW$19/$BV$19)*$BV$28,"")</f>
        <v/>
      </c>
      <c r="AN85" s="304" t="str">
        <f>IF(ISNUMBER($AE$42),(-$AE$42-$AV$19+($AF$42+$AW$19)*$AX$19/$AY$19),"")</f>
        <v/>
      </c>
      <c r="AO85" s="285" t="str">
        <f>IF(ISNUMBER($AF$42),(-$AF$42+$AE$42*$CA$19/$BZ$19),"")</f>
        <v/>
      </c>
      <c r="AP85" s="304" t="str">
        <f>IF(ISNUMBER($AG$42),(-$AG$42+$AH$42*$BB$19/$BC$19),"")</f>
        <v/>
      </c>
      <c r="AQ85" s="285" t="str">
        <f>IF(ISNUMBER($AH$42),($AH$42-$AG$42*$BE$19/$BD$19),"")</f>
        <v/>
      </c>
      <c r="AR85" s="304" t="str">
        <f>IF(ISNUMBER($AI$42),($AI$42-$AJ$42*$BL$19/$BM$19),"")</f>
        <v/>
      </c>
      <c r="AS85" s="285" t="str">
        <f>IF(ISNUMBER($AJ$42),($AJ$42-$BK$19-($AI$42-$BJ$19)*$BI$19/$BH$19),"")</f>
        <v/>
      </c>
      <c r="AT85" s="304" t="str">
        <f>IF(ISNUMBER($AK$42),($AK$42+$BR$19+(-$AL$42-$BS$19)*$BP$19/$BQ$19),"")</f>
        <v/>
      </c>
      <c r="AU85" s="285" t="str">
        <f>IF(ISNUMBER($AL$42),(-$AL$42+$BU$19+($AK$42-$BT$19)*$BW$19/$BV$19),"")</f>
        <v/>
      </c>
      <c r="BZ85" s="596"/>
      <c r="CA85" s="596"/>
    </row>
    <row r="86" spans="2:79" ht="12" customHeight="1" x14ac:dyDescent="0.25">
      <c r="AA86" s="593"/>
      <c r="AB86" s="593"/>
      <c r="AD86" s="317">
        <v>3</v>
      </c>
      <c r="AE86" s="304" t="str">
        <f>IF($AD86=AE$80,(-$AE$42-$AV$19+($AF$42+$AW$19)*$AX$19/$AY$19)*$AX$28,"")</f>
        <v/>
      </c>
      <c r="AF86" s="285" t="str">
        <f>IF($AD86=AE$80,(-$AF$42-$CA$19-(-$AE$42-$BZ$19)*$BY$19/$BX$19)*$BX$28,"")</f>
        <v/>
      </c>
      <c r="AG86" s="304" t="str">
        <f>IF($AD86=AG$80,(-$AG$42+$AH$42*$BB$19/$BC$19)*$BB$28,"")</f>
        <v/>
      </c>
      <c r="AH86" s="285" t="str">
        <f>IF($AD86=AG$80,($AH$42+$BE$19+(-$AG$42-$BD$19)*$BG$19/$BF$19)*$BF$28,"")</f>
        <v/>
      </c>
      <c r="AI86" s="304" t="str">
        <f>IF($AD86=AI$80,($AI$42-$AJ$42*$BL$19/$BM$19)*$BL$28,"")</f>
        <v/>
      </c>
      <c r="AJ86" s="285" t="str">
        <f>IF($AD86=AI$80,($AJ$42-$AI$42*$BK$19/$BJ$19)*$BJ$28,"")</f>
        <v/>
      </c>
      <c r="AK86" s="304" t="str">
        <f>IF($AD86=AK$80,($AK$42+$BR$19+(-$AL$42-$BS$19)*$BP$19/$BQ$19)*$BP$28,"")</f>
        <v/>
      </c>
      <c r="AL86" s="285" t="str">
        <f>IF($AD86=AK$80,(-$AL$42+$AK$42*$BU$19/$BT$19)*$BT$28,"")</f>
        <v/>
      </c>
      <c r="AN86" s="304" t="str">
        <f>IF(ISNUMBER($AE$42),(-$AE$42-$AV$19+($AF$42+$AW$19)*$AX$19/$AY$19),"")</f>
        <v/>
      </c>
      <c r="AO86" s="285" t="str">
        <f>IF(ISNUMBER($AF$42),(-$AF$42-$CA$19-(-$AE$42-$BZ$19)*$BY$19/$BX$19),"")</f>
        <v/>
      </c>
      <c r="AP86" s="304" t="str">
        <f>IF(ISNUMBER($AG$42),(-$AG$42+$AH$42*$BB$19/$BC$19),"")</f>
        <v/>
      </c>
      <c r="AQ86" s="285" t="str">
        <f>IF(ISNUMBER($AH$42),($AH$42+$BE$19+(-$AG$42-$BD$19)*$BG$19/$BF$19),"")</f>
        <v/>
      </c>
      <c r="AR86" s="304" t="str">
        <f>IF(ISNUMBER($AI$42),($AI$42-$AJ$42*$BL$19/$BM$19),"")</f>
        <v/>
      </c>
      <c r="AS86" s="285" t="str">
        <f>IF(ISNUMBER($AJ$42),($AJ$42-$AI$42*$BK$19/$BJ$19),"")</f>
        <v/>
      </c>
      <c r="AT86" s="304" t="str">
        <f>IF(ISNUMBER($AK$42),($AK$42+$BR$19+(-$AL$42-$BS$19)*$BP$19/$BQ$19),"")</f>
        <v/>
      </c>
      <c r="AU86" s="285" t="str">
        <f>IF(ISNUMBER($AL$42),(-$AL$42+$AK$42*$BU$19/$BT$19),"")</f>
        <v/>
      </c>
      <c r="BZ86" s="596"/>
      <c r="CA86" s="596"/>
    </row>
    <row r="87" spans="2:79" ht="12" customHeight="1" x14ac:dyDescent="0.25">
      <c r="B87" s="460"/>
      <c r="C87" s="460"/>
      <c r="D87" s="460"/>
      <c r="E87" s="460"/>
      <c r="F87" s="460"/>
      <c r="G87" s="460"/>
      <c r="H87" s="460"/>
      <c r="L87" s="460"/>
      <c r="M87" s="460"/>
      <c r="N87" s="460"/>
      <c r="O87" s="460"/>
      <c r="P87" s="460"/>
      <c r="Q87" s="460"/>
      <c r="R87" s="460"/>
      <c r="AA87" s="593"/>
      <c r="AB87" s="593"/>
      <c r="AD87" s="317">
        <v>4</v>
      </c>
      <c r="AE87" s="284" t="str">
        <f>IF($AD87=AE$80,(-$AE$42+$AF$42*$AV$19/$AW$19)*$AV$28,"")</f>
        <v/>
      </c>
      <c r="AF87" s="283" t="str">
        <f>IF($AD87=AE$80,(-$AF$42-$CA$19-(-$AE$42-$BZ$19)*$BY$19/$BX$19)*$BX$28,"")</f>
        <v/>
      </c>
      <c r="AG87" s="284" t="str">
        <f>IF($AD87=AG$80,(-$AG$42+$BB$19+($AH$42-$BC$19)*$AZ$19/$BA$19)*$AZ$28,"")</f>
        <v/>
      </c>
      <c r="AH87" s="283" t="str">
        <f>IF($AD87=AG$80,($AH$42+$BE$19+(-$AG$42-$BD$19)*$BG$19/$BF$19)*$BF$28,"")</f>
        <v/>
      </c>
      <c r="AI87" s="284" t="str">
        <f>IF($AD87=AI$80,($AI$42-$BL$19-($AJ$42-$BM$19)*$BN$19/$BO$19)*$BN$28,"")</f>
        <v/>
      </c>
      <c r="AJ87" s="283" t="str">
        <f>IF($AD87=AI$80,($AJ$42-$AI$42*$BK$19/$BJ$19)*$BJ$28,"")</f>
        <v/>
      </c>
      <c r="AK87" s="284" t="str">
        <f>IF($AD87=AK$80,($AK$42-$AL$42*$BR$19/$BS$19)*$BR$28,"")</f>
        <v/>
      </c>
      <c r="AL87" s="283" t="str">
        <f>IF($AD87=AK$80,(-$AL$42+$AK$42*$BU$19/$BT$19)*$BT$28,"")</f>
        <v/>
      </c>
      <c r="AN87" s="284" t="str">
        <f>IF(ISNUMBER($AE$42),(-$AE$42+$AF$42*$AV$19/$AW$19),"")</f>
        <v/>
      </c>
      <c r="AO87" s="283" t="str">
        <f>IF(ISNUMBER($AF$42),(-$AF$42-$CA$19-(-$AE$42-$BZ$19)*$BY$19/$BX$19),"")</f>
        <v/>
      </c>
      <c r="AP87" s="284" t="str">
        <f>IF(ISNUMBER($AG$42),(-$AG$42+$BB$19+($AH$42-$BC$19)*$AZ$19/$BA$19),"")</f>
        <v/>
      </c>
      <c r="AQ87" s="283" t="str">
        <f>IF(ISNUMBER($AH$42),($AH$42+$BE$19+(-$AG$42-$BD$19)*$BG$19/$BF$19),"")</f>
        <v/>
      </c>
      <c r="AR87" s="284" t="str">
        <f>IF(ISNUMBER($AI$42),($AI$42-$BL$19-($AJ$42-$BM$19)*$BN$19/$BO$19),"")</f>
        <v/>
      </c>
      <c r="AS87" s="283" t="str">
        <f>IF(ISNUMBER($AJ$42),($AJ$42-$AI$42*$BK$19/$BJ$19),"")</f>
        <v/>
      </c>
      <c r="AT87" s="284" t="str">
        <f>IF(ISNUMBER($AK$42),($AK$42-$AL$42*$BR$19/$BS$19),"")</f>
        <v/>
      </c>
      <c r="AU87" s="283" t="str">
        <f>IF(ISNUMBER($AL$42),(-$AL$42+$AK$42*$BU$19/$BT$19),"")</f>
        <v/>
      </c>
      <c r="BZ87" s="596"/>
      <c r="CA87" s="596"/>
    </row>
    <row r="88" spans="2:79" ht="12" customHeight="1" x14ac:dyDescent="0.25">
      <c r="B88" s="473"/>
      <c r="C88" s="473"/>
      <c r="D88" s="473"/>
      <c r="E88" s="473"/>
      <c r="F88" s="473"/>
      <c r="G88" s="473"/>
      <c r="H88" s="472"/>
      <c r="L88" s="473"/>
      <c r="M88" s="473"/>
      <c r="N88" s="473"/>
      <c r="O88" s="473"/>
      <c r="P88" s="473"/>
      <c r="Q88" s="473"/>
      <c r="R88" s="472"/>
      <c r="AA88" s="593"/>
      <c r="AB88" s="593"/>
      <c r="AE88" s="282" t="str">
        <f>IF(ISNUMBER($AE$84),AE$84,IF(ISNUMBER($AE$85),AE$85,IF(ISNUMBER($AE$86),AE$86,IF(ISNUMBER($AE$87),AE$87,""))))</f>
        <v/>
      </c>
      <c r="AF88" s="281" t="str">
        <f>IF(ISNUMBER($AF$84),AF$84,IF(ISNUMBER($AF$85),AF$85,IF(ISNUMBER($AF$86),AF$86,IF(ISNUMBER($AF$87),AF$87,""))))</f>
        <v/>
      </c>
      <c r="AG88" s="282" t="str">
        <f>IF(ISNUMBER($AG$84),AG$84,IF(ISNUMBER($AG$85),AG$85,IF(ISNUMBER($AG$86),AG$86,IF(ISNUMBER($AG$87),AG$87,""))))</f>
        <v/>
      </c>
      <c r="AH88" s="281" t="str">
        <f>IF(ISNUMBER($AH$84),AH$84,IF(ISNUMBER($AH$85),AH$85,IF(ISNUMBER($AH$86),AH$86,IF(ISNUMBER($AH$87),AH$87,""))))</f>
        <v/>
      </c>
      <c r="AI88" s="282" t="str">
        <f>IF(ISNUMBER($AI$84),AI$84,IF(ISNUMBER($AI$85),AI$85,IF(ISNUMBER($AI$86),AI$86,IF(ISNUMBER($AI$87),AI$87,""))))</f>
        <v/>
      </c>
      <c r="AJ88" s="281" t="str">
        <f>IF(ISNUMBER($AJ$84),AJ$84,IF(ISNUMBER($AJ$85),AJ$85,IF(ISNUMBER($AJ$86),AJ$86,IF(ISNUMBER($AJ$87),AJ$87,""))))</f>
        <v/>
      </c>
      <c r="AK88" s="282" t="str">
        <f>IF(ISNUMBER($AK$84),AK$84,IF(ISNUMBER($AK$85),AK$85,IF(ISNUMBER($AK$86),AK$86,IF(ISNUMBER($AK$87),AK$87,""))))</f>
        <v/>
      </c>
      <c r="AL88" s="281" t="str">
        <f>IF(ISNUMBER($AL$84),AL$84,IF(ISNUMBER($AL$85),AL$85,IF(ISNUMBER($AL$86),AL$86,IF(ISNUMBER($AL$87),AL$87,""))))</f>
        <v/>
      </c>
      <c r="BZ88" s="596"/>
      <c r="CA88" s="596"/>
    </row>
    <row r="89" spans="2:79" ht="12" customHeight="1" x14ac:dyDescent="0.25">
      <c r="AA89" s="593"/>
      <c r="AB89" s="593"/>
      <c r="BZ89" s="596"/>
      <c r="CA89" s="596"/>
    </row>
    <row r="90" spans="2:79" ht="12" customHeight="1" x14ac:dyDescent="0.25">
      <c r="AA90" s="593"/>
      <c r="AB90" s="593"/>
      <c r="BZ90" s="596"/>
      <c r="CA90" s="596"/>
    </row>
    <row r="91" spans="2:79" ht="12" customHeight="1" x14ac:dyDescent="0.25">
      <c r="AA91" s="593"/>
      <c r="AB91" s="593"/>
      <c r="BZ91" s="596"/>
      <c r="CA91" s="596"/>
    </row>
    <row r="92" spans="2:79" ht="12" customHeight="1" x14ac:dyDescent="0.25">
      <c r="B92" s="460"/>
      <c r="C92" s="460"/>
      <c r="D92" s="460"/>
      <c r="E92" s="460"/>
      <c r="F92" s="460"/>
      <c r="G92" s="460"/>
      <c r="H92" s="460"/>
      <c r="L92" s="460"/>
      <c r="M92" s="460"/>
      <c r="N92" s="460"/>
      <c r="O92" s="460"/>
      <c r="P92" s="460"/>
      <c r="Q92" s="460"/>
      <c r="R92" s="460"/>
      <c r="AA92" s="593"/>
      <c r="AB92" s="593"/>
      <c r="BZ92" s="596"/>
      <c r="CA92" s="596"/>
    </row>
    <row r="93" spans="2:79" x14ac:dyDescent="0.25">
      <c r="B93" s="473"/>
      <c r="C93" s="473"/>
      <c r="D93" s="473"/>
      <c r="E93" s="473"/>
      <c r="F93" s="473"/>
      <c r="G93" s="473"/>
      <c r="L93" s="473"/>
      <c r="M93" s="473"/>
      <c r="N93" s="473"/>
      <c r="O93" s="473"/>
      <c r="P93" s="473"/>
      <c r="Q93" s="473"/>
      <c r="R93" s="472"/>
      <c r="AA93" s="593"/>
      <c r="AB93" s="593"/>
      <c r="BZ93" s="596"/>
      <c r="CA93" s="596"/>
    </row>
    <row r="94" spans="2:79" x14ac:dyDescent="0.25">
      <c r="AA94" s="593"/>
      <c r="AB94" s="593"/>
      <c r="BZ94" s="596"/>
      <c r="CA94" s="596"/>
    </row>
    <row r="95" spans="2:79" x14ac:dyDescent="0.25">
      <c r="AA95" s="593"/>
      <c r="AB95" s="593"/>
      <c r="BZ95" s="596"/>
      <c r="CA95" s="596"/>
    </row>
    <row r="96" spans="2:79" x14ac:dyDescent="0.25">
      <c r="AA96" s="593"/>
      <c r="AB96" s="593"/>
      <c r="BZ96" s="596"/>
      <c r="CA96" s="596"/>
    </row>
    <row r="97" spans="2:79" x14ac:dyDescent="0.25">
      <c r="B97" s="460"/>
      <c r="C97" s="460"/>
      <c r="D97" s="460"/>
      <c r="E97" s="460"/>
      <c r="F97" s="460"/>
      <c r="G97" s="460"/>
      <c r="H97" s="460"/>
      <c r="L97" s="460"/>
      <c r="M97" s="460"/>
      <c r="N97" s="460"/>
      <c r="O97" s="460"/>
      <c r="P97" s="460"/>
      <c r="Q97" s="460"/>
      <c r="R97" s="460"/>
      <c r="AA97" s="593"/>
      <c r="AB97" s="593"/>
      <c r="BZ97" s="596"/>
      <c r="CA97" s="596"/>
    </row>
    <row r="98" spans="2:79" x14ac:dyDescent="0.25">
      <c r="B98" s="473"/>
      <c r="C98" s="473"/>
      <c r="D98" s="473"/>
      <c r="E98" s="473"/>
      <c r="F98" s="473"/>
      <c r="G98" s="473"/>
      <c r="L98" s="473"/>
      <c r="M98" s="473"/>
      <c r="N98" s="473"/>
      <c r="O98" s="473"/>
      <c r="P98" s="473"/>
      <c r="Q98" s="473"/>
      <c r="R98" s="472"/>
      <c r="AA98" s="593"/>
      <c r="AB98" s="593"/>
      <c r="BZ98" s="596"/>
      <c r="CA98" s="596"/>
    </row>
    <row r="99" spans="2:79" x14ac:dyDescent="0.25">
      <c r="AA99" s="593"/>
      <c r="AB99" s="593"/>
      <c r="BZ99" s="596"/>
      <c r="CA99" s="596"/>
    </row>
    <row r="100" spans="2:79" x14ac:dyDescent="0.25">
      <c r="AA100" s="593"/>
      <c r="AB100" s="593"/>
      <c r="BZ100" s="596"/>
      <c r="CA100" s="596"/>
    </row>
    <row r="101" spans="2:79" x14ac:dyDescent="0.25">
      <c r="AA101" s="593"/>
      <c r="AB101" s="593"/>
      <c r="BZ101" s="596"/>
      <c r="CA101" s="596"/>
    </row>
    <row r="102" spans="2:79" x14ac:dyDescent="0.25">
      <c r="B102" s="460"/>
      <c r="C102" s="460"/>
      <c r="D102" s="460"/>
      <c r="E102" s="460"/>
      <c r="F102" s="460"/>
      <c r="G102" s="460"/>
      <c r="H102" s="460"/>
      <c r="L102" s="460"/>
      <c r="M102" s="460"/>
      <c r="N102" s="460"/>
      <c r="O102" s="460"/>
      <c r="P102" s="460"/>
      <c r="Q102" s="460"/>
      <c r="R102" s="460"/>
      <c r="AA102" s="593"/>
      <c r="AB102" s="593"/>
      <c r="BZ102" s="596"/>
      <c r="CA102" s="596"/>
    </row>
    <row r="103" spans="2:79" x14ac:dyDescent="0.25">
      <c r="B103" s="473"/>
      <c r="C103" s="473"/>
      <c r="D103" s="473"/>
      <c r="E103" s="473"/>
      <c r="F103" s="473"/>
      <c r="G103" s="473"/>
      <c r="L103" s="473"/>
      <c r="M103" s="473"/>
      <c r="N103" s="473"/>
      <c r="O103" s="473"/>
      <c r="P103" s="473"/>
      <c r="Q103" s="473"/>
      <c r="R103" s="472"/>
      <c r="AA103" s="593"/>
      <c r="AB103" s="593"/>
      <c r="BZ103" s="596"/>
      <c r="CA103" s="596"/>
    </row>
    <row r="104" spans="2:79" x14ac:dyDescent="0.25">
      <c r="AA104" s="593"/>
      <c r="AB104" s="593"/>
      <c r="BZ104" s="596"/>
      <c r="CA104" s="596"/>
    </row>
    <row r="105" spans="2:79" x14ac:dyDescent="0.25">
      <c r="AA105" s="593"/>
      <c r="AB105" s="593"/>
      <c r="BZ105" s="596"/>
      <c r="CA105" s="596"/>
    </row>
    <row r="106" spans="2:79" x14ac:dyDescent="0.25">
      <c r="AA106" s="593"/>
      <c r="AB106" s="593"/>
      <c r="BZ106" s="596"/>
      <c r="CA106" s="596"/>
    </row>
    <row r="107" spans="2:79" x14ac:dyDescent="0.25">
      <c r="AA107" s="593"/>
      <c r="AB107" s="593"/>
      <c r="BZ107" s="596"/>
      <c r="CA107" s="596"/>
    </row>
    <row r="108" spans="2:79" x14ac:dyDescent="0.25">
      <c r="AA108" s="593"/>
      <c r="AB108" s="593"/>
      <c r="BZ108" s="596"/>
      <c r="CA108" s="596"/>
    </row>
    <row r="109" spans="2:79" x14ac:dyDescent="0.25">
      <c r="AA109" s="593"/>
      <c r="AB109" s="593"/>
      <c r="BZ109" s="596"/>
      <c r="CA109" s="596"/>
    </row>
    <row r="110" spans="2:79" x14ac:dyDescent="0.25">
      <c r="AA110" s="593"/>
      <c r="AB110" s="593"/>
      <c r="BZ110" s="596"/>
      <c r="CA110" s="596"/>
    </row>
    <row r="111" spans="2:79" x14ac:dyDescent="0.25">
      <c r="AA111" s="593"/>
      <c r="AB111" s="593"/>
      <c r="BZ111" s="596"/>
      <c r="CA111" s="596"/>
    </row>
    <row r="112" spans="2:79" x14ac:dyDescent="0.25">
      <c r="AA112" s="593"/>
      <c r="AB112" s="593"/>
      <c r="BZ112" s="596"/>
      <c r="CA112" s="596"/>
    </row>
    <row r="113" spans="27:79" x14ac:dyDescent="0.25">
      <c r="AA113" s="593"/>
      <c r="AB113" s="593"/>
      <c r="BZ113" s="596"/>
      <c r="CA113" s="596"/>
    </row>
    <row r="114" spans="27:79" x14ac:dyDescent="0.25">
      <c r="AA114" s="593"/>
      <c r="AB114" s="593"/>
      <c r="BZ114" s="596"/>
      <c r="CA114" s="596"/>
    </row>
    <row r="115" spans="27:79" x14ac:dyDescent="0.25">
      <c r="AA115" s="593"/>
      <c r="AB115" s="593"/>
      <c r="BZ115" s="596"/>
      <c r="CA115" s="596"/>
    </row>
    <row r="116" spans="27:79" x14ac:dyDescent="0.25">
      <c r="AA116" s="593"/>
      <c r="AB116" s="593"/>
      <c r="BZ116" s="596"/>
      <c r="CA116" s="596"/>
    </row>
    <row r="117" spans="27:79" x14ac:dyDescent="0.25">
      <c r="AA117" s="593"/>
      <c r="AB117" s="593"/>
      <c r="BZ117" s="596"/>
      <c r="CA117" s="596"/>
    </row>
    <row r="118" spans="27:79" x14ac:dyDescent="0.25">
      <c r="AA118" s="593"/>
      <c r="AB118" s="593"/>
      <c r="BZ118" s="596"/>
      <c r="CA118" s="596"/>
    </row>
    <row r="119" spans="27:79" x14ac:dyDescent="0.25">
      <c r="AA119" s="593"/>
      <c r="AB119" s="593"/>
      <c r="BZ119" s="596"/>
      <c r="CA119" s="596"/>
    </row>
    <row r="120" spans="27:79" x14ac:dyDescent="0.25">
      <c r="AA120" s="593"/>
      <c r="AB120" s="593"/>
      <c r="BZ120" s="596"/>
      <c r="CA120" s="596"/>
    </row>
    <row r="121" spans="27:79" x14ac:dyDescent="0.25">
      <c r="AA121" s="593"/>
      <c r="AB121" s="593"/>
      <c r="BZ121" s="596"/>
      <c r="CA121" s="596"/>
    </row>
    <row r="122" spans="27:79" x14ac:dyDescent="0.25">
      <c r="AA122" s="593"/>
      <c r="AB122" s="593"/>
      <c r="BZ122" s="596"/>
      <c r="CA122" s="596"/>
    </row>
    <row r="123" spans="27:79" x14ac:dyDescent="0.25">
      <c r="AA123" s="593"/>
      <c r="AB123" s="593"/>
      <c r="BZ123" s="596"/>
      <c r="CA123" s="596"/>
    </row>
    <row r="124" spans="27:79" x14ac:dyDescent="0.25">
      <c r="AA124" s="593"/>
      <c r="AB124" s="593"/>
      <c r="BZ124" s="596"/>
      <c r="CA124" s="596"/>
    </row>
    <row r="125" spans="27:79" x14ac:dyDescent="0.25">
      <c r="AA125" s="593"/>
      <c r="AB125" s="593"/>
      <c r="BZ125" s="596"/>
      <c r="CA125" s="596"/>
    </row>
    <row r="126" spans="27:79" x14ac:dyDescent="0.25">
      <c r="AA126" s="593"/>
      <c r="AB126" s="593"/>
      <c r="BZ126" s="596"/>
      <c r="CA126" s="596"/>
    </row>
    <row r="127" spans="27:79" x14ac:dyDescent="0.25">
      <c r="AA127" s="593"/>
      <c r="AB127" s="593"/>
      <c r="BZ127" s="596"/>
      <c r="CA127" s="596"/>
    </row>
    <row r="128" spans="27:79" x14ac:dyDescent="0.25">
      <c r="AA128" s="593"/>
      <c r="AB128" s="593"/>
      <c r="BZ128" s="596"/>
      <c r="CA128" s="596"/>
    </row>
    <row r="129" spans="27:79" x14ac:dyDescent="0.25">
      <c r="AA129" s="593"/>
      <c r="AB129" s="593"/>
      <c r="BZ129" s="596"/>
      <c r="CA129" s="596"/>
    </row>
    <row r="130" spans="27:79" x14ac:dyDescent="0.25">
      <c r="AA130" s="593"/>
      <c r="AB130" s="593"/>
      <c r="BZ130" s="596"/>
      <c r="CA130" s="596"/>
    </row>
    <row r="131" spans="27:79" x14ac:dyDescent="0.25">
      <c r="AA131" s="593"/>
      <c r="AB131" s="593"/>
      <c r="BZ131" s="596"/>
      <c r="CA131" s="596"/>
    </row>
    <row r="132" spans="27:79" x14ac:dyDescent="0.25">
      <c r="AA132" s="593"/>
      <c r="AB132" s="593"/>
      <c r="BZ132" s="596"/>
      <c r="CA132" s="596"/>
    </row>
    <row r="133" spans="27:79" x14ac:dyDescent="0.25">
      <c r="AA133" s="593"/>
      <c r="AB133" s="593"/>
      <c r="BZ133" s="596"/>
      <c r="CA133" s="596"/>
    </row>
    <row r="134" spans="27:79" x14ac:dyDescent="0.25">
      <c r="AA134" s="593"/>
      <c r="AB134" s="593"/>
      <c r="BZ134" s="596"/>
      <c r="CA134" s="596"/>
    </row>
    <row r="135" spans="27:79" x14ac:dyDescent="0.25">
      <c r="AA135" s="593"/>
      <c r="AB135" s="593"/>
      <c r="BZ135" s="596"/>
      <c r="CA135" s="596"/>
    </row>
    <row r="136" spans="27:79" x14ac:dyDescent="0.25">
      <c r="AA136" s="593"/>
      <c r="AB136" s="593"/>
      <c r="BZ136" s="596"/>
      <c r="CA136" s="596"/>
    </row>
    <row r="137" spans="27:79" x14ac:dyDescent="0.25">
      <c r="AA137" s="593"/>
      <c r="AB137" s="593"/>
      <c r="BZ137" s="596"/>
      <c r="CA137" s="596"/>
    </row>
    <row r="138" spans="27:79" x14ac:dyDescent="0.25">
      <c r="AA138" s="593"/>
      <c r="AB138" s="593"/>
      <c r="BZ138" s="596"/>
      <c r="CA138" s="596"/>
    </row>
    <row r="139" spans="27:79" x14ac:dyDescent="0.25">
      <c r="AA139" s="593"/>
      <c r="AB139" s="593"/>
      <c r="BZ139" s="596"/>
      <c r="CA139" s="596"/>
    </row>
    <row r="140" spans="27:79" x14ac:dyDescent="0.25">
      <c r="AA140" s="593"/>
      <c r="AB140" s="593"/>
      <c r="BZ140" s="596"/>
      <c r="CA140" s="596"/>
    </row>
    <row r="141" spans="27:79" x14ac:dyDescent="0.25">
      <c r="AA141" s="593"/>
      <c r="AB141" s="593"/>
      <c r="BZ141" s="596"/>
      <c r="CA141" s="596"/>
    </row>
    <row r="142" spans="27:79" x14ac:dyDescent="0.25">
      <c r="AA142" s="593"/>
      <c r="AB142" s="593"/>
      <c r="BZ142" s="596"/>
      <c r="CA142" s="596"/>
    </row>
    <row r="143" spans="27:79" x14ac:dyDescent="0.25">
      <c r="AA143" s="593"/>
      <c r="AB143" s="593"/>
      <c r="BZ143" s="596"/>
      <c r="CA143" s="596"/>
    </row>
    <row r="144" spans="27:79" x14ac:dyDescent="0.25">
      <c r="AA144" s="593"/>
      <c r="AB144" s="593"/>
      <c r="BZ144" s="596"/>
      <c r="CA144" s="596"/>
    </row>
    <row r="145" spans="27:79" x14ac:dyDescent="0.25">
      <c r="AA145" s="593"/>
      <c r="AB145" s="593"/>
      <c r="BZ145" s="596"/>
      <c r="CA145" s="596"/>
    </row>
    <row r="146" spans="27:79" x14ac:dyDescent="0.25">
      <c r="AA146" s="593"/>
      <c r="AB146" s="593"/>
      <c r="BZ146" s="596"/>
      <c r="CA146" s="596"/>
    </row>
    <row r="147" spans="27:79" x14ac:dyDescent="0.25">
      <c r="AA147" s="593"/>
      <c r="AB147" s="593"/>
      <c r="BZ147" s="596"/>
      <c r="CA147" s="596"/>
    </row>
    <row r="148" spans="27:79" x14ac:dyDescent="0.25">
      <c r="AA148" s="593"/>
      <c r="AB148" s="593"/>
      <c r="BZ148" s="596"/>
      <c r="CA148" s="596"/>
    </row>
    <row r="149" spans="27:79" x14ac:dyDescent="0.25">
      <c r="AA149" s="593"/>
      <c r="AB149" s="593"/>
      <c r="BZ149" s="596"/>
      <c r="CA149" s="596"/>
    </row>
    <row r="150" spans="27:79" x14ac:dyDescent="0.25">
      <c r="AA150" s="593"/>
      <c r="AB150" s="593"/>
      <c r="BZ150" s="596"/>
      <c r="CA150" s="596"/>
    </row>
    <row r="151" spans="27:79" x14ac:dyDescent="0.25">
      <c r="AA151" s="593"/>
      <c r="AB151" s="593"/>
      <c r="BZ151" s="596"/>
      <c r="CA151" s="596"/>
    </row>
    <row r="152" spans="27:79" x14ac:dyDescent="0.25">
      <c r="AA152" s="593"/>
      <c r="AB152" s="593"/>
      <c r="BZ152" s="596"/>
      <c r="CA152" s="596"/>
    </row>
    <row r="153" spans="27:79" x14ac:dyDescent="0.25">
      <c r="AA153" s="593"/>
      <c r="AB153" s="593"/>
      <c r="BZ153" s="596"/>
      <c r="CA153" s="596"/>
    </row>
    <row r="154" spans="27:79" x14ac:dyDescent="0.25">
      <c r="AA154" s="593"/>
      <c r="AB154" s="593"/>
      <c r="BZ154" s="596"/>
      <c r="CA154" s="596"/>
    </row>
    <row r="155" spans="27:79" x14ac:dyDescent="0.25">
      <c r="BZ155" s="596"/>
      <c r="CA155" s="596"/>
    </row>
  </sheetData>
  <mergeCells count="124">
    <mergeCell ref="AE82:AF82"/>
    <mergeCell ref="AG82:AH82"/>
    <mergeCell ref="AI82:AJ82"/>
    <mergeCell ref="AK82:AL82"/>
    <mergeCell ref="AE71:AF71"/>
    <mergeCell ref="AK68:AL68"/>
    <mergeCell ref="AE69:AF69"/>
    <mergeCell ref="AG69:AH69"/>
    <mergeCell ref="AI69:AJ69"/>
    <mergeCell ref="AK69:AL69"/>
    <mergeCell ref="AG71:AH71"/>
    <mergeCell ref="AI71:AJ71"/>
    <mergeCell ref="AK71:AL71"/>
    <mergeCell ref="AE79:AF79"/>
    <mergeCell ref="AG79:AH79"/>
    <mergeCell ref="AI79:AJ79"/>
    <mergeCell ref="AK79:AL79"/>
    <mergeCell ref="AE80:AF80"/>
    <mergeCell ref="AG80:AH80"/>
    <mergeCell ref="AI80:AJ80"/>
    <mergeCell ref="AK80:AL80"/>
    <mergeCell ref="AK57:AL57"/>
    <mergeCell ref="AE58:AF58"/>
    <mergeCell ref="AG58:AH58"/>
    <mergeCell ref="AI58:AJ58"/>
    <mergeCell ref="AK58:AL58"/>
    <mergeCell ref="AE48:AF48"/>
    <mergeCell ref="AG48:AH48"/>
    <mergeCell ref="AI48:AJ48"/>
    <mergeCell ref="AE68:AF68"/>
    <mergeCell ref="AG68:AH68"/>
    <mergeCell ref="AI68:AJ68"/>
    <mergeCell ref="AE60:AF60"/>
    <mergeCell ref="AG60:AH60"/>
    <mergeCell ref="AI60:AJ60"/>
    <mergeCell ref="AK48:AL48"/>
    <mergeCell ref="AK50:AL50"/>
    <mergeCell ref="AK60:AL60"/>
    <mergeCell ref="B56:C56"/>
    <mergeCell ref="L56:M56"/>
    <mergeCell ref="V56:W56"/>
    <mergeCell ref="AE57:AF57"/>
    <mergeCell ref="AG57:AH57"/>
    <mergeCell ref="AI57:AJ57"/>
    <mergeCell ref="AE46:AF46"/>
    <mergeCell ref="AG46:AH46"/>
    <mergeCell ref="AI46:AJ46"/>
    <mergeCell ref="AE50:AF50"/>
    <mergeCell ref="AG50:AH50"/>
    <mergeCell ref="AI50:AJ50"/>
    <mergeCell ref="AK46:AL46"/>
    <mergeCell ref="AE47:AF47"/>
    <mergeCell ref="AG47:AH47"/>
    <mergeCell ref="AI47:AJ47"/>
    <mergeCell ref="AK47:AL47"/>
    <mergeCell ref="BT24:CA24"/>
    <mergeCell ref="AC30:AD30"/>
    <mergeCell ref="L38:M41"/>
    <mergeCell ref="AC36:AD36"/>
    <mergeCell ref="AK45:AL45"/>
    <mergeCell ref="G42:H42"/>
    <mergeCell ref="Q42:R42"/>
    <mergeCell ref="AC42:AD42"/>
    <mergeCell ref="AE45:AF45"/>
    <mergeCell ref="AG45:AH45"/>
    <mergeCell ref="AI45:AJ45"/>
    <mergeCell ref="BL20:BO20"/>
    <mergeCell ref="A39:B40"/>
    <mergeCell ref="W39:X40"/>
    <mergeCell ref="G26:H26"/>
    <mergeCell ref="Q26:R26"/>
    <mergeCell ref="AC24:AD24"/>
    <mergeCell ref="AV24:BC24"/>
    <mergeCell ref="BD24:BK24"/>
    <mergeCell ref="BL24:BS24"/>
    <mergeCell ref="BP20:BS20"/>
    <mergeCell ref="BT20:BW20"/>
    <mergeCell ref="BX20:CA20"/>
    <mergeCell ref="B23:C23"/>
    <mergeCell ref="L23:M23"/>
    <mergeCell ref="V23:W23"/>
    <mergeCell ref="AS18:AT18"/>
    <mergeCell ref="AV20:AY20"/>
    <mergeCell ref="AZ20:BC20"/>
    <mergeCell ref="BD20:BG20"/>
    <mergeCell ref="BH20:BK20"/>
    <mergeCell ref="BP17:BQ17"/>
    <mergeCell ref="BR17:BS17"/>
    <mergeCell ref="BT17:BU17"/>
    <mergeCell ref="BV17:BW17"/>
    <mergeCell ref="BX17:BY17"/>
    <mergeCell ref="BZ17:CA17"/>
    <mergeCell ref="AE18:AF18"/>
    <mergeCell ref="AG18:AH18"/>
    <mergeCell ref="AI18:AJ18"/>
    <mergeCell ref="AK18:AL18"/>
    <mergeCell ref="AM18:AN18"/>
    <mergeCell ref="AO18:AP18"/>
    <mergeCell ref="AQ18:AR18"/>
    <mergeCell ref="AX17:AY17"/>
    <mergeCell ref="AZ17:BA17"/>
    <mergeCell ref="BB17:BC17"/>
    <mergeCell ref="BD17:BE17"/>
    <mergeCell ref="BF17:BG17"/>
    <mergeCell ref="BH17:BI17"/>
    <mergeCell ref="BJ17:BK17"/>
    <mergeCell ref="BL17:BM17"/>
    <mergeCell ref="BN17:BO17"/>
    <mergeCell ref="B7:C7"/>
    <mergeCell ref="B8:C8"/>
    <mergeCell ref="B9:C9"/>
    <mergeCell ref="B10:C10"/>
    <mergeCell ref="AC17:AT17"/>
    <mergeCell ref="AV17:AW17"/>
    <mergeCell ref="C2:G2"/>
    <mergeCell ref="C3:G3"/>
    <mergeCell ref="E5:H5"/>
    <mergeCell ref="I5:L5"/>
    <mergeCell ref="T5:V5"/>
    <mergeCell ref="B6:C6"/>
    <mergeCell ref="E6:F6"/>
    <mergeCell ref="G6:H6"/>
    <mergeCell ref="I6:J6"/>
    <mergeCell ref="K6:L6"/>
  </mergeCells>
  <conditionalFormatting sqref="AE48:AF48">
    <cfRule type="cellIs" dxfId="395" priority="175" operator="between">
      <formula>1</formula>
      <formula>4</formula>
    </cfRule>
  </conditionalFormatting>
  <conditionalFormatting sqref="AG48:AH48">
    <cfRule type="cellIs" dxfId="394" priority="174" operator="between">
      <formula>1</formula>
      <formula>4</formula>
    </cfRule>
  </conditionalFormatting>
  <conditionalFormatting sqref="AI48:AJ48">
    <cfRule type="cellIs" dxfId="393" priority="173" operator="between">
      <formula>1</formula>
      <formula>4</formula>
    </cfRule>
  </conditionalFormatting>
  <conditionalFormatting sqref="AK48:AL48">
    <cfRule type="cellIs" dxfId="392" priority="172" operator="between">
      <formula>1</formula>
      <formula>4</formula>
    </cfRule>
  </conditionalFormatting>
  <conditionalFormatting sqref="AE75:AF75">
    <cfRule type="expression" dxfId="391" priority="171">
      <formula>$AE$69=3</formula>
    </cfRule>
  </conditionalFormatting>
  <conditionalFormatting sqref="AE76:AF76">
    <cfRule type="expression" dxfId="390" priority="170">
      <formula>$AE$69=4</formula>
    </cfRule>
  </conditionalFormatting>
  <conditionalFormatting sqref="AG74:AH74">
    <cfRule type="expression" dxfId="389" priority="169">
      <formula>$AG$69=2</formula>
    </cfRule>
  </conditionalFormatting>
  <conditionalFormatting sqref="AG73:AH73">
    <cfRule type="expression" dxfId="388" priority="168">
      <formula>$AG$69=1</formula>
    </cfRule>
  </conditionalFormatting>
  <conditionalFormatting sqref="AG75:AH75">
    <cfRule type="expression" dxfId="387" priority="167">
      <formula>$AG$69=3</formula>
    </cfRule>
  </conditionalFormatting>
  <conditionalFormatting sqref="AG76:AH76">
    <cfRule type="expression" dxfId="386" priority="166">
      <formula>$AG$69=4</formula>
    </cfRule>
  </conditionalFormatting>
  <conditionalFormatting sqref="AI74:AJ74">
    <cfRule type="expression" dxfId="385" priority="165">
      <formula>$AI$69=2</formula>
    </cfRule>
  </conditionalFormatting>
  <conditionalFormatting sqref="AI73:AJ73">
    <cfRule type="expression" dxfId="384" priority="164">
      <formula>$AI$69=1</formula>
    </cfRule>
  </conditionalFormatting>
  <conditionalFormatting sqref="AI75:AJ75">
    <cfRule type="expression" dxfId="383" priority="163">
      <formula>$AI$69=3</formula>
    </cfRule>
  </conditionalFormatting>
  <conditionalFormatting sqref="AI76:AJ76">
    <cfRule type="expression" dxfId="382" priority="162">
      <formula>$AI$69=4</formula>
    </cfRule>
  </conditionalFormatting>
  <conditionalFormatting sqref="AK74:AL74">
    <cfRule type="expression" dxfId="381" priority="161">
      <formula>$AK$69=2</formula>
    </cfRule>
  </conditionalFormatting>
  <conditionalFormatting sqref="AK73:AL73">
    <cfRule type="expression" dxfId="380" priority="160">
      <formula>$AK$69=1</formula>
    </cfRule>
  </conditionalFormatting>
  <conditionalFormatting sqref="AK75:AL75">
    <cfRule type="expression" dxfId="379" priority="159">
      <formula>$AK$69=3</formula>
    </cfRule>
  </conditionalFormatting>
  <conditionalFormatting sqref="AK76:AL76">
    <cfRule type="expression" dxfId="378" priority="158">
      <formula>$AK$69=4</formula>
    </cfRule>
  </conditionalFormatting>
  <conditionalFormatting sqref="AE52:AF52">
    <cfRule type="expression" dxfId="377" priority="157">
      <formula>$AE48=1</formula>
    </cfRule>
  </conditionalFormatting>
  <conditionalFormatting sqref="AG52:AH52">
    <cfRule type="expression" dxfId="376" priority="156">
      <formula>$AG48=1</formula>
    </cfRule>
  </conditionalFormatting>
  <conditionalFormatting sqref="AI52:AJ52">
    <cfRule type="expression" dxfId="375" priority="155">
      <formula>$AI48=1</formula>
    </cfRule>
  </conditionalFormatting>
  <conditionalFormatting sqref="AK52:AL52">
    <cfRule type="expression" dxfId="374" priority="154">
      <formula>$AK48=1</formula>
    </cfRule>
  </conditionalFormatting>
  <conditionalFormatting sqref="AE53:AF53">
    <cfRule type="expression" dxfId="373" priority="153">
      <formula>$AE48=2</formula>
    </cfRule>
  </conditionalFormatting>
  <conditionalFormatting sqref="AG53:AH53">
    <cfRule type="expression" dxfId="372" priority="152">
      <formula>$AG48=2</formula>
    </cfRule>
  </conditionalFormatting>
  <conditionalFormatting sqref="AI53:AJ53">
    <cfRule type="expression" dxfId="371" priority="151">
      <formula>$AI48=2</formula>
    </cfRule>
  </conditionalFormatting>
  <conditionalFormatting sqref="AK53:AL53">
    <cfRule type="expression" dxfId="370" priority="150">
      <formula>$AK48=2</formula>
    </cfRule>
  </conditionalFormatting>
  <conditionalFormatting sqref="AE54:AF54">
    <cfRule type="expression" dxfId="369" priority="149">
      <formula>$AE48=3</formula>
    </cfRule>
  </conditionalFormatting>
  <conditionalFormatting sqref="AG54:AH54">
    <cfRule type="expression" dxfId="368" priority="148">
      <formula>$AG48=3</formula>
    </cfRule>
  </conditionalFormatting>
  <conditionalFormatting sqref="AI54:AJ54">
    <cfRule type="expression" dxfId="367" priority="147">
      <formula>$AI48=3</formula>
    </cfRule>
  </conditionalFormatting>
  <conditionalFormatting sqref="AK54:AL54">
    <cfRule type="expression" dxfId="366" priority="146">
      <formula>$AK48=3</formula>
    </cfRule>
  </conditionalFormatting>
  <conditionalFormatting sqref="AE55:AF55">
    <cfRule type="expression" dxfId="365" priority="145">
      <formula>$AE48=4</formula>
    </cfRule>
  </conditionalFormatting>
  <conditionalFormatting sqref="AG55:AH55">
    <cfRule type="expression" dxfId="364" priority="144">
      <formula>$AG48=4</formula>
    </cfRule>
  </conditionalFormatting>
  <conditionalFormatting sqref="AI55:AJ55">
    <cfRule type="expression" dxfId="363" priority="143">
      <formula>$AI48=4</formula>
    </cfRule>
  </conditionalFormatting>
  <conditionalFormatting sqref="AK55:AL55">
    <cfRule type="expression" dxfId="362" priority="142">
      <formula>$AK48=4</formula>
    </cfRule>
  </conditionalFormatting>
  <conditionalFormatting sqref="AE65:AF65">
    <cfRule type="expression" dxfId="361" priority="141">
      <formula>$AE$58=4</formula>
    </cfRule>
  </conditionalFormatting>
  <conditionalFormatting sqref="AG65:AH65">
    <cfRule type="expression" dxfId="360" priority="140">
      <formula>$AG$58=4</formula>
    </cfRule>
  </conditionalFormatting>
  <conditionalFormatting sqref="AI65:AJ65">
    <cfRule type="expression" dxfId="359" priority="139">
      <formula>$AI$58=4</formula>
    </cfRule>
  </conditionalFormatting>
  <conditionalFormatting sqref="AK65:AL65">
    <cfRule type="expression" dxfId="358" priority="138">
      <formula>$AK$58=4</formula>
    </cfRule>
  </conditionalFormatting>
  <conditionalFormatting sqref="AE64:AF64">
    <cfRule type="expression" dxfId="357" priority="137">
      <formula>$AE$58=3</formula>
    </cfRule>
  </conditionalFormatting>
  <conditionalFormatting sqref="AG64:AH64">
    <cfRule type="expression" dxfId="356" priority="136">
      <formula>$AG$58=3</formula>
    </cfRule>
  </conditionalFormatting>
  <conditionalFormatting sqref="AI64:AJ64">
    <cfRule type="expression" dxfId="355" priority="135">
      <formula>$AI$58=3</formula>
    </cfRule>
  </conditionalFormatting>
  <conditionalFormatting sqref="AK64:AL64">
    <cfRule type="expression" dxfId="354" priority="134">
      <formula>$AK$58=3</formula>
    </cfRule>
  </conditionalFormatting>
  <conditionalFormatting sqref="AE63:AF63">
    <cfRule type="expression" dxfId="353" priority="133">
      <formula>$AE$58=2</formula>
    </cfRule>
  </conditionalFormatting>
  <conditionalFormatting sqref="AG63:AH63">
    <cfRule type="expression" dxfId="352" priority="132">
      <formula>$AG$58=2</formula>
    </cfRule>
  </conditionalFormatting>
  <conditionalFormatting sqref="AI63:AJ63">
    <cfRule type="expression" dxfId="351" priority="131">
      <formula>$AI$58=2</formula>
    </cfRule>
  </conditionalFormatting>
  <conditionalFormatting sqref="AK63:AL63">
    <cfRule type="expression" dxfId="350" priority="130">
      <formula>$AK$58=2</formula>
    </cfRule>
  </conditionalFormatting>
  <conditionalFormatting sqref="AE62:AF62">
    <cfRule type="expression" dxfId="349" priority="129">
      <formula>$AE$58=1</formula>
    </cfRule>
  </conditionalFormatting>
  <conditionalFormatting sqref="AG62:AH62">
    <cfRule type="expression" dxfId="348" priority="128">
      <formula>$AG$58=1</formula>
    </cfRule>
  </conditionalFormatting>
  <conditionalFormatting sqref="AI62:AJ62">
    <cfRule type="expression" dxfId="347" priority="127">
      <formula>$AI$58=1</formula>
    </cfRule>
  </conditionalFormatting>
  <conditionalFormatting sqref="AK62:AL62">
    <cfRule type="expression" dxfId="346" priority="126">
      <formula>$AK$58=1</formula>
    </cfRule>
  </conditionalFormatting>
  <conditionalFormatting sqref="AE74:AF74">
    <cfRule type="expression" dxfId="345" priority="125">
      <formula>$AE$69=2</formula>
    </cfRule>
  </conditionalFormatting>
  <conditionalFormatting sqref="AE73:AF73">
    <cfRule type="expression" dxfId="344" priority="124">
      <formula>$AE$69=1</formula>
    </cfRule>
  </conditionalFormatting>
  <conditionalFormatting sqref="AE87:AF87">
    <cfRule type="expression" dxfId="343" priority="123">
      <formula>$AE$80=4</formula>
    </cfRule>
  </conditionalFormatting>
  <conditionalFormatting sqref="AG87:AH87">
    <cfRule type="expression" dxfId="342" priority="122">
      <formula>$AG$80=4</formula>
    </cfRule>
  </conditionalFormatting>
  <conditionalFormatting sqref="AI87:AJ87">
    <cfRule type="expression" dxfId="341" priority="121">
      <formula>$AI$80=4</formula>
    </cfRule>
  </conditionalFormatting>
  <conditionalFormatting sqref="AK87:AL87">
    <cfRule type="expression" dxfId="340" priority="120">
      <formula>$AK$80=4</formula>
    </cfRule>
  </conditionalFormatting>
  <conditionalFormatting sqref="AE86:AF86">
    <cfRule type="expression" dxfId="339" priority="119">
      <formula>$AE$80=3</formula>
    </cfRule>
  </conditionalFormatting>
  <conditionalFormatting sqref="AG86:AH86">
    <cfRule type="expression" dxfId="338" priority="118">
      <formula>$AG$80=3</formula>
    </cfRule>
  </conditionalFormatting>
  <conditionalFormatting sqref="AI86:AJ86">
    <cfRule type="expression" dxfId="337" priority="117">
      <formula>$AI$80=3</formula>
    </cfRule>
  </conditionalFormatting>
  <conditionalFormatting sqref="AK86:AL86">
    <cfRule type="expression" dxfId="336" priority="116">
      <formula>$AK$80=3</formula>
    </cfRule>
  </conditionalFormatting>
  <conditionalFormatting sqref="AE85:AF85">
    <cfRule type="expression" dxfId="335" priority="115">
      <formula>$AE$80=2</formula>
    </cfRule>
  </conditionalFormatting>
  <conditionalFormatting sqref="AG85:AH85">
    <cfRule type="expression" dxfId="334" priority="114">
      <formula>$AG$80=2</formula>
    </cfRule>
  </conditionalFormatting>
  <conditionalFormatting sqref="AI85:AJ85">
    <cfRule type="expression" dxfId="333" priority="113">
      <formula>$AI$80=2</formula>
    </cfRule>
  </conditionalFormatting>
  <conditionalFormatting sqref="AK85:AL85">
    <cfRule type="expression" dxfId="332" priority="112">
      <formula>$AK$80=2</formula>
    </cfRule>
  </conditionalFormatting>
  <conditionalFormatting sqref="AE84:AF84">
    <cfRule type="expression" dxfId="331" priority="111">
      <formula>$AE$80=1</formula>
    </cfRule>
  </conditionalFormatting>
  <conditionalFormatting sqref="AG84:AH84">
    <cfRule type="expression" dxfId="330" priority="110">
      <formula>$AG$80=1</formula>
    </cfRule>
  </conditionalFormatting>
  <conditionalFormatting sqref="AI84:AJ84">
    <cfRule type="expression" dxfId="329" priority="109">
      <formula>$AI$80=1</formula>
    </cfRule>
  </conditionalFormatting>
  <conditionalFormatting sqref="AK84:AL84">
    <cfRule type="expression" dxfId="328" priority="108">
      <formula>$AK$80=1</formula>
    </cfRule>
  </conditionalFormatting>
  <conditionalFormatting sqref="AI58:AJ58">
    <cfRule type="cellIs" dxfId="327" priority="107" operator="between">
      <formula>1</formula>
      <formula>4</formula>
    </cfRule>
  </conditionalFormatting>
  <conditionalFormatting sqref="AE58:AH58">
    <cfRule type="cellIs" dxfId="326" priority="106" operator="between">
      <formula>1</formula>
      <formula>4</formula>
    </cfRule>
  </conditionalFormatting>
  <conditionalFormatting sqref="AK58:AL58">
    <cfRule type="cellIs" dxfId="325" priority="105" operator="between">
      <formula>1</formula>
      <formula>4</formula>
    </cfRule>
  </conditionalFormatting>
  <conditionalFormatting sqref="AI69:AJ69">
    <cfRule type="cellIs" dxfId="324" priority="104" operator="between">
      <formula>1</formula>
      <formula>4</formula>
    </cfRule>
  </conditionalFormatting>
  <conditionalFormatting sqref="AE69:AH69">
    <cfRule type="cellIs" dxfId="323" priority="103" operator="between">
      <formula>1</formula>
      <formula>4</formula>
    </cfRule>
  </conditionalFormatting>
  <conditionalFormatting sqref="AK69:AL69">
    <cfRule type="cellIs" dxfId="322" priority="102" operator="between">
      <formula>1</formula>
      <formula>4</formula>
    </cfRule>
  </conditionalFormatting>
  <conditionalFormatting sqref="AI80:AJ80">
    <cfRule type="cellIs" dxfId="321" priority="101" operator="between">
      <formula>1</formula>
      <formula>4</formula>
    </cfRule>
  </conditionalFormatting>
  <conditionalFormatting sqref="AE80:AH80">
    <cfRule type="cellIs" dxfId="320" priority="100" operator="between">
      <formula>1</formula>
      <formula>4</formula>
    </cfRule>
  </conditionalFormatting>
  <conditionalFormatting sqref="AK80:AL80">
    <cfRule type="cellIs" dxfId="319" priority="99" operator="between">
      <formula>1</formula>
      <formula>4</formula>
    </cfRule>
  </conditionalFormatting>
  <conditionalFormatting sqref="AN65:AO65">
    <cfRule type="expression" dxfId="318" priority="50">
      <formula>$AE$58=4</formula>
    </cfRule>
  </conditionalFormatting>
  <conditionalFormatting sqref="AP65:AQ65">
    <cfRule type="expression" dxfId="317" priority="49">
      <formula>$AG$58=4</formula>
    </cfRule>
  </conditionalFormatting>
  <conditionalFormatting sqref="AR65:AS65">
    <cfRule type="expression" dxfId="316" priority="48">
      <formula>$AI$58=4</formula>
    </cfRule>
  </conditionalFormatting>
  <conditionalFormatting sqref="AT65:AU65">
    <cfRule type="expression" dxfId="315" priority="47">
      <formula>$AK$58=4</formula>
    </cfRule>
  </conditionalFormatting>
  <conditionalFormatting sqref="AN64:AO64">
    <cfRule type="expression" dxfId="314" priority="46">
      <formula>$AE$58=3</formula>
    </cfRule>
  </conditionalFormatting>
  <conditionalFormatting sqref="AP64:AQ64">
    <cfRule type="expression" dxfId="313" priority="45">
      <formula>$AG$58=3</formula>
    </cfRule>
  </conditionalFormatting>
  <conditionalFormatting sqref="AR64:AS64">
    <cfRule type="expression" dxfId="312" priority="44">
      <formula>$AI$58=3</formula>
    </cfRule>
  </conditionalFormatting>
  <conditionalFormatting sqref="AT64:AU64">
    <cfRule type="expression" dxfId="311" priority="43">
      <formula>$AK$58=3</formula>
    </cfRule>
  </conditionalFormatting>
  <conditionalFormatting sqref="AN63:AO63">
    <cfRule type="expression" dxfId="310" priority="42">
      <formula>$AE$58=2</formula>
    </cfRule>
  </conditionalFormatting>
  <conditionalFormatting sqref="AP63:AQ63">
    <cfRule type="expression" dxfId="309" priority="41">
      <formula>$AG$58=2</formula>
    </cfRule>
  </conditionalFormatting>
  <conditionalFormatting sqref="AR63:AS63">
    <cfRule type="expression" dxfId="308" priority="40">
      <formula>$AI$58=2</formula>
    </cfRule>
  </conditionalFormatting>
  <conditionalFormatting sqref="AT63:AU63">
    <cfRule type="expression" dxfId="307" priority="39">
      <formula>$AK$58=2</formula>
    </cfRule>
  </conditionalFormatting>
  <conditionalFormatting sqref="AN62:AO62">
    <cfRule type="expression" dxfId="306" priority="38">
      <formula>$AE$58=1</formula>
    </cfRule>
  </conditionalFormatting>
  <conditionalFormatting sqref="AP62:AQ62">
    <cfRule type="expression" dxfId="305" priority="37">
      <formula>$AG$58=1</formula>
    </cfRule>
  </conditionalFormatting>
  <conditionalFormatting sqref="AR62:AS62">
    <cfRule type="expression" dxfId="304" priority="36">
      <formula>$AI$58=1</formula>
    </cfRule>
  </conditionalFormatting>
  <conditionalFormatting sqref="AT62:AU62">
    <cfRule type="expression" dxfId="303" priority="35">
      <formula>$AK$58=1</formula>
    </cfRule>
  </conditionalFormatting>
  <conditionalFormatting sqref="AN74:AO74">
    <cfRule type="expression" dxfId="302" priority="34">
      <formula>$AE$69=2</formula>
    </cfRule>
  </conditionalFormatting>
  <conditionalFormatting sqref="AN73:AO73">
    <cfRule type="expression" dxfId="301" priority="33">
      <formula>$AE$69=1</formula>
    </cfRule>
  </conditionalFormatting>
  <conditionalFormatting sqref="AN75:AO75">
    <cfRule type="expression" dxfId="300" priority="32">
      <formula>$AE$69=3</formula>
    </cfRule>
  </conditionalFormatting>
  <conditionalFormatting sqref="AN76:AO76">
    <cfRule type="expression" dxfId="299" priority="31">
      <formula>$AE$69=4</formula>
    </cfRule>
  </conditionalFormatting>
  <conditionalFormatting sqref="AP74:AQ74">
    <cfRule type="expression" dxfId="298" priority="30">
      <formula>$AG$69=2</formula>
    </cfRule>
  </conditionalFormatting>
  <conditionalFormatting sqref="AP73:AQ73">
    <cfRule type="expression" dxfId="297" priority="29">
      <formula>$AG$69=1</formula>
    </cfRule>
  </conditionalFormatting>
  <conditionalFormatting sqref="AP75:AQ75">
    <cfRule type="expression" dxfId="296" priority="28">
      <formula>$AG$69=3</formula>
    </cfRule>
  </conditionalFormatting>
  <conditionalFormatting sqref="AP76:AQ76">
    <cfRule type="expression" dxfId="295" priority="27">
      <formula>$AG$69=4</formula>
    </cfRule>
  </conditionalFormatting>
  <conditionalFormatting sqref="AR74:AS74">
    <cfRule type="expression" dxfId="294" priority="26">
      <formula>$AI$69=2</formula>
    </cfRule>
  </conditionalFormatting>
  <conditionalFormatting sqref="AR73:AS73">
    <cfRule type="expression" dxfId="293" priority="25">
      <formula>$AI$69=1</formula>
    </cfRule>
  </conditionalFormatting>
  <conditionalFormatting sqref="AR75:AS75">
    <cfRule type="expression" dxfId="292" priority="24">
      <formula>$AI$69=3</formula>
    </cfRule>
  </conditionalFormatting>
  <conditionalFormatting sqref="AR76:AS76">
    <cfRule type="expression" dxfId="291" priority="23">
      <formula>$AI$69=4</formula>
    </cfRule>
  </conditionalFormatting>
  <conditionalFormatting sqref="AT74:AU74">
    <cfRule type="expression" dxfId="290" priority="22">
      <formula>$AK$69=2</formula>
    </cfRule>
  </conditionalFormatting>
  <conditionalFormatting sqref="AT73:AU73">
    <cfRule type="expression" dxfId="289" priority="21">
      <formula>$AK$69=1</formula>
    </cfRule>
  </conditionalFormatting>
  <conditionalFormatting sqref="AT75:AU75">
    <cfRule type="expression" dxfId="288" priority="20">
      <formula>$AK$69=3</formula>
    </cfRule>
  </conditionalFormatting>
  <conditionalFormatting sqref="AT76:AU76">
    <cfRule type="expression" dxfId="287" priority="19">
      <formula>$AK$69=4</formula>
    </cfRule>
  </conditionalFormatting>
  <conditionalFormatting sqref="AN85:AO85">
    <cfRule type="expression" dxfId="286" priority="18">
      <formula>$AE$80=2</formula>
    </cfRule>
  </conditionalFormatting>
  <conditionalFormatting sqref="AN84:AO84">
    <cfRule type="expression" dxfId="285" priority="17">
      <formula>$AE$80=1</formula>
    </cfRule>
  </conditionalFormatting>
  <conditionalFormatting sqref="AN86:AO86">
    <cfRule type="expression" dxfId="284" priority="16">
      <formula>$AE$80=3</formula>
    </cfRule>
  </conditionalFormatting>
  <conditionalFormatting sqref="AN87:AO87">
    <cfRule type="expression" dxfId="283" priority="15">
      <formula>$AE$80=4</formula>
    </cfRule>
  </conditionalFormatting>
  <conditionalFormatting sqref="AP85:AQ85">
    <cfRule type="expression" dxfId="282" priority="14">
      <formula>$AG$80=2</formula>
    </cfRule>
  </conditionalFormatting>
  <conditionalFormatting sqref="AP84:AQ84">
    <cfRule type="expression" dxfId="281" priority="13">
      <formula>$AG$80=1</formula>
    </cfRule>
  </conditionalFormatting>
  <conditionalFormatting sqref="AP86:AQ86">
    <cfRule type="expression" dxfId="280" priority="12">
      <formula>$AG$80=3</formula>
    </cfRule>
  </conditionalFormatting>
  <conditionalFormatting sqref="AP87:AQ87">
    <cfRule type="expression" dxfId="279" priority="11">
      <formula>$AG$80=4</formula>
    </cfRule>
  </conditionalFormatting>
  <conditionalFormatting sqref="AR85:AS85">
    <cfRule type="expression" dxfId="278" priority="10">
      <formula>$AI$80=2</formula>
    </cfRule>
  </conditionalFormatting>
  <conditionalFormatting sqref="AR84:AS84">
    <cfRule type="expression" dxfId="277" priority="9">
      <formula>$AI$80=1</formula>
    </cfRule>
  </conditionalFormatting>
  <conditionalFormatting sqref="AR86:AS86">
    <cfRule type="expression" dxfId="276" priority="8">
      <formula>$AI$80=3</formula>
    </cfRule>
  </conditionalFormatting>
  <conditionalFormatting sqref="AR87:AS87">
    <cfRule type="expression" dxfId="275" priority="7">
      <formula>$AI$80=4</formula>
    </cfRule>
  </conditionalFormatting>
  <conditionalFormatting sqref="AT85:AU85">
    <cfRule type="expression" dxfId="274" priority="6">
      <formula>$AK$80=2</formula>
    </cfRule>
  </conditionalFormatting>
  <conditionalFormatting sqref="AT84:AU84">
    <cfRule type="expression" dxfId="273" priority="5">
      <formula>$AK$80=1</formula>
    </cfRule>
  </conditionalFormatting>
  <conditionalFormatting sqref="AT86:AU86">
    <cfRule type="expression" dxfId="272" priority="4">
      <formula>$AK$80=3</formula>
    </cfRule>
  </conditionalFormatting>
  <conditionalFormatting sqref="AT87:AU87">
    <cfRule type="expression" dxfId="271" priority="3">
      <formula>$AK$80=4</formula>
    </cfRule>
  </conditionalFormatting>
  <conditionalFormatting sqref="L38:M41">
    <cfRule type="expression" dxfId="270" priority="1">
      <formula>$CD$20&gt;3</formula>
    </cfRule>
    <cfRule type="expression" dxfId="269" priority="2">
      <formula>$CD$20&lt;0.1</formula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D155"/>
  <sheetViews>
    <sheetView topLeftCell="A22" zoomScaleNormal="100" workbookViewId="0">
      <selection activeCell="M63" sqref="M63"/>
    </sheetView>
  </sheetViews>
  <sheetFormatPr defaultColWidth="9.140625" defaultRowHeight="15" x14ac:dyDescent="0.25"/>
  <cols>
    <col min="1" max="1" width="8.28515625" style="569" customWidth="1"/>
    <col min="2" max="2" width="8.5703125" style="569" customWidth="1"/>
    <col min="3" max="3" width="4.7109375" style="569" customWidth="1"/>
    <col min="4" max="4" width="8.5703125" style="569" customWidth="1"/>
    <col min="5" max="6" width="7.7109375" style="569" customWidth="1"/>
    <col min="7" max="7" width="9.7109375" style="569" customWidth="1"/>
    <col min="8" max="14" width="7.7109375" style="569" customWidth="1"/>
    <col min="15" max="15" width="8.5703125" style="569" customWidth="1"/>
    <col min="16" max="16" width="6.140625" style="569" customWidth="1"/>
    <col min="17" max="17" width="9.7109375" style="569" customWidth="1"/>
    <col min="18" max="18" width="7.7109375" style="569" customWidth="1"/>
    <col min="19" max="19" width="8.5703125" style="569" customWidth="1"/>
    <col min="20" max="20" width="6.7109375" style="569" customWidth="1"/>
    <col min="21" max="21" width="7.7109375" style="569" customWidth="1"/>
    <col min="22" max="22" width="4.7109375" style="569" customWidth="1"/>
    <col min="23" max="23" width="8.5703125" style="569" customWidth="1"/>
    <col min="24" max="24" width="6.7109375" style="569" customWidth="1"/>
    <col min="25" max="25" width="3.5703125" style="593" customWidth="1"/>
    <col min="26" max="26" width="9.7109375" style="593" customWidth="1"/>
    <col min="27" max="28" width="9.140625" style="596" customWidth="1"/>
    <col min="29" max="46" width="7.7109375" style="596" customWidth="1"/>
    <col min="47" max="47" width="12.85546875" style="596" customWidth="1"/>
    <col min="48" max="48" width="9.28515625" style="596" customWidth="1"/>
    <col min="49" max="77" width="9.140625" style="596" customWidth="1"/>
    <col min="78" max="79" width="9.140625" style="569" customWidth="1"/>
    <col min="80" max="16384" width="9.140625" style="569"/>
  </cols>
  <sheetData>
    <row r="1" spans="1:81" ht="8.25" customHeight="1" x14ac:dyDescent="0.25"/>
    <row r="2" spans="1:81" x14ac:dyDescent="0.25">
      <c r="B2" s="345" t="s">
        <v>321</v>
      </c>
      <c r="C2" s="778">
        <f>'SHL Section'!$C$2:$G$2</f>
        <v>0</v>
      </c>
      <c r="D2" s="735"/>
      <c r="E2" s="735"/>
      <c r="F2" s="735"/>
      <c r="G2" s="735"/>
      <c r="AA2" s="593"/>
      <c r="AB2" s="593"/>
      <c r="BZ2" s="596"/>
      <c r="CA2" s="596"/>
    </row>
    <row r="3" spans="1:81" x14ac:dyDescent="0.25">
      <c r="B3" s="345" t="s">
        <v>322</v>
      </c>
      <c r="C3" s="779">
        <f>'SHL Section'!$C$3:$G$3</f>
        <v>0</v>
      </c>
      <c r="D3" s="735"/>
      <c r="E3" s="735"/>
      <c r="F3" s="735"/>
      <c r="G3" s="735"/>
      <c r="BZ3" s="596"/>
      <c r="CA3" s="596"/>
    </row>
    <row r="4" spans="1:81" ht="7.5" customHeight="1" thickBot="1" x14ac:dyDescent="0.3">
      <c r="S4" s="593"/>
      <c r="T4" s="596"/>
      <c r="U4" s="596"/>
      <c r="V4" s="596"/>
      <c r="BZ4" s="596"/>
      <c r="CA4" s="596"/>
    </row>
    <row r="5" spans="1:81" ht="26.25" customHeight="1" x14ac:dyDescent="0.25">
      <c r="B5" s="414"/>
      <c r="C5" s="411"/>
      <c r="D5" s="413" t="s">
        <v>328</v>
      </c>
      <c r="E5" s="745" t="s">
        <v>329</v>
      </c>
      <c r="F5" s="741"/>
      <c r="G5" s="741"/>
      <c r="H5" s="746"/>
      <c r="I5" s="745" t="s">
        <v>330</v>
      </c>
      <c r="J5" s="741"/>
      <c r="K5" s="741"/>
      <c r="L5" s="746"/>
      <c r="M5" s="583"/>
      <c r="N5" s="583"/>
      <c r="O5" s="583"/>
      <c r="P5" s="583"/>
      <c r="Q5" s="583"/>
      <c r="R5" s="583"/>
      <c r="S5" s="410"/>
      <c r="T5" s="780" t="s">
        <v>498</v>
      </c>
      <c r="U5" s="741"/>
      <c r="V5" s="742"/>
      <c r="BZ5" s="596"/>
      <c r="CA5" s="596"/>
    </row>
    <row r="6" spans="1:81" ht="15" customHeight="1" x14ac:dyDescent="0.25">
      <c r="B6" s="738"/>
      <c r="C6" s="722"/>
      <c r="D6" s="409" t="s">
        <v>335</v>
      </c>
      <c r="E6" s="743" t="s">
        <v>336</v>
      </c>
      <c r="F6" s="682"/>
      <c r="G6" s="744" t="s">
        <v>337</v>
      </c>
      <c r="H6" s="683"/>
      <c r="I6" s="743" t="s">
        <v>338</v>
      </c>
      <c r="J6" s="682"/>
      <c r="K6" s="744" t="s">
        <v>339</v>
      </c>
      <c r="L6" s="683"/>
      <c r="M6" s="448" t="s">
        <v>340</v>
      </c>
      <c r="N6" s="448" t="s">
        <v>171</v>
      </c>
      <c r="O6" s="448" t="s">
        <v>341</v>
      </c>
      <c r="P6" s="448" t="s">
        <v>342</v>
      </c>
      <c r="Q6" s="448" t="s">
        <v>343</v>
      </c>
      <c r="R6" s="448" t="s">
        <v>344</v>
      </c>
      <c r="S6" s="448" t="s">
        <v>233</v>
      </c>
      <c r="T6" s="409" t="s">
        <v>345</v>
      </c>
      <c r="U6" s="448" t="s">
        <v>346</v>
      </c>
      <c r="V6" s="408" t="s">
        <v>347</v>
      </c>
      <c r="BZ6" s="596"/>
      <c r="CA6" s="596"/>
    </row>
    <row r="7" spans="1:81" x14ac:dyDescent="0.25">
      <c r="B7" s="736" t="s">
        <v>256</v>
      </c>
      <c r="C7" s="737"/>
      <c r="D7" s="442">
        <v>0</v>
      </c>
      <c r="E7" s="442"/>
      <c r="F7" s="439"/>
      <c r="G7" s="441"/>
      <c r="H7" s="439"/>
      <c r="I7" s="442">
        <f>'SHL Section'!$I$7</f>
        <v>0</v>
      </c>
      <c r="J7" s="439" t="str">
        <f>IF('SHL Section'!$J$7=1,"FNL","FSL")</f>
        <v>FSL</v>
      </c>
      <c r="K7" s="441">
        <f>'SHL Section'!$K$7</f>
        <v>0</v>
      </c>
      <c r="L7" s="440" t="str">
        <f>IF('SHL Section'!$L$7=1,"FEL","FWL")</f>
        <v>FWL</v>
      </c>
      <c r="M7" s="403" t="str">
        <f>'SHL Section'!$M$7</f>
        <v/>
      </c>
      <c r="N7" s="403">
        <f>'SHL Section'!$N$7</f>
        <v>0</v>
      </c>
      <c r="O7" s="439">
        <f>'SHL Section'!$O$7</f>
        <v>0</v>
      </c>
      <c r="P7" s="439" t="str">
        <f>IF('SHL Section'!$P$7=1,"N","S")</f>
        <v>S</v>
      </c>
      <c r="Q7" s="439">
        <f>'SHL Section'!$Q$7</f>
        <v>0</v>
      </c>
      <c r="R7" s="439" t="str">
        <f>IF('SHL Section'!$R$7=1,"E","W")</f>
        <v>W</v>
      </c>
      <c r="S7" s="439" t="str">
        <f>IF('SHL Section'!$S$7=1,"Salt Lake","Uintah")</f>
        <v>Uintah</v>
      </c>
      <c r="T7" s="438">
        <f>'SHL Section'!$T$7</f>
        <v>558548.96699999995</v>
      </c>
      <c r="U7" s="437">
        <f>'SHL Section'!$U$7</f>
        <v>4451004.9469999997</v>
      </c>
      <c r="V7" s="436">
        <f>'SHL Section'!$V$7</f>
        <v>12</v>
      </c>
      <c r="AD7" s="593"/>
      <c r="BZ7" s="596"/>
      <c r="CA7" s="596"/>
    </row>
    <row r="8" spans="1:81" x14ac:dyDescent="0.25">
      <c r="B8" s="674" t="s">
        <v>141</v>
      </c>
      <c r="C8" s="675"/>
      <c r="D8" s="435">
        <f>'SHL Section'!$D$8</f>
        <v>0</v>
      </c>
      <c r="E8" s="435" t="e">
        <f>'SHL Section'!$AI$8</f>
        <v>#N/A</v>
      </c>
      <c r="F8" s="387" t="e">
        <f>IF('SHL Section'!$AJ$8=1,"N","S")</f>
        <v>#N/A</v>
      </c>
      <c r="G8" s="434" t="e">
        <f>'SHL Section'!$AK$8</f>
        <v>#N/A</v>
      </c>
      <c r="H8" s="387" t="e">
        <f>IF('SHL Section'!$AL$8=1,"E","W")</f>
        <v>#N/A</v>
      </c>
      <c r="I8" s="435" t="str">
        <f>IF(ISNUMBER($AE$66),$AE$66,IF(ISNUMBER($AG$66),$AG$66,IF(ISNUMBER($AI$66),$AI$66,IF(ISNUMBER($AK$66),$AK$66,""))))</f>
        <v/>
      </c>
      <c r="J8" s="387" t="str">
        <f>IF(ISNUMBER($AE$66),$AE$61,IF(ISNUMBER($AG$66),$AG$61,IF(ISNUMBER($AI$66),$AI$61,IF(ISNUMBER($AK$66),$AK$61,""))))</f>
        <v/>
      </c>
      <c r="K8" s="434" t="str">
        <f>IF(ISNUMBER($AF$66),$AF$66,IF(ISNUMBER($AH$66),$AH$66,IF(ISNUMBER($AJ$66),$AJ$66,IF(ISNUMBER($AL$66),$AL$66,""))))</f>
        <v/>
      </c>
      <c r="L8" s="388" t="str">
        <f>IF(ISNUMBER($AF$66),$AF$61,IF(ISNUMBER($AH$66),$AH$61,IF(ISNUMBER($AJ$66),$AJ$61,IF(ISNUMBER($AL$66),$AL$61,""))))</f>
        <v/>
      </c>
      <c r="M8" s="387" t="str">
        <f>IF(OR(ISNUMBER($AE$58),ISNUMBER($AG$58),ISNUMBER($AI$58),ISNUMBER($AK$58)),VLOOKUP(MAX($AE$58:$AL$58),$AV$56:$AZ$59,1+IF(ISNUMBER($AE$58),$AE$46,IF(ISNUMBER($AG$58),$AG$46,IF(ISNUMBER($AI$58),$AI$46,IF(ISNUMBER($AK$58),$AK$46,"")))),FALSE),"")</f>
        <v/>
      </c>
      <c r="N8" s="387" t="e">
        <f>'SHL Section'!$N$8</f>
        <v>#VALUE!</v>
      </c>
      <c r="O8" s="387">
        <f>'SHL Section'!$O$8</f>
        <v>0</v>
      </c>
      <c r="P8" s="387" t="str">
        <f>'SHL Section'!$P$8</f>
        <v>S</v>
      </c>
      <c r="Q8" s="387">
        <f>'SHL Section'!$Q$8</f>
        <v>0</v>
      </c>
      <c r="R8" s="387" t="str">
        <f>'SHL Section'!$R$8</f>
        <v>W</v>
      </c>
      <c r="S8" s="387" t="str">
        <f>IF('SHL Section'!$S$8=1,"Salt Lake","Uintah")</f>
        <v>Uintah</v>
      </c>
      <c r="T8" s="385" t="e">
        <f>IF($H8=1,$T$7+$G8/3.28084,$T$7-$G8/3.28084)</f>
        <v>#N/A</v>
      </c>
      <c r="U8" s="434" t="e">
        <f>IF($F8=1,$U$7+$E8/3.28084,$U$7-$E8/3.28084)</f>
        <v>#N/A</v>
      </c>
      <c r="V8" s="433">
        <f>$V$7</f>
        <v>12</v>
      </c>
      <c r="AD8" s="593"/>
      <c r="BZ8" s="596"/>
      <c r="CA8" s="596"/>
    </row>
    <row r="9" spans="1:81" x14ac:dyDescent="0.25">
      <c r="B9" s="674" t="s">
        <v>144</v>
      </c>
      <c r="C9" s="675"/>
      <c r="D9" s="435">
        <f>'SHL Section'!$D$9</f>
        <v>0</v>
      </c>
      <c r="E9" s="435" t="e">
        <f>'SHL Section'!$AI$9</f>
        <v>#N/A</v>
      </c>
      <c r="F9" s="387" t="e">
        <f>IF('SHL Section'!$AJ$9=1,"N","S")</f>
        <v>#N/A</v>
      </c>
      <c r="G9" s="434" t="e">
        <f>'SHL Section'!$AK$9</f>
        <v>#N/A</v>
      </c>
      <c r="H9" s="387" t="e">
        <f>IF('SHL Section'!$AL$9=1,"E","W")</f>
        <v>#N/A</v>
      </c>
      <c r="I9" s="435" t="str">
        <f>IF(ISNUMBER($AE$77),$AE$77,IF(ISNUMBER($AG$77),$AG$77,IF(ISNUMBER($AI$77),$AI$77,IF(ISNUMBER($AK$77),$AK$77,""))))</f>
        <v/>
      </c>
      <c r="J9" s="387" t="str">
        <f>IF(ISNUMBER($AE$77),$AE$72,IF(ISNUMBER($AG$77),$AG$72,IF(ISNUMBER($AI$77),$AI$72,IF(ISNUMBER($AK$77),$AK$72,""))))</f>
        <v/>
      </c>
      <c r="K9" s="434" t="str">
        <f>IF(ISNUMBER($AF$77),$AF$77,IF(ISNUMBER($AH$77),$AH$77,IF(ISNUMBER($AJ$77),$AJ$77,IF(ISNUMBER($AL$77),$AL$77,""))))</f>
        <v/>
      </c>
      <c r="L9" s="388" t="str">
        <f>IF(ISNUMBER($AF$77),$AF$72,IF(ISNUMBER($AH$77),$AH$72,IF(ISNUMBER($AJ$77),$AJ$72,IF(ISNUMBER($AL$77),$AL$72,""))))</f>
        <v/>
      </c>
      <c r="M9" s="387" t="str">
        <f>IF(OR(ISNUMBER($AE$69),ISNUMBER($AG$69),ISNUMBER($AI$69),ISNUMBER($AK$69)),VLOOKUP(MAX($AE$69:$AL$69),$AV$56:$AZ$59,1+IF(ISNUMBER($AE$69),$AE$46,IF(ISNUMBER($AG$69),$AG$46,IF(ISNUMBER($AI$69),$AI$46,IF(ISNUMBER($AK$69),$AK$46,"")))),FALSE),"")</f>
        <v/>
      </c>
      <c r="N9" s="387" t="e">
        <f>'SHL Section'!$N$9</f>
        <v>#VALUE!</v>
      </c>
      <c r="O9" s="387">
        <f>'SHL Section'!$O$9</f>
        <v>0</v>
      </c>
      <c r="P9" s="387" t="str">
        <f>'SHL Section'!$P$9</f>
        <v>S</v>
      </c>
      <c r="Q9" s="387">
        <f>'SHL Section'!$Q$9</f>
        <v>0</v>
      </c>
      <c r="R9" s="387" t="str">
        <f>'SHL Section'!$R$9</f>
        <v>W</v>
      </c>
      <c r="S9" s="387" t="str">
        <f>IF('SHL Section'!$S$9=1,"Salt Lake","Uintah")</f>
        <v>Uintah</v>
      </c>
      <c r="T9" s="385" t="e">
        <f>IF($H9=1,$T$7+$G9/3.28084,$T$7-$G9/3.28084)</f>
        <v>#N/A</v>
      </c>
      <c r="U9" s="434" t="e">
        <f>IF($F9=1,$U$7+$E9/3.28084,$U$7-$E9/3.28084)</f>
        <v>#N/A</v>
      </c>
      <c r="V9" s="433">
        <f>$V$7</f>
        <v>12</v>
      </c>
      <c r="AD9" s="593"/>
      <c r="BZ9" s="596"/>
      <c r="CA9" s="596"/>
    </row>
    <row r="10" spans="1:81" ht="15.75" customHeight="1" thickBot="1" x14ac:dyDescent="0.3">
      <c r="B10" s="676" t="s">
        <v>149</v>
      </c>
      <c r="C10" s="677"/>
      <c r="D10" s="432">
        <f>'SHL Section'!$D$10</f>
        <v>0</v>
      </c>
      <c r="E10" s="432" t="e">
        <f>'SHL Section'!$AI$10</f>
        <v>#N/A</v>
      </c>
      <c r="F10" s="379" t="e">
        <f>IF('SHL Section'!$AJ$10=1,"N","S")</f>
        <v>#N/A</v>
      </c>
      <c r="G10" s="431" t="e">
        <f>'SHL Section'!$AK$10</f>
        <v>#N/A</v>
      </c>
      <c r="H10" s="379" t="e">
        <f>IF('SHL Section'!$AL$10=1,"E","W")</f>
        <v>#N/A</v>
      </c>
      <c r="I10" s="432" t="str">
        <f>IF(ISNUMBER($AE$88),$AE$88,IF(ISNUMBER($AG$88),$AG$88,IF(ISNUMBER($AI$88),$AI$88,IF(ISNUMBER($AK$88),$AK$88,""))))</f>
        <v/>
      </c>
      <c r="J10" s="379" t="str">
        <f>IF(ISNUMBER($AE$88),$AE$83,IF(ISNUMBER($AG$88),$AG$83,IF(ISNUMBER($AI$88),$AI$83,IF(ISNUMBER($AK$88),$AK$83,""))))</f>
        <v/>
      </c>
      <c r="K10" s="431" t="str">
        <f>IF(ISNUMBER($AF$88),$AF$88,IF(ISNUMBER($AH$88),$AH$88,IF(ISNUMBER($AJ$88),$AJ$88,IF(ISNUMBER($AL$88),$AL$88,""))))</f>
        <v/>
      </c>
      <c r="L10" s="380" t="str">
        <f>IF(ISNUMBER($AF$88),$AF$83,IF(ISNUMBER($AH$88),$AH$83,IF(ISNUMBER($AJ$88),$AJ$83,IF(ISNUMBER($AL$88),$AL$83,""))))</f>
        <v/>
      </c>
      <c r="M10" s="379" t="str">
        <f>IF(OR(ISNUMBER($AE$80),ISNUMBER($AG$80),ISNUMBER($AI$80),ISNUMBER($AK$80)),VLOOKUP(MAX($AE$80:$AL$80),$AV$56:$AZ$59,1+IF(ISNUMBER($AE$80),$AE$46,IF(ISNUMBER($AG$80),$AG$46,IF(ISNUMBER($AI$80),$AI$46,IF(ISNUMBER($AK$80),$AK$46,"")))),FALSE),"")</f>
        <v/>
      </c>
      <c r="N10" s="379" t="e">
        <f>'SHL Section'!$N$10</f>
        <v>#VALUE!</v>
      </c>
      <c r="O10" s="379">
        <f>'SHL Section'!$O$10</f>
        <v>0</v>
      </c>
      <c r="P10" s="379" t="str">
        <f>'SHL Section'!$P$10</f>
        <v>S</v>
      </c>
      <c r="Q10" s="379">
        <f>'SHL Section'!$Q$10</f>
        <v>0</v>
      </c>
      <c r="R10" s="379" t="str">
        <f>'SHL Section'!$R$10</f>
        <v>W</v>
      </c>
      <c r="S10" s="379" t="str">
        <f>IF('SHL Section'!$S$10=1,"Salt Lake","Uintah")</f>
        <v>Uintah</v>
      </c>
      <c r="T10" s="377" t="e">
        <f>IF($H10=1,$T$7+$G10/3.28084,$T$7-$G10/3.28084)</f>
        <v>#N/A</v>
      </c>
      <c r="U10" s="431" t="e">
        <f>IF($F10=1,$U$7+$E10/3.28084,$U$7-$E10/3.28084)</f>
        <v>#N/A</v>
      </c>
      <c r="V10" s="430">
        <f>$V$7</f>
        <v>12</v>
      </c>
      <c r="AD10" s="593"/>
      <c r="BZ10" s="596"/>
      <c r="CA10" s="596"/>
    </row>
    <row r="11" spans="1:81" ht="15.75" customHeight="1" thickBot="1" x14ac:dyDescent="0.3">
      <c r="G11" s="373"/>
      <c r="H11" s="358"/>
      <c r="I11" s="358"/>
      <c r="J11" s="358"/>
      <c r="K11" s="358"/>
      <c r="L11" s="358"/>
      <c r="M11" s="551" t="s">
        <v>349</v>
      </c>
      <c r="N11" s="552" t="e">
        <f>L38</f>
        <v>#VALUE!</v>
      </c>
      <c r="O11" s="552">
        <f>O10</f>
        <v>0</v>
      </c>
      <c r="P11" s="552" t="str">
        <f>P10</f>
        <v>S</v>
      </c>
      <c r="Q11" s="552">
        <f>Q10</f>
        <v>0</v>
      </c>
      <c r="R11" s="552" t="str">
        <f>R10</f>
        <v>W</v>
      </c>
      <c r="S11" s="552" t="str">
        <f>S10</f>
        <v>Uintah</v>
      </c>
      <c r="T11" s="358"/>
      <c r="U11" s="358"/>
      <c r="V11" s="358"/>
      <c r="W11" s="358"/>
      <c r="BZ11" s="596"/>
      <c r="CA11" s="596"/>
      <c r="CB11" s="596"/>
      <c r="CC11" s="596"/>
    </row>
    <row r="12" spans="1:81" x14ac:dyDescent="0.25">
      <c r="B12" s="372" t="s">
        <v>350</v>
      </c>
      <c r="C12" s="371"/>
      <c r="D12" s="371"/>
      <c r="E12" s="371"/>
      <c r="F12" s="371"/>
      <c r="G12" s="371"/>
      <c r="H12" s="371"/>
      <c r="I12" s="371"/>
      <c r="J12" s="371"/>
      <c r="K12" s="371"/>
      <c r="L12" s="358"/>
      <c r="M12" s="358"/>
      <c r="N12" s="358"/>
      <c r="O12" s="358"/>
      <c r="P12" s="358"/>
      <c r="Q12" s="358"/>
      <c r="R12" s="358"/>
      <c r="S12" s="358"/>
      <c r="T12" s="358"/>
      <c r="U12" s="358"/>
      <c r="AA12" s="358"/>
      <c r="AB12" s="358"/>
      <c r="AC12" s="358"/>
      <c r="AM12" s="358"/>
      <c r="BZ12" s="596"/>
      <c r="CA12" s="596"/>
    </row>
    <row r="13" spans="1:81" x14ac:dyDescent="0.25">
      <c r="B13" s="367" t="s">
        <v>356</v>
      </c>
      <c r="C13" s="366"/>
      <c r="D13" s="366"/>
      <c r="E13" s="366"/>
      <c r="F13" s="366"/>
      <c r="G13" s="366"/>
      <c r="H13" s="366"/>
      <c r="I13" s="366"/>
      <c r="J13" s="366"/>
      <c r="K13" s="366"/>
      <c r="L13" s="358"/>
      <c r="M13" s="358"/>
      <c r="N13" s="358"/>
      <c r="O13" s="358"/>
      <c r="P13" s="358"/>
      <c r="Q13" s="358"/>
      <c r="R13" s="358"/>
      <c r="S13" s="358"/>
      <c r="T13" s="358"/>
      <c r="U13" s="358"/>
      <c r="V13" s="358"/>
      <c r="W13" s="358"/>
      <c r="X13" s="358"/>
      <c r="Y13" s="358"/>
      <c r="Z13" s="358"/>
      <c r="AA13" s="358"/>
      <c r="AB13" s="358"/>
      <c r="AC13" s="358"/>
      <c r="AM13" s="358"/>
      <c r="BZ13" s="596"/>
      <c r="CA13" s="596"/>
    </row>
    <row r="14" spans="1:81" s="339" customFormat="1" x14ac:dyDescent="0.25">
      <c r="N14" s="358"/>
      <c r="O14" s="358"/>
      <c r="P14" s="358"/>
      <c r="Q14" s="358"/>
      <c r="R14" s="358"/>
      <c r="S14" s="358"/>
      <c r="T14" s="358"/>
      <c r="U14" s="358"/>
      <c r="V14" s="358"/>
      <c r="W14" s="358"/>
      <c r="X14" s="358"/>
      <c r="Y14" s="358"/>
      <c r="Z14" s="358"/>
      <c r="AA14" s="593"/>
      <c r="AB14" s="593"/>
      <c r="AC14" s="596"/>
      <c r="AD14" s="596"/>
      <c r="AE14" s="596"/>
      <c r="AF14" s="596"/>
      <c r="AG14" s="596"/>
      <c r="AH14" s="596"/>
      <c r="AI14" s="596"/>
      <c r="AJ14" s="596"/>
      <c r="AK14" s="596"/>
      <c r="AL14" s="596"/>
      <c r="AM14" s="596"/>
      <c r="AN14" s="596"/>
      <c r="AO14" s="596"/>
      <c r="AP14" s="596"/>
      <c r="AQ14" s="596"/>
      <c r="AR14" s="596"/>
      <c r="AS14" s="596"/>
      <c r="AT14" s="596"/>
      <c r="AU14" s="596"/>
      <c r="AV14" s="596"/>
      <c r="AW14" s="596"/>
      <c r="AX14" s="596"/>
      <c r="AY14" s="596"/>
      <c r="AZ14" s="596"/>
      <c r="BA14" s="596"/>
      <c r="BB14" s="596"/>
      <c r="BC14" s="596"/>
      <c r="BD14" s="596"/>
      <c r="BE14" s="596"/>
      <c r="BF14" s="596"/>
      <c r="BG14" s="596"/>
      <c r="BH14" s="596"/>
      <c r="BI14" s="596"/>
      <c r="BJ14" s="596"/>
      <c r="BK14" s="596"/>
      <c r="BL14" s="596"/>
      <c r="BM14" s="596"/>
      <c r="BN14" s="596"/>
      <c r="BO14" s="596"/>
      <c r="BP14" s="596"/>
      <c r="BQ14" s="596"/>
      <c r="BR14" s="596"/>
      <c r="BS14" s="596"/>
      <c r="BT14" s="596"/>
      <c r="BU14" s="596"/>
      <c r="BV14" s="596"/>
      <c r="BW14" s="596"/>
      <c r="BX14" s="596"/>
      <c r="BY14" s="596"/>
      <c r="BZ14" s="596"/>
      <c r="CA14" s="596"/>
    </row>
    <row r="15" spans="1:81" s="339" customFormat="1" x14ac:dyDescent="0.25">
      <c r="N15" s="358"/>
      <c r="O15" s="358"/>
      <c r="P15" s="358"/>
      <c r="Q15" s="358"/>
      <c r="R15" s="358"/>
      <c r="S15" s="358"/>
      <c r="T15" s="358"/>
      <c r="U15" s="358"/>
      <c r="V15" s="358"/>
      <c r="W15" s="358"/>
      <c r="X15" s="358"/>
      <c r="Y15" s="358"/>
      <c r="Z15" s="358"/>
      <c r="AA15" s="593"/>
      <c r="AB15" s="593"/>
      <c r="AC15" s="340"/>
      <c r="AD15" s="596"/>
      <c r="AE15" s="596"/>
      <c r="AF15" s="596"/>
      <c r="AG15" s="596"/>
      <c r="AH15" s="596"/>
      <c r="AI15" s="596"/>
      <c r="AJ15" s="596"/>
      <c r="AK15" s="596"/>
      <c r="AL15" s="596"/>
      <c r="AM15" s="340"/>
      <c r="AN15" s="340"/>
      <c r="AO15" s="340"/>
      <c r="AP15" s="340"/>
      <c r="AQ15" s="340"/>
      <c r="AR15" s="340"/>
      <c r="AS15" s="340"/>
      <c r="AT15" s="340"/>
      <c r="AU15" s="340"/>
      <c r="AV15" s="340"/>
      <c r="AW15" s="340"/>
      <c r="AX15" s="340"/>
      <c r="AY15" s="340"/>
      <c r="AZ15" s="340"/>
      <c r="BA15" s="340"/>
      <c r="BB15" s="340"/>
      <c r="BC15" s="340"/>
      <c r="BD15" s="340"/>
      <c r="BE15" s="340"/>
      <c r="BF15" s="340"/>
      <c r="BG15" s="340"/>
      <c r="BH15" s="340"/>
      <c r="BI15" s="340"/>
      <c r="BJ15" s="340"/>
      <c r="BK15" s="340"/>
      <c r="BL15" s="340"/>
      <c r="BM15" s="340"/>
      <c r="BN15" s="340"/>
      <c r="BO15" s="340"/>
      <c r="BP15" s="340"/>
      <c r="BQ15" s="340"/>
      <c r="BR15" s="340"/>
      <c r="BS15" s="340"/>
      <c r="BT15" s="340"/>
      <c r="BU15" s="340"/>
      <c r="BV15" s="340"/>
      <c r="BW15" s="340"/>
      <c r="BX15" s="340"/>
      <c r="BY15" s="340"/>
      <c r="BZ15" s="340"/>
      <c r="CA15" s="340"/>
    </row>
    <row r="16" spans="1:81" x14ac:dyDescent="0.25">
      <c r="A16" s="339"/>
      <c r="B16" s="339"/>
      <c r="C16" s="339"/>
      <c r="D16" s="339"/>
      <c r="E16" s="339"/>
      <c r="F16" s="339"/>
      <c r="G16" s="339"/>
      <c r="H16" s="339"/>
      <c r="I16" s="339"/>
      <c r="J16" s="339"/>
      <c r="K16" s="339"/>
      <c r="L16" s="358"/>
      <c r="M16" s="358"/>
      <c r="AA16" s="593"/>
      <c r="AB16" s="593"/>
      <c r="AC16" s="340"/>
      <c r="AM16" s="593"/>
      <c r="AN16" s="340"/>
      <c r="AO16" s="340"/>
      <c r="AP16" s="340"/>
      <c r="AQ16" s="340"/>
      <c r="AR16" s="340"/>
      <c r="AS16" s="340"/>
      <c r="AT16" s="340"/>
      <c r="AU16" s="340"/>
      <c r="AV16" s="340"/>
      <c r="AW16" s="340"/>
      <c r="AX16" s="340"/>
      <c r="AY16" s="340"/>
      <c r="AZ16" s="340"/>
      <c r="BA16" s="340"/>
      <c r="BB16" s="340"/>
      <c r="BC16" s="340"/>
      <c r="BD16" s="340"/>
      <c r="BE16" s="340"/>
      <c r="BF16" s="340"/>
      <c r="BG16" s="340"/>
      <c r="BH16" s="340"/>
      <c r="BI16" s="340"/>
      <c r="BJ16" s="340"/>
      <c r="BK16" s="340"/>
      <c r="BL16" s="340"/>
      <c r="BM16" s="340"/>
      <c r="BN16" s="340"/>
      <c r="BO16" s="340"/>
      <c r="BP16" s="340"/>
      <c r="BQ16" s="340"/>
      <c r="BR16" s="340"/>
      <c r="BS16" s="340"/>
      <c r="BT16" s="340"/>
      <c r="BU16" s="340"/>
      <c r="BV16" s="340"/>
      <c r="BW16" s="340"/>
      <c r="BX16" s="340"/>
      <c r="BY16" s="340"/>
      <c r="BZ16" s="340"/>
      <c r="CA16" s="340"/>
      <c r="CB16" s="339"/>
    </row>
    <row r="17" spans="1:82" ht="12" customHeight="1" thickBot="1" x14ac:dyDescent="0.3">
      <c r="B17" s="573"/>
      <c r="E17" s="417" t="e">
        <f>E18</f>
        <v>#VALUE!</v>
      </c>
      <c r="F17" s="446"/>
      <c r="G17" s="446"/>
      <c r="H17" s="446"/>
      <c r="I17" s="446"/>
      <c r="J17" s="446"/>
      <c r="K17" s="417" t="e">
        <f>K18</f>
        <v>#VALUE!</v>
      </c>
      <c r="L17" s="446"/>
      <c r="M17" s="446"/>
      <c r="N17" s="446"/>
      <c r="O17" s="417" t="e">
        <f>O18</f>
        <v>#VALUE!</v>
      </c>
      <c r="P17" s="446"/>
      <c r="Q17" s="446"/>
      <c r="R17" s="446"/>
      <c r="S17" s="446"/>
      <c r="T17" s="446"/>
      <c r="U17" s="417" t="e">
        <f>U18</f>
        <v>#VALUE!</v>
      </c>
      <c r="AA17" s="593"/>
      <c r="AB17" s="593"/>
      <c r="AC17" s="767" t="s">
        <v>367</v>
      </c>
      <c r="AD17" s="735"/>
      <c r="AE17" s="735"/>
      <c r="AF17" s="735"/>
      <c r="AG17" s="735"/>
      <c r="AH17" s="735"/>
      <c r="AI17" s="735"/>
      <c r="AJ17" s="735"/>
      <c r="AK17" s="735"/>
      <c r="AL17" s="735"/>
      <c r="AM17" s="735"/>
      <c r="AN17" s="735"/>
      <c r="AO17" s="735"/>
      <c r="AP17" s="735"/>
      <c r="AQ17" s="735"/>
      <c r="AR17" s="735"/>
      <c r="AS17" s="735"/>
      <c r="AT17" s="735"/>
      <c r="AU17" s="333" t="s">
        <v>368</v>
      </c>
      <c r="AV17" s="761" t="s">
        <v>369</v>
      </c>
      <c r="AW17" s="757"/>
      <c r="AX17" s="761" t="s">
        <v>370</v>
      </c>
      <c r="AY17" s="757"/>
      <c r="AZ17" s="761" t="s">
        <v>371</v>
      </c>
      <c r="BA17" s="757"/>
      <c r="BB17" s="761" t="s">
        <v>372</v>
      </c>
      <c r="BC17" s="757"/>
      <c r="BD17" s="761" t="s">
        <v>373</v>
      </c>
      <c r="BE17" s="757"/>
      <c r="BF17" s="761" t="s">
        <v>374</v>
      </c>
      <c r="BG17" s="757"/>
      <c r="BH17" s="761" t="s">
        <v>375</v>
      </c>
      <c r="BI17" s="757"/>
      <c r="BJ17" s="761" t="s">
        <v>376</v>
      </c>
      <c r="BK17" s="757"/>
      <c r="BL17" s="761" t="s">
        <v>377</v>
      </c>
      <c r="BM17" s="757"/>
      <c r="BN17" s="761" t="s">
        <v>378</v>
      </c>
      <c r="BO17" s="757"/>
      <c r="BP17" s="761" t="s">
        <v>379</v>
      </c>
      <c r="BQ17" s="757"/>
      <c r="BR17" s="761" t="s">
        <v>380</v>
      </c>
      <c r="BS17" s="757"/>
      <c r="BT17" s="761" t="s">
        <v>381</v>
      </c>
      <c r="BU17" s="757"/>
      <c r="BV17" s="761" t="s">
        <v>382</v>
      </c>
      <c r="BW17" s="757"/>
      <c r="BX17" s="761" t="s">
        <v>383</v>
      </c>
      <c r="BY17" s="757"/>
      <c r="BZ17" s="761" t="s">
        <v>384</v>
      </c>
      <c r="CA17" s="757"/>
    </row>
    <row r="18" spans="1:82" ht="12" customHeight="1" x14ac:dyDescent="0.25">
      <c r="B18" s="345"/>
      <c r="C18" s="344"/>
      <c r="D18" s="426" t="s">
        <v>385</v>
      </c>
      <c r="E18" s="300" t="e">
        <f>IF(NOT(ISBLANK(F18)),F18,DGET('Grid Numbers'!$A$2:$L$4952,'Grid Numbers'!$H$2,L66:R67))</f>
        <v>#VALUE!</v>
      </c>
      <c r="F18" s="486"/>
      <c r="G18" s="344"/>
      <c r="H18" s="344"/>
      <c r="I18" s="344"/>
      <c r="J18" s="426" t="s">
        <v>385</v>
      </c>
      <c r="K18" s="301" t="e">
        <f>IF(NOT(ISBLANK(L18)),L18,DGET('Grid Numbers'!$A$2:$L$4952,'Grid Numbers'!$H$2,$L$68:$R$69))</f>
        <v>#VALUE!</v>
      </c>
      <c r="L18" s="488"/>
      <c r="N18" s="426" t="s">
        <v>385</v>
      </c>
      <c r="O18" s="299" t="e">
        <f>IF(NOT(ISBLANK(P18)),P18,DGET('Grid Numbers'!$A$2:$L$4952,'Grid Numbers'!$H$2,$L$70:$R$71))</f>
        <v>#VALUE!</v>
      </c>
      <c r="P18" s="487"/>
      <c r="T18" s="426" t="s">
        <v>385</v>
      </c>
      <c r="U18" s="299" t="e">
        <f>IF(NOT(ISBLANK(V18)),V18,DGET('Grid Numbers'!$A$2:$L$4952,'Grid Numbers'!$H$2,$L$72:$R$73))</f>
        <v>#VALUE!</v>
      </c>
      <c r="V18" s="487"/>
      <c r="AA18" s="593"/>
      <c r="AB18" s="593"/>
      <c r="AC18" s="298"/>
      <c r="AD18" s="340"/>
      <c r="AE18" s="761" t="s">
        <v>386</v>
      </c>
      <c r="AF18" s="757"/>
      <c r="AG18" s="761" t="s">
        <v>387</v>
      </c>
      <c r="AH18" s="757"/>
      <c r="AI18" s="761" t="s">
        <v>388</v>
      </c>
      <c r="AJ18" s="757"/>
      <c r="AK18" s="761" t="s">
        <v>389</v>
      </c>
      <c r="AL18" s="757"/>
      <c r="AM18" s="761" t="s">
        <v>390</v>
      </c>
      <c r="AN18" s="757"/>
      <c r="AO18" s="761" t="s">
        <v>391</v>
      </c>
      <c r="AP18" s="757"/>
      <c r="AQ18" s="761" t="s">
        <v>392</v>
      </c>
      <c r="AR18" s="757"/>
      <c r="AS18" s="761" t="s">
        <v>393</v>
      </c>
      <c r="AT18" s="757"/>
      <c r="AU18" s="333" t="s">
        <v>394</v>
      </c>
      <c r="AV18" s="464" t="s">
        <v>336</v>
      </c>
      <c r="AW18" s="465" t="s">
        <v>337</v>
      </c>
      <c r="AX18" s="464" t="s">
        <v>336</v>
      </c>
      <c r="AY18" s="465" t="s">
        <v>337</v>
      </c>
      <c r="AZ18" s="464" t="s">
        <v>336</v>
      </c>
      <c r="BA18" s="465" t="s">
        <v>337</v>
      </c>
      <c r="BB18" s="464" t="s">
        <v>336</v>
      </c>
      <c r="BC18" s="465" t="s">
        <v>337</v>
      </c>
      <c r="BD18" s="464" t="s">
        <v>336</v>
      </c>
      <c r="BE18" s="465" t="s">
        <v>337</v>
      </c>
      <c r="BF18" s="464" t="s">
        <v>336</v>
      </c>
      <c r="BG18" s="465" t="s">
        <v>337</v>
      </c>
      <c r="BH18" s="464" t="s">
        <v>336</v>
      </c>
      <c r="BI18" s="465" t="s">
        <v>337</v>
      </c>
      <c r="BJ18" s="464" t="s">
        <v>336</v>
      </c>
      <c r="BK18" s="465" t="s">
        <v>337</v>
      </c>
      <c r="BL18" s="464" t="s">
        <v>336</v>
      </c>
      <c r="BM18" s="465" t="s">
        <v>337</v>
      </c>
      <c r="BN18" s="464" t="s">
        <v>336</v>
      </c>
      <c r="BO18" s="465" t="s">
        <v>337</v>
      </c>
      <c r="BP18" s="464" t="s">
        <v>336</v>
      </c>
      <c r="BQ18" s="465" t="s">
        <v>337</v>
      </c>
      <c r="BR18" s="464" t="s">
        <v>336</v>
      </c>
      <c r="BS18" s="465" t="s">
        <v>337</v>
      </c>
      <c r="BT18" s="464" t="s">
        <v>336</v>
      </c>
      <c r="BU18" s="465" t="s">
        <v>337</v>
      </c>
      <c r="BV18" s="464" t="s">
        <v>336</v>
      </c>
      <c r="BW18" s="465" t="s">
        <v>337</v>
      </c>
      <c r="BX18" s="464" t="s">
        <v>336</v>
      </c>
      <c r="BY18" s="465" t="s">
        <v>337</v>
      </c>
      <c r="BZ18" s="464" t="s">
        <v>336</v>
      </c>
      <c r="CA18" s="465" t="s">
        <v>337</v>
      </c>
    </row>
    <row r="19" spans="1:82" ht="12" customHeight="1" x14ac:dyDescent="0.25">
      <c r="B19" s="345"/>
      <c r="C19" s="344"/>
      <c r="D19" s="426" t="s">
        <v>395</v>
      </c>
      <c r="E19" s="293" t="e">
        <f>IF(NOT(ISBLANK(F19)),F19,DGET('Grid Numbers'!$A$2:$L$4952,'Grid Numbers'!$I$2,L66:R67))</f>
        <v>#VALUE!</v>
      </c>
      <c r="F19" s="486"/>
      <c r="G19" s="344"/>
      <c r="H19" s="344"/>
      <c r="I19" s="344"/>
      <c r="J19" s="426" t="s">
        <v>395</v>
      </c>
      <c r="K19" s="294" t="e">
        <f>IF(NOT(ISBLANK(L19)),L19,DGET('Grid Numbers'!$A$2:$L$4952,'Grid Numbers'!$I$2,$L$68:$R$69))</f>
        <v>#VALUE!</v>
      </c>
      <c r="L19" s="487"/>
      <c r="N19" s="426" t="s">
        <v>395</v>
      </c>
      <c r="O19" s="293" t="e">
        <f>IF(NOT(ISBLANK(P19)),P19,DGET('Grid Numbers'!$A$2:$L$4952,'Grid Numbers'!$I$2,$L$70:$R$71))</f>
        <v>#VALUE!</v>
      </c>
      <c r="P19" s="487"/>
      <c r="T19" s="426" t="s">
        <v>395</v>
      </c>
      <c r="U19" s="293" t="e">
        <f>IF(NOT(ISBLANK(V19)),V19,DGET('Grid Numbers'!$A$2:$L$4952,'Grid Numbers'!$I$2,$L$72:$R$73))</f>
        <v>#VALUE!</v>
      </c>
      <c r="V19" s="487"/>
      <c r="AA19" s="593"/>
      <c r="AB19" s="593"/>
      <c r="AC19" s="466" t="s">
        <v>396</v>
      </c>
      <c r="AD19" s="467"/>
      <c r="AE19" s="588" t="s">
        <v>336</v>
      </c>
      <c r="AF19" s="588" t="s">
        <v>337</v>
      </c>
      <c r="AG19" s="588" t="s">
        <v>336</v>
      </c>
      <c r="AH19" s="588" t="s">
        <v>337</v>
      </c>
      <c r="AI19" s="588" t="s">
        <v>336</v>
      </c>
      <c r="AJ19" s="588" t="s">
        <v>337</v>
      </c>
      <c r="AK19" s="588" t="s">
        <v>336</v>
      </c>
      <c r="AL19" s="588" t="s">
        <v>337</v>
      </c>
      <c r="AM19" s="588" t="s">
        <v>336</v>
      </c>
      <c r="AN19" s="588" t="s">
        <v>337</v>
      </c>
      <c r="AO19" s="588" t="s">
        <v>336</v>
      </c>
      <c r="AP19" s="588" t="s">
        <v>337</v>
      </c>
      <c r="AQ19" s="588" t="s">
        <v>336</v>
      </c>
      <c r="AR19" s="588" t="s">
        <v>337</v>
      </c>
      <c r="AS19" s="588" t="s">
        <v>336</v>
      </c>
      <c r="AT19" s="588" t="s">
        <v>337</v>
      </c>
      <c r="AU19" s="333"/>
      <c r="AV19" s="647" t="e">
        <f>IF(AND($U$17&gt;0,$O$17&gt;0),$U$17*SIN(RADIANS(90-$U$23)),IF(AND($U$17=0,$O$17&gt;0),$O$17/2*SIN(RADIANS(90-$O$23)),IF(AND($U$17&gt;0,$O$17=0),$U$17/2*SIN(RADIANS(90-$U$23)),IF(AND($U$17=0,$O$17=0,$K$17=0),$E$17/4*SIN(RADIANS(90-$E$23)),$K$17/4*SIN(RADIANS(90-$K$23))))))</f>
        <v>#VALUE!</v>
      </c>
      <c r="AW19" s="648" t="e">
        <f>IF(AND($U$17&gt;0,$O$17&gt;0),$U$17*COS(RADIANS(90-$U$23)),IF(AND($U$17=0,$O$17&gt;0),$O$17/2*COS(RADIANS(90-$O$23)),IF(AND($U$17&gt;0,$O$17=0),$U$17/2*COS(RADIANS(90-$U$23)),IF(AND($U$17=0,$O$17=0,$K$17=0),$E$17/4*COS(RADIANS(90-$E$23)),$K$17/4*COS(RADIANS(90-$K$23))))))</f>
        <v>#VALUE!</v>
      </c>
      <c r="AX19" s="647" t="e">
        <f>IF(AND($U$17&gt;0,$O$17&gt;0),$O$17*SIN(RADIANS(90-$O$23)),IF(AND($U$17=0,$O$17&gt;0),$O$17/2*SIN(RADIANS(90-$O$23)),IF(AND($U$17&gt;0,$O$17=0),$U$17/2*SIN(RADIANS(90-$U$23)),IF(AND($U$17=0,$O$17=0,$K$17=0),$E$17/4*SIN(RADIANS(90-$E$23)),$K$17/4*SIN(RADIANS(90-$K$23))))))</f>
        <v>#VALUE!</v>
      </c>
      <c r="AY19" s="648" t="e">
        <f>IF(AND($U$17&gt;0,$O$17&gt;0),$O$17*COS(RADIANS(90-$O$23)),IF(AND($U$17=0,$O$17&gt;0),$O$17/2*COS(RADIANS(90-$O$23)),IF(AND($U$17&gt;0,$O$17=0),$U$17/2*COS(RADIANS(90-$U$23)),IF(AND($U$17=0,$O$17=0,$K$17=0),$E$17/4*COS(RADIANS(90-$E$23)),$K$17/4*COS(RADIANS(90-$K$23))))))</f>
        <v>#VALUE!</v>
      </c>
      <c r="AZ19" s="647" t="e">
        <f>IF(AND($K$17&gt;0,$E$17&gt;0,OR($O$17&gt;0,$U$17&gt;0)),$K$17*SIN(RADIANS(90-$K$23)),IF(AND($K$17=0,$E$17&gt;0,OR($O$17&gt;0,$U$17&gt;0)),$E$17/2*SIN(RADIANS(90-$E$23)),IF(AND($K$17&gt;0,$E$17=0,OR($O$17&gt;0,$U$17&gt;0)),$K$17/2*SIN(RADIANS(90-$K$23)),IF(AND($K$17&gt;0,$O$17=0,$U$17=0),$K$17/4*SIN(RADIANS(90-$K$23)),$E$17/4*SIN(RADIANS(90-$E$23))))))</f>
        <v>#VALUE!</v>
      </c>
      <c r="BA19" s="648" t="e">
        <f>IF(AND($K$17&gt;0,$E$17&gt;0,OR($O$17&gt;0,$U$17&gt;0)),$K$17*COS(RADIANS(90-$K$23)),IF(AND($K$17=0,$E$17&gt;0,OR($O$17&gt;0,$U$17&gt;0)),$E$17/2*COS(RADIANS(90-$E$23)),IF(AND($K$17&gt;0,$E$17=0,OR($O$17&gt;0,$U$17&gt;0)),$K$17/2*COS(RADIANS(90-$K$23)),IF(AND($K$17&gt;0,$O$17=0,$U$17=0),$K$17/4*COS(RADIANS(90-$K$23)),$E$17/4*COS(RADIANS(90-$E$23))))))</f>
        <v>#VALUE!</v>
      </c>
      <c r="BB19" s="647" t="e">
        <f>IF(AND($K$17&gt;0,$E$17&gt;0,OR($O$17&gt;0,$U$17&gt;0)),$E$17*SIN(RADIANS(90-$E$23)),IF(AND($K$17=0,$E$17&gt;0,OR($O$17&gt;0,$U$17&gt;0)),$E$17/2*SIN(RADIANS(90-$E$23)),IF(AND($K$17&gt;0,$E$17=0,OR($O$17&gt;0,$U$17&gt;0)),$K$17/2*SIN(RADIANS(90-$K$23)),IF(AND($K$17&gt;0,$O$17=0,$U$17=0),$K$17/4*SIN(RADIANS(90-$K$23)),$E$17/4*SIN(RADIANS(90-$E$23))))))</f>
        <v>#VALUE!</v>
      </c>
      <c r="BC19" s="636" t="e">
        <f>IF(AND($K$17&gt;0,$E$17&gt;0,OR($O$17&gt;0,$U$17&gt;0)),$E$17*COS(RADIANS(90-$E$23)),IF(AND($K$17=0,$E$17&gt;0,OR($O$17&gt;0,$U$17&gt;0)),$E$17/2*COS(RADIANS(90-$E$23)),IF(AND($K$17&gt;0,$E$17=0,OR($O$17&gt;0,$U$17&gt;0)),$K$17/2*COS(RADIANS(90-$K$23)),IF(AND($K$17&gt;0,$O$17=0,$U$17=0),$K$17/4*COS(RADIANS(90-$K$23)),$E$17/4*COS(RADIANS(90-$E$23))))))</f>
        <v>#VALUE!</v>
      </c>
      <c r="BD19" s="647" t="e">
        <f>IF(AND($B$32&gt;0,$B$24&gt;0,OR($B$41&gt;0,$B$49&gt;0)),$B$24*COS(RADIANS(180-$B$30)),IF(AND($B$32=0,$B$24&gt;0,OR($B$41&gt;0,$B$49&gt;0)),$B$24/2*COS(RADIANS(180-$B$30)),IF(AND($B$32&gt;0,$B$24=0,OR($B$41&gt;0,$B$49&gt;0)),$B$32/2*COS(RADIANS(180-$B$38)),IF(AND($B$32&gt;0,$B$41=0,$B$49=0),$B$32/4*COS(RADIANS(180-$B$38)),$B$24/4*COS(RADIANS(180-$B$30))))))</f>
        <v>#VALUE!</v>
      </c>
      <c r="BE19" s="648" t="e">
        <f>IF(AND($B$32&gt;0,$B$24&gt;0,OR($B$41&gt;0,$B$49&gt;0)),$B$24*-SIN(RADIANS(180-$B$30)),IF(AND($B$32&gt;0,$B$24&gt;0,OR($B$41&gt;0,$B$49&gt;0)),$B$32*-SIN(RADIANS(180-$B$38)),IF(AND($B$32&gt;0,$B$24=0,OR($B$41&gt;0,$B$49&gt;0)),$B$32/2*-SIN(RADIANS(180-$B$38)),IF(AND($B$32&gt;0,$B$41=0,$B$49=0),$B$32/4*-SIN(RADIANS(180-$B$38)),$B$24/4*-SIN(RADIANS(180-$B$30))))))</f>
        <v>#VALUE!</v>
      </c>
      <c r="BF19" s="647" t="e">
        <f>IF(AND($B$32&gt;0,$B$24&gt;0,OR($B$41&gt;0,$B$49&gt;0)),$B$32*COS(RADIANS(180-$B$38)),IF(AND($B$32=0,$B$24&gt;0,OR($B$41&gt;0,$B$49&gt;0)),$B$24/2*COS(RADIANS(180-$B$30)),IF(AND($B$32&gt;0,$B$24=0,OR($B$41&gt;0,$B$49&gt;0)),$B$32/2*COS(RADIANS(180-$B$38)),IF(AND($B$32&gt;0,$B$41=0,$B$49=0),$B$32/4*COS(RADIANS(180-$B$38)),$B$24/4*COS(RADIANS(180-$B$30))))))</f>
        <v>#VALUE!</v>
      </c>
      <c r="BG19" s="648" t="e">
        <f>IF(AND($B$32&gt;0,$B$24&gt;0,OR($B$41&gt;0,$B$49&gt;0)),$B$32*-SIN(RADIANS(180-$B$38)),IF(AND($B$32&gt;0,$B$24&gt;0,OR($B$41&gt;0,$B$49&gt;0)),$B$32*-SIN(RADIANS(180-$B$38)),IF(AND($B$32&gt;0,$B$24=0,OR($B$41&gt;0,$B$49&gt;0)),$B$32/2*-SIN(RADIANS(180-$B$38)),IF(AND($B$32&gt;0,$B$41=0,$B$49=0),$B$32/4*-SIN(RADIANS(180-$B$38)),$B$24/4*-SIN(RADIANS(180-$B$30))))))</f>
        <v>#VALUE!</v>
      </c>
      <c r="BH19" s="647" t="e">
        <f>IF(AND($B$49&gt;0,$B$41&gt;0),$B$41*COS(RADIANS(180-$B$47)),IF(AND($B$49=0,$B$41&gt;0),$B$41/2*COS(RADIANS(180-$B$47)),IF(AND($B$49&gt;0,$B$41=0),$B$49/2*COS(RADIANS(180-$B$55)),IF(AND($B$49=0,$B$41=0,$B$32=0),$B$24/4*COS(RADIANS(180-$B$30)),$B$32/4*COS(RADIANS(180-$B$38))))))</f>
        <v>#VALUE!</v>
      </c>
      <c r="BI19" s="648" t="e">
        <f>IF(AND($B$49&gt;0,$B$41&gt;0),$B$41*-SIN(RADIANS(180-$B$47)),IF(AND($B$49=0,$B$41&gt;0),$B$41/2*-SIN(RADIANS(180-$B$47)),IF(AND($B$49&gt;0,$B$41=0),$B$49/2*-SIN(RADIANS(180-$B$55)),IF(AND($B$49=0,$B$41=0,$B$32=0),$B$24/4*-SIN(RADIANS(180-$B$30)),$B$32/4*-SIN(RADIANS(180-$B$38))))))</f>
        <v>#VALUE!</v>
      </c>
      <c r="BJ19" s="647" t="e">
        <f>IF(AND($B$49&gt;0,$B$41&gt;0),$B$49*COS(RADIANS(180-$B$55)),IF(AND($B$49=0,$B$41&gt;0),$B$41/2*COS(RADIANS(180-$B$47)),IF(AND($B$49&gt;0,$B$41=0),$B$49/2*COS(RADIANS(180-$B$55)),IF(AND($B$49=0,$B$41=0,$B$32=0),$B$24/4*COS(RADIANS(180-$B$30)),$B$32/4*COS(RADIANS(180-$B$38))))))</f>
        <v>#VALUE!</v>
      </c>
      <c r="BK19" s="648" t="e">
        <f>IF(AND($B$49&gt;0,$B$41&gt;0),$B$49*-SIN(RADIANS(180-$B$55)),IF(AND($B$49=0,$B$41&gt;0),$B$41/2*-SIN(RADIANS(180-$B$47)),IF(AND($B$49&gt;0,$B$41=0),$B$49/2*-SIN(RADIANS(180-$B$55)),IF(AND($B$49=0,$B$41=0,$B$32=0),$B$24/4*-SIN(RADIANS(180-$B$30)),$B$32/4*-SIN(RADIANS(180-$B$38))))))</f>
        <v>#VALUE!</v>
      </c>
      <c r="BL19" s="647" t="e">
        <f>IF(AND($K$63&gt;0,$E$63&gt;0,OR($O$63&gt;0,$U$63&gt;0)),$E$63*SIN(RADIANS(90-$E$62)),IF(AND($K$63=0,$E$63&gt;0,OR($O$63&gt;0,$U$63&gt;0)),$E$63/2*SIN(RADIANS(90-$E$62)),IF(AND($K$63&gt;0,$E$63=0,OR($O$63&gt;0,$U$63&gt;0)),$K$63/2*SIN(RADIANS(90-$K$62)),IF(AND($K$63&gt;0,$O$63=0,$U$63=0),$K$63/4*SIN(RADIANS(90-$K$62)),$E$63/4*SIN(RADIANS(90-$E$62))))))</f>
        <v>#VALUE!</v>
      </c>
      <c r="BM19" s="636" t="e">
        <f>IF(AND($K$63&gt;0,$E$63&gt;0,OR($O$63&gt;0,$U$63&gt;0)),$E$63*COS(RADIANS(90-$E$62)),IF(AND($K$63=0,$E$63&gt;0,OR($O$63&gt;0,$U$63&gt;0)),$E$63/2*COS(RADIANS(90-$E$62)),IF(AND($K$63&gt;0,$E$63=0,OR($O$63&gt;0,$U$63&gt;0)),$K$63/2*COS(RADIANS(90-$K$62)),IF(AND($K$63&gt;0,$O$63=0,$U$63=0),$K$63/4*COS(RADIANS(90-$K$62)),$E$63/4*COS(RADIANS(90-$E$62))))))</f>
        <v>#VALUE!</v>
      </c>
      <c r="BN19" s="647" t="e">
        <f>IF(AND($K$63&gt;0,$E$63&gt;0,OR($O$63&gt;0,$U$63&gt;0)),$K$63*SIN(RADIANS(90-$K$62)),IF(AND($K$63=0,$E$63&gt;0,OR($O$63&gt;0,$U$63&gt;0)),$E$63/2*SIN(RADIANS(90-$E$62)),IF(AND($K$63&gt;0,$E$63=0,OR($O$63&gt;0,$U$63&gt;0)),$K$63/2*SIN(RADIANS(90-$K$62)),IF(AND($K$63&gt;0,$O$63=0,$U$63=0),$K$63/4*SIN(RADIANS(90-$K$62)),$E$63/4*SIN(RADIANS(90-$E$62))))))</f>
        <v>#VALUE!</v>
      </c>
      <c r="BO19" s="648" t="e">
        <f>IF(AND($K$63&gt;0,$E$63&gt;0,OR($O$63&gt;0,$U$63&gt;0)),$K$63*COS(RADIANS(90-$K$62)),IF(AND($K$63=0,$E$63&gt;0,OR($O$63&gt;0,$U$63&gt;0)),$E$63/2*COS(RADIANS(90-$E$62)),IF(AND($K$63&gt;0,$E$63=0,OR($O$63&gt;0,$U$63&gt;0)),$K$63/2*COS(RADIANS(90-$K$62)),IF(AND($K$63&gt;0,$O$63=0,$U$63=0),$K$63/4*COS(RADIANS(90-$K$62)),$E$63/4*COS(RADIANS(90-$E$62))))))</f>
        <v>#VALUE!</v>
      </c>
      <c r="BP19" s="647" t="e">
        <f>IF(AND($U$63&gt;0,$O$63&gt;0),$O$63*SIN(RADIANS(90-$O$62)),IF(AND($U$63=0,$O$63&gt;0),$O$63/2*SIN(RADIANS(90-$O$62)),IF(AND($U$63&gt;0,$O$63=0),$U$63/2*SIN(RADIANS(90-$U$62)),IF(AND($U$63=0,$O$63=0,$K$63=0),$E$63/4*SIN(RADIANS(90-$E$62)),$K$63/4*SIN(RADIANS(90-$K$62))))))</f>
        <v>#VALUE!</v>
      </c>
      <c r="BQ19" s="648" t="e">
        <f>IF(AND($U$63&gt;0,$O$63&gt;0),$O$63*COS(RADIANS(90-$O$62)),IF(AND($U$63=0,$O$63&gt;0),$O$63/2*COS(RADIANS(90-$O$62)),IF(AND($U$63&gt;0,$O$63=0),$U$63/2*COS(RADIANS(90-$U$62)),IF(AND($U$63=0,$O$63=0,$K$63=0),$E$63/4*COS(RADIANS(90-$E$62)),$K$63/4*COS(RADIANS(90-$K$62))))))</f>
        <v>#VALUE!</v>
      </c>
      <c r="BR19" s="647" t="e">
        <f>IF(AND($U$63&gt;0,$O$63&gt;0),$U$63*SIN(RADIANS(90-$U$62)),IF(AND($U$63=0,$O$63&gt;0),$O$63/2*SIN(RADIANS(90-$O$62)),IF(AND($U$63&gt;0,$O$63=0),$U$63/2*SIN(RADIANS(90-$U$62)),IF(AND($U$63=0,$O$63=0,$K$63=0),$E$63/4*SIN(RADIANS(90-$E$62)),$K$63/4*SIN(RADIANS(90-$K$62))))))</f>
        <v>#VALUE!</v>
      </c>
      <c r="BS19" s="648" t="e">
        <f>IF(AND($U$63&gt;0,$O$63&gt;0),$U$63*COS(RADIANS(90-$U$62)),IF(AND($U$63=0,$O$63&gt;0),$O$63/2*COS(RADIANS(90-$O$62)),IF(AND($U$63&gt;0,$O$63=0),$U$63/2*COS(RADIANS(90-$U$62)),IF(AND($U$63=0,$O$63=0,$K$63=0),$E$63/4*COS(RADIANS(90-$E$62)),$K$63/4*COS(RADIANS(90-$K$62))))))</f>
        <v>#VALUE!</v>
      </c>
      <c r="BT19" s="647" t="e">
        <f>IF(AND($W$49&gt;0,$W$41&gt;0),$W$49*COS(RADIANS(180-$W$55)),IF(AND($W$49=0,$W$41&gt;0),$W$41/2*COS(RADIANS(180-$W$47)),IF(AND($W$49&gt;0,$W$41=0),$W$49/2*COS(RADIANS(180-$W$55)),IF(AND($W$49=0,$W$41=0,$W$32=0),$W$24/4*COS(RADIANS(180-$W$30)),$W$32/4*COS(RADIANS(180-$W$38))))))</f>
        <v>#VALUE!</v>
      </c>
      <c r="BU19" s="648" t="e">
        <f>IF(AND($W$49&gt;0,$W$41&gt;0),$W$49*-SIN(RADIANS(180-$W$55)),IF(AND($W$49=0,$W$41&gt;0),$W$41/2*-SIN(RADIANS(180-$W$47)),IF(AND($W$49&gt;0,$W$41=0),$W$49/2*-SIN(RADIANS(180-$W$55)),IF(AND($W$49=0,$W$41=0,$W$32=0),$W$24/4*-SIN(RADIANS(180-$W$30)),$W$32/4*-SIN(RADIANS(180-$W$38))))))</f>
        <v>#VALUE!</v>
      </c>
      <c r="BV19" s="647" t="e">
        <f>IF(AND($W$49&gt;0,$W$41&gt;0),$W$41*COS(RADIANS(180-$W$47)),IF(AND($W$49=0,$W$41&gt;0),$W$41/2*COS(RADIANS(180-$W$47)),IF(AND($W$49&gt;0,$W$41=0),$W$49/2*COS(RADIANS(180-$W$55)),IF(AND($W$49=0,$W$41=0,$W$32=0),$W$24/4*COS(RADIANS(180-$W$30)),$W$32/4*COS(RADIANS(180-$W$38))))))</f>
        <v>#VALUE!</v>
      </c>
      <c r="BW19" s="648" t="e">
        <f>IF(AND($W$49&gt;0,$W$41&gt;0),$W$41*-SIN(RADIANS(180-$W$47)),IF(AND($W$49=0,$W$41&gt;0),$W$41/2*-SIN(RADIANS(180-$W$47)),IF(AND($W$49&gt;0,$W$41=0),$W$49/2*-SIN(RADIANS(180-$W$55)),IF(AND($W$49=0,$W$41=0,$W$32=0),$W$24/4*-SIN(RADIANS(180-$W$30)),$W$32/4*-SIN(RADIANS(180-$W$38))))))</f>
        <v>#VALUE!</v>
      </c>
      <c r="BX19" s="647" t="e">
        <f>IF(AND($W$32&gt;0,$W$24&gt;0,OR($W$41&gt;0,$W$49&gt;0)),$W$32*COS(RADIANS(180-$W$38)),IF(AND($W$32=0,$W$24&gt;0,OR($W$41&gt;0,$W$49&gt;0)),$W$24/2*COS(RADIANS(180-$W$30)),IF(AND($W$32&gt;0,$W$24=0,OR($W$41&gt;0,$W$49&gt;0)),$W$32/2*COS(RADIANS(180-$W$38)),IF(AND($W$32&gt;0,$W$41=0,$W$49=0),$W$32/4*COS(RADIANS(180-$W$38)),$W$24/4*COS(RADIANS(180-$W$30))))))</f>
        <v>#VALUE!</v>
      </c>
      <c r="BY19" s="648" t="e">
        <f>IF(AND($W$32&gt;0,$W$24&gt;0,OR($W$41&gt;0,$W$49&gt;0)),$W$32*-SIN(RADIANS(180-$W$38)),IF(AND($W$32&gt;0,$W$24&gt;0,OR($W$41&gt;0,$W$49&gt;0)),$W$32*-SIN(RADIANS(180-$W$38)),IF(AND($W$32&gt;0,$W$24=0,OR($W$41&gt;0,$W$49&gt;0)),$W$32/2*-SIN(RADIANS(180-$W$38)),IF(AND($W$32&gt;0,$W$41=0,$W$49=0),$W$32/4*-SIN(RADIANS(180-$W$38)),$W$24/4*-SIN(RADIANS(180-$W$30))))))</f>
        <v>#VALUE!</v>
      </c>
      <c r="BZ19" s="647" t="e">
        <f>IF(AND($W$32&gt;0,$W$24&gt;0,OR($W$41&gt;0,$W$49&gt;0)),$W$24*COS(RADIANS(180-$W$30)),IF(AND($W$32=0,$W$24&gt;0,OR($W$41&gt;0,$W$49&gt;0)),$W$24/2*COS(RADIANS(180-$W$30)),IF(AND($W$32&gt;0,$W$24=0,OR($W$41&gt;0,$W$49&gt;0)),$W$32/2*COS(RADIANS(180-$W$38)),IF(AND($W$32&gt;0,$W$41=0,$W$49=0),$W$32/4*COS(RADIANS(180-$W$38)),$W$24/4*COS(RADIANS(180-$W$30))))))</f>
        <v>#VALUE!</v>
      </c>
      <c r="CA19" s="648" t="e">
        <f>IF(AND($W$32&gt;0,$W$24&gt;0,OR($W$41&gt;0,$W$49&gt;0)),$W$24*-SIN(RADIANS(180-$W$30)),IF(AND($W$32&gt;0,$W$24&gt;0,OR($W$41&gt;0,$W$49&gt;0)),$W$32*-SIN(RADIANS(180-$W$38)),IF(AND($W$32&gt;0,$W$24=0,OR($W$41&gt;0,$W$49&gt;0)),$W$32/2*-SIN(RADIANS(180-$W$38)),IF(AND($W$32&gt;0,$W$41=0,$W$49=0),$W$32/4*-SIN(RADIANS(180-$W$38)),$W$24/4*-SIN(RADIANS(180-$W$30))))))</f>
        <v>#VALUE!</v>
      </c>
    </row>
    <row r="20" spans="1:82" ht="12" customHeight="1" x14ac:dyDescent="0.25">
      <c r="B20" s="345"/>
      <c r="C20" s="344"/>
      <c r="D20" s="426" t="s">
        <v>398</v>
      </c>
      <c r="E20" s="293" t="e">
        <f>IF(NOT(ISBLANK(F20)),F20,DGET('Grid Numbers'!$A$2:$L$4952,'Grid Numbers'!$J$2,L66:R67))</f>
        <v>#VALUE!</v>
      </c>
      <c r="F20" s="486"/>
      <c r="G20" s="344"/>
      <c r="H20" s="344"/>
      <c r="I20" s="344"/>
      <c r="J20" s="426" t="s">
        <v>398</v>
      </c>
      <c r="K20" s="294" t="e">
        <f>IF(NOT(ISBLANK(L20)),L20,DGET('Grid Numbers'!$A$2:$L$4952,'Grid Numbers'!$J$2,$L$68:$R$69))</f>
        <v>#VALUE!</v>
      </c>
      <c r="L20" s="487"/>
      <c r="N20" s="426" t="s">
        <v>398</v>
      </c>
      <c r="O20" s="293" t="e">
        <f>IF(NOT(ISBLANK(P20)),P20,DGET('Grid Numbers'!$A$2:$L$4952,'Grid Numbers'!$J$2,$L$70:$R$71))</f>
        <v>#VALUE!</v>
      </c>
      <c r="P20" s="487"/>
      <c r="T20" s="426" t="s">
        <v>398</v>
      </c>
      <c r="U20" s="293" t="e">
        <f>IF(NOT(ISBLANK(V20)),V20,DGET('Grid Numbers'!$A$2:$L$4952,'Grid Numbers'!$J$2,$L$72:$R$73))</f>
        <v>#VALUE!</v>
      </c>
      <c r="V20" s="487"/>
      <c r="AA20" s="593"/>
      <c r="AB20" s="593"/>
      <c r="AC20" s="318">
        <v>1</v>
      </c>
      <c r="AD20" s="317" t="s">
        <v>399</v>
      </c>
      <c r="AE20" s="343" t="e">
        <f>IF($L$38='SHL Section'!$BE$52,IF('BHL Section 2'!$BF$38=8,'BHL Section 2'!$AG$24,IF('BHL Section 2'!$BF$39=7,'BHL Section 2'!$AI$24,IF('BHL Section 2'!$BF$40=6,'BHL Section 2'!$AK$24,""))),IF($L$38='SHL Section'!$BE$55,IF('BHL Section 2'!$BF$42=8,'BHL Section 2'!$AG$24,IF('BHL Section 2'!$BF$43=7,'BHL Section 2'!$AI$24,IF('BHL Section 2'!$BF$44=6,'BHL Section 2'!$AK$24,""))),IF($L$38='SHL Section'!$BE$58,IF('BHL Section 2'!$BF$46=8,'BHL Section 2'!$AG$24,IF('BHL Section 2'!$BF$47=7,'BHL Section 2'!$AI$24,IF('BHL Section 2'!$BF$48=6,'BHL Section 2'!$AK$24,""))),"")))</f>
        <v>#VALUE!</v>
      </c>
      <c r="AF20" s="343" t="e">
        <f>IF($L$38='SHL Section'!$BE$52,IF('BHL Section 2'!$BF$38=8,'BHL Section 2'!$AH$24,IF('BHL Section 2'!$BF$39=7,'BHL Section 2'!$AJ$24,IF('BHL Section 2'!$BF$40=6,'BHL Section 2'!$AL$24,""))),IF($L$38='SHL Section'!$BE$55,IF('BHL Section 2'!$BF$42=8,'BHL Section 2'!$AH$24,IF('BHL Section 2'!$BF$43=7,'BHL Section 2'!$AJ$24,IF('BHL Section 2'!$BF$44=6,'BHL Section 2'!$AL$24,""))),IF($L$38='SHL Section'!$BE$58,IF('BHL Section 2'!$BF$46=8,'BHL Section 2'!$AH$24,IF('BHL Section 2'!$BF$47=7,'BHL Section 2'!$AJ$24,IF('BHL Section 2'!$BF$48=6,'BHL Section 2'!$AL$24,""))),"")))</f>
        <v>#VALUE!</v>
      </c>
      <c r="AG20" s="342" t="e">
        <f>IF($AE$20="","",$AY$26+$AE$20)</f>
        <v>#VALUE!</v>
      </c>
      <c r="AH20" s="342" t="e">
        <f>IF($AF$20="","",$AZ$26+$AF$20)</f>
        <v>#VALUE!</v>
      </c>
      <c r="AI20" s="342" t="e">
        <f>IF($AE$20="","",$BG$26+$AY$26+$AE$20)</f>
        <v>#VALUE!</v>
      </c>
      <c r="AJ20" s="342" t="e">
        <f>IF($AF$20="","",$AZ$26+$BH$26+$AF$20)</f>
        <v>#VALUE!</v>
      </c>
      <c r="AK20" s="342" t="e">
        <f>IF($AE$20="","",$BW$26+$AE$20)</f>
        <v>#VALUE!</v>
      </c>
      <c r="AL20" s="342" t="e">
        <f>IF($AF$20="","",$AF$20+$BX$26)</f>
        <v>#VALUE!</v>
      </c>
      <c r="AM20" s="342" t="e">
        <f>IF($AE$20="","",$AW$22+$AE$20)</f>
        <v>#VALUE!</v>
      </c>
      <c r="AN20" s="342" t="e">
        <f>IF($AF$20="","",$AX$22+$AF$20)</f>
        <v>#VALUE!</v>
      </c>
      <c r="AO20" s="342" t="e">
        <f>IF($AE$20="","",$AY$26+$AE$20+$BE$22)</f>
        <v>#VALUE!</v>
      </c>
      <c r="AP20" s="342" t="e">
        <f>IF($AF$20="","",$AZ$26+$AF$20+$BF$22)</f>
        <v>#VALUE!</v>
      </c>
      <c r="AQ20" s="342" t="e">
        <f>IF($AE$20="","",$BW$26+$AE$20+$BQ$22)</f>
        <v>#VALUE!</v>
      </c>
      <c r="AR20" s="342" t="e">
        <f>IF($AF$20="","",$AF$20+$BX$26+$BR$22)</f>
        <v>#VALUE!</v>
      </c>
      <c r="AS20" s="342" t="e">
        <f>IF($AE$20="","",$BY$22+$AE$20)</f>
        <v>#VALUE!</v>
      </c>
      <c r="AT20" s="342" t="e">
        <f>IF($AF$20="","",$AF$20+$BZ$22)</f>
        <v>#VALUE!</v>
      </c>
      <c r="AU20" s="333" t="s">
        <v>400</v>
      </c>
      <c r="AV20" s="761" t="s">
        <v>401</v>
      </c>
      <c r="AW20" s="735"/>
      <c r="AX20" s="735"/>
      <c r="AY20" s="757"/>
      <c r="AZ20" s="761" t="s">
        <v>402</v>
      </c>
      <c r="BA20" s="735"/>
      <c r="BB20" s="735"/>
      <c r="BC20" s="757"/>
      <c r="BD20" s="761" t="s">
        <v>403</v>
      </c>
      <c r="BE20" s="735"/>
      <c r="BF20" s="735"/>
      <c r="BG20" s="757"/>
      <c r="BH20" s="761" t="s">
        <v>404</v>
      </c>
      <c r="BI20" s="735"/>
      <c r="BJ20" s="735"/>
      <c r="BK20" s="757"/>
      <c r="BL20" s="761" t="s">
        <v>405</v>
      </c>
      <c r="BM20" s="735"/>
      <c r="BN20" s="735"/>
      <c r="BO20" s="757"/>
      <c r="BP20" s="761" t="s">
        <v>406</v>
      </c>
      <c r="BQ20" s="735"/>
      <c r="BR20" s="735"/>
      <c r="BS20" s="757"/>
      <c r="BT20" s="761" t="s">
        <v>407</v>
      </c>
      <c r="BU20" s="735"/>
      <c r="BV20" s="735"/>
      <c r="BW20" s="757"/>
      <c r="BX20" s="761" t="s">
        <v>408</v>
      </c>
      <c r="BY20" s="735"/>
      <c r="BZ20" s="735"/>
      <c r="CA20" s="757"/>
      <c r="CC20" s="459" t="s">
        <v>409</v>
      </c>
      <c r="CD20" s="637" t="e">
        <f>(CC22^2+CD22^2)^0.5</f>
        <v>#VALUE!</v>
      </c>
    </row>
    <row r="21" spans="1:82" ht="12" customHeight="1" x14ac:dyDescent="0.25">
      <c r="D21" s="426" t="s">
        <v>410</v>
      </c>
      <c r="E21" s="293" t="e">
        <f>IF(NOT(ISBLANK(F21)),F21,DGET('Grid Numbers'!$A$2:$L$4952,'Grid Numbers'!$K$2,L66:R67))</f>
        <v>#VALUE!</v>
      </c>
      <c r="F21" s="487"/>
      <c r="J21" s="426" t="s">
        <v>410</v>
      </c>
      <c r="K21" s="294" t="e">
        <f>IF(NOT(ISBLANK(L21)),L21,DGET('Grid Numbers'!$A$2:$L$4952,'Grid Numbers'!$K$2,$L$68:$R$69))</f>
        <v>#VALUE!</v>
      </c>
      <c r="L21" s="487"/>
      <c r="N21" s="426" t="s">
        <v>410</v>
      </c>
      <c r="O21" s="293" t="e">
        <f>IF(NOT(ISBLANK(P21)),P21,DGET('Grid Numbers'!$A$2:$L$4952,'Grid Numbers'!$K$2,$L$70:$R$71))</f>
        <v>#VALUE!</v>
      </c>
      <c r="P21" s="487"/>
      <c r="T21" s="426" t="s">
        <v>410</v>
      </c>
      <c r="U21" s="293" t="e">
        <f>IF(NOT(ISBLANK(V21)),V21,DGET('Grid Numbers'!$A$2:$L$4952,'Grid Numbers'!$K$2,$L$72:$R$73))</f>
        <v>#VALUE!</v>
      </c>
      <c r="V21" s="487"/>
      <c r="AA21" s="338"/>
      <c r="AB21" s="338"/>
      <c r="AC21" s="318">
        <v>2</v>
      </c>
      <c r="AD21" s="317" t="s">
        <v>399</v>
      </c>
      <c r="AE21" s="324" t="e">
        <f>IF($AG$21="","",$AG$21-$AY$26)</f>
        <v>#VALUE!</v>
      </c>
      <c r="AF21" s="324" t="e">
        <f>IF($AH$21="","",$AH$21-$AZ$26)</f>
        <v>#VALUE!</v>
      </c>
      <c r="AG21" s="325" t="e">
        <f>IF($L$38='SHL Section'!$BE$52,IF('BHL Section 2'!$BF$37=4,'BHL Section 2'!$AE$24,IF('BHL Section 2'!$BF$39=6,'BHL Section 2'!$AI$24,IF('BHL Section 2'!$BF$40=5,'BHL Section 2'!$AK$24,""))),IF($L$38='SHL Section'!$BE$55,IF('BHL Section 2'!$BF$41=4,'BHL Section 2'!$AE$24,IF('BHL Section 2'!$BF$43=6,'BHL Section 2'!$AI$24,IF('BHL Section 2'!$BF$44=5,'BHL Section 2'!$AK$24,""))),IF($L$38='SHL Section'!$BE$58,IF('BHL Section 2'!$BF$45=4,'BHL Section 2'!$AE$24,IF('BHL Section 2'!$BF$47=6,'BHL Section 2'!$AI$24,IF('BHL Section 2'!$BF$48=5,'BHL Section 2'!$AK$24,""))),"")))</f>
        <v>#VALUE!</v>
      </c>
      <c r="AH21" s="325" t="e">
        <f>IF($L$38='SHL Section'!$BE$52,IF('BHL Section 2'!$BF$37=4,'BHL Section 2'!$AF$24,IF('BHL Section 2'!$BF$39=6,'BHL Section 2'!$AJ$24,IF('BHL Section 2'!$BF$40=5,'BHL Section 2'!$AL$24,""))),IF($L$38='SHL Section'!$BE$55,IF('BHL Section 2'!$BF$41=4,'BHL Section 2'!$AF$24,IF('BHL Section 2'!$BF$43=6,'BHL Section 2'!$AJ$24,IF('BHL Section 2'!$BF$44=5,'BHL Section 2'!$AL$24,""))),IF($L$38='SHL Section'!$BE$58,IF('BHL Section 2'!$BF$45=4,'BHL Section 2'!$AF$24,IF('BHL Section 2'!$BF$47=6,'BHL Section 2'!$AJ$24,IF('BHL Section 2'!$BF$48=5,'BHL Section 2'!$AL$24,""))),"")))</f>
        <v>#VALUE!</v>
      </c>
      <c r="AI21" s="324" t="e">
        <f>IF($AG$21="","",$BG$26+$AG$21)</f>
        <v>#VALUE!</v>
      </c>
      <c r="AJ21" s="324" t="e">
        <f>IF($AH$21="","",$AH$21+$BH$26)</f>
        <v>#VALUE!</v>
      </c>
      <c r="AK21" s="324" t="e">
        <f>IF($AG$21="","",$AG$21-$AY$26+$BW$26)</f>
        <v>#VALUE!</v>
      </c>
      <c r="AL21" s="324" t="e">
        <f>IF($AH$21="","",$AH$21-$AZ$26+$BX$26)</f>
        <v>#VALUE!</v>
      </c>
      <c r="AM21" s="324" t="e">
        <f>IF($AG$21="","",$AG$21-$BA$22)</f>
        <v>#VALUE!</v>
      </c>
      <c r="AN21" s="324" t="e">
        <f>IF($AH$21="","",AH$21-$BB$22)</f>
        <v>#VALUE!</v>
      </c>
      <c r="AO21" s="324" t="e">
        <f>IF($AG$21="","",$BE$22+$AG$21)</f>
        <v>#VALUE!</v>
      </c>
      <c r="AP21" s="324" t="e">
        <f>IF($AH$21="","",$AH$21+$BF$22)</f>
        <v>#VALUE!</v>
      </c>
      <c r="AQ21" s="324" t="e">
        <f>IF($AG$21="","",$BG$26+$AG$21-$BM$22)</f>
        <v>#VALUE!</v>
      </c>
      <c r="AR21" s="324" t="e">
        <f>IF($AH$21="","",$AH$21+$BH$26-$BN$22)</f>
        <v>#VALUE!</v>
      </c>
      <c r="AS21" s="324" t="e">
        <f>IF($AG$21="","",$AG$21-$AY$26+$BY$22)</f>
        <v>#VALUE!</v>
      </c>
      <c r="AT21" s="324" t="e">
        <f>IF($AH$21="","",$AH$21-$AZ$26+$BZ$22)</f>
        <v>#VALUE!</v>
      </c>
      <c r="AU21" s="333" t="s">
        <v>394</v>
      </c>
      <c r="AV21" s="296"/>
      <c r="AW21" s="464" t="s">
        <v>336</v>
      </c>
      <c r="AX21" s="465" t="s">
        <v>337</v>
      </c>
      <c r="AY21" s="334"/>
      <c r="AZ21" s="296"/>
      <c r="BA21" s="464" t="s">
        <v>336</v>
      </c>
      <c r="BB21" s="465" t="s">
        <v>337</v>
      </c>
      <c r="BC21" s="334"/>
      <c r="BD21" s="296"/>
      <c r="BE21" s="464" t="s">
        <v>336</v>
      </c>
      <c r="BF21" s="465" t="s">
        <v>337</v>
      </c>
      <c r="BG21" s="334"/>
      <c r="BH21" s="296"/>
      <c r="BI21" s="464" t="s">
        <v>336</v>
      </c>
      <c r="BJ21" s="465" t="s">
        <v>337</v>
      </c>
      <c r="BK21" s="334"/>
      <c r="BL21" s="296"/>
      <c r="BM21" s="464" t="s">
        <v>336</v>
      </c>
      <c r="BN21" s="465" t="s">
        <v>337</v>
      </c>
      <c r="BO21" s="334"/>
      <c r="BP21" s="296"/>
      <c r="BQ21" s="464" t="s">
        <v>336</v>
      </c>
      <c r="BR21" s="465" t="s">
        <v>337</v>
      </c>
      <c r="BS21" s="334"/>
      <c r="BT21" s="296"/>
      <c r="BU21" s="464" t="s">
        <v>336</v>
      </c>
      <c r="BV21" s="465" t="s">
        <v>337</v>
      </c>
      <c r="BW21" s="334"/>
      <c r="BX21" s="296"/>
      <c r="BY21" s="464" t="s">
        <v>336</v>
      </c>
      <c r="BZ21" s="465" t="s">
        <v>337</v>
      </c>
      <c r="CA21" s="334"/>
      <c r="CC21" s="464" t="s">
        <v>336</v>
      </c>
      <c r="CD21" s="465" t="s">
        <v>337</v>
      </c>
    </row>
    <row r="22" spans="1:82" ht="12" customHeight="1" x14ac:dyDescent="0.25">
      <c r="A22" s="339"/>
      <c r="B22" s="339"/>
      <c r="C22" s="339"/>
      <c r="D22" s="426" t="s">
        <v>411</v>
      </c>
      <c r="E22" s="319" t="e">
        <f>IF(NOT(ISBLANK(F22)),F22,DGET('Grid Numbers'!$A$2:$L$4952,'Grid Numbers'!$L$2,$L$74:$R$75))</f>
        <v>#VALUE!</v>
      </c>
      <c r="F22" s="490"/>
      <c r="G22" s="340"/>
      <c r="H22" s="340"/>
      <c r="I22" s="340"/>
      <c r="J22" s="426" t="s">
        <v>411</v>
      </c>
      <c r="K22" s="319" t="e">
        <f>IF(NOT(ISBLANK(L22)),L22,DGET('Grid Numbers'!$A$2:$L$4952,'Grid Numbers'!$L$2,$L$68:$R$69))</f>
        <v>#VALUE!</v>
      </c>
      <c r="L22" s="489"/>
      <c r="M22" s="339"/>
      <c r="N22" s="426" t="s">
        <v>411</v>
      </c>
      <c r="O22" s="319" t="e">
        <f>IF(NOT(ISBLANK(P22)),P22,DGET('Grid Numbers'!$A$2:$L$4952,'Grid Numbers'!$L$2,$L$70:$R$71))</f>
        <v>#VALUE!</v>
      </c>
      <c r="P22" s="490"/>
      <c r="Q22" s="340"/>
      <c r="R22" s="340"/>
      <c r="S22" s="340"/>
      <c r="T22" s="426" t="s">
        <v>411</v>
      </c>
      <c r="U22" s="319" t="e">
        <f>IF(NOT(ISBLANK(V22)),V22,DGET('Grid Numbers'!$A$2:$L$4952,'Grid Numbers'!$L$2,$L$72:$R$73))</f>
        <v>#VALUE!</v>
      </c>
      <c r="V22" s="489"/>
      <c r="W22" s="339"/>
      <c r="X22" s="339"/>
      <c r="AA22" s="593"/>
      <c r="AB22" s="593"/>
      <c r="AC22" s="318">
        <v>3</v>
      </c>
      <c r="AD22" s="317" t="s">
        <v>399</v>
      </c>
      <c r="AE22" s="324" t="e">
        <f>IF($AI$22="","",$AI$22-$BG$26-$AY$26)</f>
        <v>#VALUE!</v>
      </c>
      <c r="AF22" s="326" t="e">
        <f>IF($AJ$22="","",$AJ$22-$BH$26-$AZ$26)</f>
        <v>#VALUE!</v>
      </c>
      <c r="AG22" s="324" t="e">
        <f>IF($AI$22="","",$AI$22-$BG$26)</f>
        <v>#VALUE!</v>
      </c>
      <c r="AH22" s="324" t="e">
        <f>IF($AJ$22="","",$AJ$22-$BH$26)</f>
        <v>#VALUE!</v>
      </c>
      <c r="AI22" s="325" t="e">
        <f>IF($L$38='SHL Section'!$BE$52,IF('BHL Section 2'!$BF$37=3,'BHL Section 2'!$AE$24,IF('BHL Section 2'!$BF$38=2,'BHL Section 2'!$AG$24,IF('BHL Section 2'!$BF$40=4,'BHL Section 2'!$AK$24,""))),IF($L$38='SHL Section'!$BE$55,IF('BHL Section 2'!$BF$41=3,'BHL Section 2'!$AE$24,IF('BHL Section 2'!$BF$42=2,'BHL Section 2'!$AG$24,IF('BHL Section 2'!$BF$44=4,'BHL Section 2'!$AK$24,""))),IF($L$38='SHL Section'!$BE$58,IF('BHL Section 2'!$BF$45=3,'BHL Section 2'!$AE$24,IF('BHL Section 2'!$BF$46=2,'BHL Section 2'!$AG$24,IF('BHL Section 2'!$BF$48=4,'BHL Section 2'!$AK$24,""))),"")))</f>
        <v>#VALUE!</v>
      </c>
      <c r="AJ22" s="325" t="e">
        <f>IF($L$38='SHL Section'!$BE$52,IF('BHL Section 2'!$BF$37=3,'BHL Section 2'!$AF$24,IF('BHL Section 2'!$BF$38=2,'BHL Section 2'!$AH$24,IF('BHL Section 2'!$BF$40=4,'BHL Section 2'!$AL$24,""))),IF($L$38='SHL Section'!$BE$55,IF('BHL Section 2'!$BF$41=3,'BHL Section 2'!$AF$24,IF('BHL Section 2'!$BF$42=2,'BHL Section 2'!$AH$24,IF('BHL Section 2'!$BF$44=4,'BHL Section 2'!$AL$24,""))),IF($L$38='SHL Section'!$BE$58,IF('BHL Section 2'!$BF$45=3,'BHL Section 2'!$AF$24,IF('BHL Section 2'!$BF$46=2,'BHL Section 2'!$AH$24,IF('BHL Section 2'!$BF$48=4,'BHL Section 2'!$AL$24,""))),"")))</f>
        <v>#VALUE!</v>
      </c>
      <c r="AK22" s="324" t="e">
        <f>IF($AI$22="","",$AI$22-$BO$26)</f>
        <v>#VALUE!</v>
      </c>
      <c r="AL22" s="324" t="e">
        <f>IF($AJ$22="","",$AJ$22-$BP$26)</f>
        <v>#VALUE!</v>
      </c>
      <c r="AM22" s="324" t="e">
        <f>IF($AI$22="","",$AI$22-$BG$26-$BA$22)</f>
        <v>#VALUE!</v>
      </c>
      <c r="AN22" s="324" t="e">
        <f>IF($AJ$22="","",$AJ$22-$BH$26-$BB$22)</f>
        <v>#VALUE!</v>
      </c>
      <c r="AO22" s="324" t="e">
        <f>IF($AI$22="","",$AI$22-$BI$22)</f>
        <v>#VALUE!</v>
      </c>
      <c r="AP22" s="324" t="e">
        <f>IF($AJ$22="","",$AJ$22-$BJ$22)</f>
        <v>#VALUE!</v>
      </c>
      <c r="AQ22" s="324" t="e">
        <f>IF($AI$22="","",$AI$22-$BM$22)</f>
        <v>#VALUE!</v>
      </c>
      <c r="AR22" s="324" t="e">
        <f>IF($AJ$22="","",$AJ$22-$BN$22)</f>
        <v>#VALUE!</v>
      </c>
      <c r="AS22" s="324" t="e">
        <f>IF($AI$22="","",$AI$22-$BO$26-$BU$22)</f>
        <v>#VALUE!</v>
      </c>
      <c r="AT22" s="324" t="e">
        <f>IF($AJ$22="","",$AJ$22-$BP$26-$BV$22)</f>
        <v>#VALUE!</v>
      </c>
      <c r="AU22" s="333"/>
      <c r="AV22" s="296"/>
      <c r="AW22" s="638" t="e">
        <f>AV19+AX19</f>
        <v>#VALUE!</v>
      </c>
      <c r="AX22" s="639" t="e">
        <f>AW19+AY19</f>
        <v>#VALUE!</v>
      </c>
      <c r="AY22" s="334"/>
      <c r="AZ22" s="296"/>
      <c r="BA22" s="638" t="e">
        <f>AZ19+BB19</f>
        <v>#VALUE!</v>
      </c>
      <c r="BB22" s="639" t="e">
        <f>BA19+BC19</f>
        <v>#VALUE!</v>
      </c>
      <c r="BC22" s="334"/>
      <c r="BD22" s="296"/>
      <c r="BE22" s="638" t="e">
        <f>BD19+BF19</f>
        <v>#VALUE!</v>
      </c>
      <c r="BF22" s="639" t="e">
        <f>BE19+BG19</f>
        <v>#VALUE!</v>
      </c>
      <c r="BG22" s="334"/>
      <c r="BH22" s="296"/>
      <c r="BI22" s="638" t="e">
        <f>BH19+BJ19</f>
        <v>#VALUE!</v>
      </c>
      <c r="BJ22" s="639" t="e">
        <f>BI19+BK19</f>
        <v>#VALUE!</v>
      </c>
      <c r="BK22" s="334"/>
      <c r="BL22" s="296"/>
      <c r="BM22" s="638" t="e">
        <f>BL19+BN19</f>
        <v>#VALUE!</v>
      </c>
      <c r="BN22" s="639" t="e">
        <f>BM19+BO19</f>
        <v>#VALUE!</v>
      </c>
      <c r="BO22" s="334"/>
      <c r="BP22" s="296"/>
      <c r="BQ22" s="638" t="e">
        <f>BP19+BR19</f>
        <v>#VALUE!</v>
      </c>
      <c r="BR22" s="639" t="e">
        <f>BQ19+BS19</f>
        <v>#VALUE!</v>
      </c>
      <c r="BS22" s="334"/>
      <c r="BT22" s="296"/>
      <c r="BU22" s="638" t="e">
        <f>BT19+BV19</f>
        <v>#VALUE!</v>
      </c>
      <c r="BV22" s="639" t="e">
        <f>BU19+BW19</f>
        <v>#VALUE!</v>
      </c>
      <c r="BW22" s="334"/>
      <c r="BX22" s="296"/>
      <c r="BY22" s="638" t="e">
        <f>BX19+BZ19</f>
        <v>#VALUE!</v>
      </c>
      <c r="BZ22" s="639" t="e">
        <f>BY19+CA19</f>
        <v>#VALUE!</v>
      </c>
      <c r="CA22" s="334"/>
      <c r="CC22" s="640" t="e">
        <f>AY26+BG26-BO26-BW26</f>
        <v>#VALUE!</v>
      </c>
      <c r="CD22" s="641" t="e">
        <f>AZ26+BH26-BP26-BX26</f>
        <v>#VALUE!</v>
      </c>
    </row>
    <row r="23" spans="1:82" ht="12" customHeight="1" thickBot="1" x14ac:dyDescent="0.3">
      <c r="B23" s="759" t="e">
        <f>CONCATENATE("NW SC of ",$L$38)</f>
        <v>#VALUE!</v>
      </c>
      <c r="C23" s="679"/>
      <c r="D23" s="426" t="s">
        <v>412</v>
      </c>
      <c r="E23" s="642" t="e">
        <f>IF(AND($L$38='SHL Section'!$BE$50,MAX('SHL Section'!$BF$37:$BF$40)=6),'SHL Section'!$E$62,IF(AND($L$38='SHL Section'!$BE$53,MAX('SHL Section'!$BF$41:$BF$44)=6),'SHL Section'!$E$62,IF(AND($L$38='SHL Section'!$BE$56,MAX('SHL Section'!$BF$45:$BF$48)=6),'SHL Section'!$E$62,IF(E19="","",IF(OR(E22=1,E22=4),180-(E19+E20/60+E21/3600),(E19+E20/60+E21/3600))))))</f>
        <v>#VALUE!</v>
      </c>
      <c r="J23" s="426" t="s">
        <v>412</v>
      </c>
      <c r="K23" s="642" t="e">
        <f>IF(AND($L$38='SHL Section'!$BE$50,MAX('SHL Section'!$BF$37:$BF$40)=6),'SHL Section'!$K$62,IF(AND($L$38='SHL Section'!$BE$53,MAX('SHL Section'!$BF$41:$BF$44)=6),'SHL Section'!$K$62,IF(AND($L$38='SHL Section'!$BE$56,MAX('SHL Section'!$BF$45:$BF$48)=6),'SHL Section'!$K$62,IF(K19="","",IF(OR(K22=1,K22=4),180-(K19+K20/60+K21/3600),(K19+K20/60+K21/3600))))))</f>
        <v>#VALUE!</v>
      </c>
      <c r="L23" s="781" t="e">
        <f>CONCATENATE("N QC of ",$L$38)</f>
        <v>#VALUE!</v>
      </c>
      <c r="M23" s="704"/>
      <c r="N23" s="426" t="s">
        <v>412</v>
      </c>
      <c r="O23" s="643" t="e">
        <f>IF(AND($L$38='SHL Section'!$BE$50,MAX('SHL Section'!$BF$37:$BF$40)=6),'SHL Section'!$O$62,IF(AND($L$38='SHL Section'!$BE$53,MAX('SHL Section'!$BF$41:$BF$44)=6),'SHL Section'!$O$62,IF(AND($L$38='SHL Section'!$BE$56,MAX('SHL Section'!$BF$45:$BF$48)=6),'SHL Section'!$O$62,IF(O19="","",IF(OR(O22=1,O22=4),180-(O19+O20/60+O21/3600),(O19+O20/60+O21/3600))))))</f>
        <v>#VALUE!</v>
      </c>
      <c r="T23" s="426" t="s">
        <v>412</v>
      </c>
      <c r="U23" s="643" t="e">
        <f>IF(AND($L$38='SHL Section'!$BE$50,MAX('SHL Section'!$BF$37:$BF$40)=6),'SHL Section'!$U$62,IF(AND($L$38='SHL Section'!$BE$53,MAX('SHL Section'!$BF$41:$BF$44)=6),'SHL Section'!$U$62,IF(AND($L$38='SHL Section'!$BE$56,MAX('SHL Section'!$BF$45:$BF$48)=6),'SHL Section'!$U$62,IF(U19="","",IF(OR(U22=1,U22=4),180-(U19+U20/60+U21/3600),(U19+U20/60+U21/3600))))))</f>
        <v>#VALUE!</v>
      </c>
      <c r="V23" s="760" t="e">
        <f>CONCATENATE("NE SC of ",$L$38)</f>
        <v>#VALUE!</v>
      </c>
      <c r="W23" s="679"/>
      <c r="Y23" s="338"/>
      <c r="Z23" s="338"/>
      <c r="AA23" s="593"/>
      <c r="AB23" s="593"/>
      <c r="AC23" s="466">
        <v>4</v>
      </c>
      <c r="AD23" s="591" t="s">
        <v>399</v>
      </c>
      <c r="AE23" s="322" t="e">
        <f>IF($AK$23="","",$AK$23-$BW$26)</f>
        <v>#VALUE!</v>
      </c>
      <c r="AF23" s="322" t="e">
        <f>IF($AL$23="","",$AL$23-$BX$26)</f>
        <v>#VALUE!</v>
      </c>
      <c r="AG23" s="322" t="e">
        <f>IF($AK$23="","",$AK$23+$BO$26-$BG$26)</f>
        <v>#VALUE!</v>
      </c>
      <c r="AH23" s="322" t="e">
        <f>IF($AL$23="","",$AL$23+$BP$26+$BH$26)</f>
        <v>#VALUE!</v>
      </c>
      <c r="AI23" s="322" t="e">
        <f>IF($AK$23="","",$AK$23+$BO$26)</f>
        <v>#VALUE!</v>
      </c>
      <c r="AJ23" s="322" t="e">
        <f>IF($AL$23="","",$AL$23+$BP$26)</f>
        <v>#VALUE!</v>
      </c>
      <c r="AK23" s="323" t="e">
        <f>IF($L$38='SHL Section'!$BE$52,IF('BHL Section 2'!$BF$37=2,'BHL Section 2'!$AE$24,IF('BHL Section 2'!$BF$38=9,'BHL Section 2'!$AG$24,IF('BHL Section 2'!$BF$39=8,'BHL Section 2'!$AI$24,""))),IF($L$38='SHL Section'!$BE$55,IF('BHL Section 2'!$BF$41=2,'BHL Section 2'!$AE$24,IF('BHL Section 2'!$BF$42=9,'BHL Section 2'!$AG$24,IF('BHL Section 2'!$BF$43=8,'BHL Section 2'!$AI$24,""))),IF($L$38='SHL Section'!$BE$58,IF('BHL Section 2'!$BF$45=2,'BHL Section 2'!$AE$24,IF('BHL Section 2'!$BF$46=9,'BHL Section 2'!$AG$24,IF('BHL Section 2'!$BF$47=8,'BHL Section 2'!$AI$24,""))),"")))</f>
        <v>#VALUE!</v>
      </c>
      <c r="AL23" s="323" t="e">
        <f>IF($L$38='SHL Section'!$BE$52,IF('BHL Section 2'!$BF$37=2,'BHL Section 2'!$AF$24,IF('BHL Section 2'!$BF$38=9,'BHL Section 2'!$AH$24,IF('BHL Section 2'!$BF$39=8,'BHL Section 2'!$AJ$24,""))),IF($L$38='SHL Section'!$BE$55,IF('BHL Section 2'!$BF$41=2,'BHL Section 2'!$AF$24,IF('BHL Section 2'!$BF$42=9,'BHL Section 2'!$AH$24,IF('BHL Section 2'!$BF$43=8,'BHL Section 2'!$AJ$24,""))),IF($L$38='SHL Section'!$BE$58,IF('BHL Section 2'!$BF$45=2,'BHL Section 2'!$AF$24,IF('BHL Section 2'!$BF$46=9,'BHL Section 2'!$AH$24,IF('BHL Section 2'!$BF$47=8,'BHL Section 2'!$AJ$24,""))),"")))</f>
        <v>#VALUE!</v>
      </c>
      <c r="AM23" s="322" t="e">
        <f>IF($AK$23="","",$AK$23-$BW$26+$AW$22)</f>
        <v>#VALUE!</v>
      </c>
      <c r="AN23" s="322" t="e">
        <f>IF($AL$23="","",$AL$23-$BX$26+$AX$22)</f>
        <v>#VALUE!</v>
      </c>
      <c r="AO23" s="322" t="e">
        <f>IF($AK$23="","",$AK$23+$BO$26-$BI$22)</f>
        <v>#VALUE!</v>
      </c>
      <c r="AP23" s="322" t="e">
        <f>IF($AL$23="","",$AL$23+$BP$26-$BJ$22)</f>
        <v>#VALUE!</v>
      </c>
      <c r="AQ23" s="322" t="e">
        <f>IF($AK$23="","",$AK$23+$BQ$22)</f>
        <v>#VALUE!</v>
      </c>
      <c r="AR23" s="322" t="e">
        <f>IF($AL$23="","",$AL$23+$BR$22)</f>
        <v>#VALUE!</v>
      </c>
      <c r="AS23" s="322" t="e">
        <f>IF($AK$23="","",$AK$23-$BU$22)</f>
        <v>#VALUE!</v>
      </c>
      <c r="AT23" s="322" t="e">
        <f>IF($AL$23="","",$AL$23-$BV$22)</f>
        <v>#VALUE!</v>
      </c>
      <c r="AU23" s="333"/>
      <c r="AV23" s="296"/>
      <c r="BD23" s="296"/>
      <c r="BL23" s="296"/>
      <c r="BT23" s="296"/>
      <c r="BZ23" s="596"/>
      <c r="CA23" s="596"/>
      <c r="CB23" s="243"/>
    </row>
    <row r="24" spans="1:82" ht="12" customHeight="1" x14ac:dyDescent="0.25">
      <c r="B24" s="417" t="e">
        <f>B25</f>
        <v>#VALUE!</v>
      </c>
      <c r="C24" s="429"/>
      <c r="D24" s="583"/>
      <c r="E24" s="583"/>
      <c r="F24" s="583"/>
      <c r="G24" s="583"/>
      <c r="H24" s="583"/>
      <c r="I24" s="583"/>
      <c r="J24" s="583"/>
      <c r="K24" s="583"/>
      <c r="L24" s="428"/>
      <c r="M24" s="427"/>
      <c r="N24" s="583"/>
      <c r="O24" s="583"/>
      <c r="P24" s="583"/>
      <c r="Q24" s="583"/>
      <c r="R24" s="583"/>
      <c r="S24" s="583"/>
      <c r="T24" s="583"/>
      <c r="U24" s="583"/>
      <c r="V24" s="585"/>
      <c r="W24" s="425" t="e">
        <f>W25</f>
        <v>#VALUE!</v>
      </c>
      <c r="AA24" s="593"/>
      <c r="AB24" s="593"/>
      <c r="AC24" s="762"/>
      <c r="AD24" s="683"/>
      <c r="AE24" s="321" t="str">
        <f>IF(ISNUMBER($AE$20),AE$20,IF(ISNUMBER($AG$21),AE$21,IF(ISNUMBER($AI$22),AE$22,IF(ISNUMBER($AK$23),AE$23,""))))</f>
        <v/>
      </c>
      <c r="AF24" s="321" t="str">
        <f>IF(ISNUMBER($AF$20),AF$20,IF(ISNUMBER($AH$21),AF$21,IF(ISNUMBER($AJ$22),AF$22,IF(ISNUMBER($AL$23),AF$23,""))))</f>
        <v/>
      </c>
      <c r="AG24" s="321" t="str">
        <f>IF(ISNUMBER($AE$20),AG$20,IF(ISNUMBER($AG$21),AG$21,IF(ISNUMBER($AI$22),AG$22,IF(ISNUMBER($AK$23),AG$23,""))))</f>
        <v/>
      </c>
      <c r="AH24" s="321" t="str">
        <f>IF(ISNUMBER($AF$20),AH$20,IF(ISNUMBER($AH$21),AH$21,IF(ISNUMBER($AJ$22),AH$22,IF(ISNUMBER($AL$23),AH$23,""))))</f>
        <v/>
      </c>
      <c r="AI24" s="321" t="str">
        <f>IF(ISNUMBER($AE$20),AI$20,IF(ISNUMBER($AG$21),AI$21,IF(ISNUMBER($AI$22),AI$22,IF(ISNUMBER($AK$23),AI$23,""))))</f>
        <v/>
      </c>
      <c r="AJ24" s="321" t="str">
        <f>IF(ISNUMBER($AF$20),AJ$20,IF(ISNUMBER($AH$21),AJ$21,IF(ISNUMBER($AJ$22),AJ$22,IF(ISNUMBER($AL$23),AJ$23,""))))</f>
        <v/>
      </c>
      <c r="AK24" s="321" t="str">
        <f>IF(ISNUMBER($AE$20),AK$20,IF(ISNUMBER($AG$21),AK$21,IF(ISNUMBER($AI$22),AK$22,IF(ISNUMBER($AK$23),AK$23,""))))</f>
        <v/>
      </c>
      <c r="AL24" s="321" t="str">
        <f>IF(ISNUMBER($AF$20),AL$20,IF(ISNUMBER($AH$21),AL$21,IF(ISNUMBER($AJ$22),AL$22,IF(ISNUMBER($AL$23),AL$23,""))))</f>
        <v/>
      </c>
      <c r="AM24" s="321" t="str">
        <f>IF(ISNUMBER($AE$20),AM$20,IF(ISNUMBER($AG$21),AM$21,IF(ISNUMBER($AI$22),AM$22,IF(ISNUMBER($AK$23),AM$23,""))))</f>
        <v/>
      </c>
      <c r="AN24" s="321" t="str">
        <f>IF(ISNUMBER($AF$20),AN$20,IF(ISNUMBER($AH$21),AN$21,IF(ISNUMBER($AJ$22),AN$22,IF(ISNUMBER($AL$23),AN$23,""))))</f>
        <v/>
      </c>
      <c r="AO24" s="321" t="str">
        <f>IF(ISNUMBER($AE$20),AO$20,IF(ISNUMBER($AG$21),AO$21,IF(ISNUMBER($AI$22),AO$22,IF(ISNUMBER($AK$23),AO$23,""))))</f>
        <v/>
      </c>
      <c r="AP24" s="321" t="str">
        <f>IF(ISNUMBER($AF$20),AP$20,IF(ISNUMBER($AH$21),AP$21,IF(ISNUMBER($AJ$22),AP$22,IF(ISNUMBER($AL$23),AP$23,""))))</f>
        <v/>
      </c>
      <c r="AQ24" s="321" t="str">
        <f>IF(ISNUMBER($AE$20),AQ$20,IF(ISNUMBER($AG$21),AQ$21,IF(ISNUMBER($AI$22),AQ$22,IF(ISNUMBER($AK$23),AQ$23,""))))</f>
        <v/>
      </c>
      <c r="AR24" s="321" t="str">
        <f>IF(ISNUMBER($AF$20),AR$20,IF(ISNUMBER($AH$21),AR$21,IF(ISNUMBER($AJ$22),AR$22,IF(ISNUMBER($AL$23),AR$23,""))))</f>
        <v/>
      </c>
      <c r="AS24" s="321" t="str">
        <f>IF(ISNUMBER($AE$20),AS$20,IF(ISNUMBER($AG$21),AS$21,IF(ISNUMBER($AI$22),AS$22,IF(ISNUMBER($AK$23),AS$23,""))))</f>
        <v/>
      </c>
      <c r="AT24" s="321" t="str">
        <f>IF(ISNUMBER($AF$20),AT$20,IF(ISNUMBER($AH$21),AT$21,IF(ISNUMBER($AJ$22),AT$22,IF(ISNUMBER($AL$23),AT$23,""))))</f>
        <v/>
      </c>
      <c r="AU24" s="333" t="s">
        <v>171</v>
      </c>
      <c r="AV24" s="761" t="s">
        <v>12</v>
      </c>
      <c r="AW24" s="735"/>
      <c r="AX24" s="735"/>
      <c r="AY24" s="735"/>
      <c r="AZ24" s="735"/>
      <c r="BA24" s="735"/>
      <c r="BB24" s="735"/>
      <c r="BC24" s="757"/>
      <c r="BD24" s="761" t="s">
        <v>413</v>
      </c>
      <c r="BE24" s="735"/>
      <c r="BF24" s="735"/>
      <c r="BG24" s="735"/>
      <c r="BH24" s="735"/>
      <c r="BI24" s="735"/>
      <c r="BJ24" s="735"/>
      <c r="BK24" s="757"/>
      <c r="BL24" s="761" t="s">
        <v>414</v>
      </c>
      <c r="BM24" s="735"/>
      <c r="BN24" s="735"/>
      <c r="BO24" s="735"/>
      <c r="BP24" s="735"/>
      <c r="BQ24" s="735"/>
      <c r="BR24" s="735"/>
      <c r="BS24" s="757"/>
      <c r="BT24" s="761" t="s">
        <v>311</v>
      </c>
      <c r="BU24" s="735"/>
      <c r="BV24" s="735"/>
      <c r="BW24" s="735"/>
      <c r="BX24" s="735"/>
      <c r="BY24" s="735"/>
      <c r="BZ24" s="735"/>
      <c r="CA24" s="757"/>
    </row>
    <row r="25" spans="1:82" ht="12" customHeight="1" x14ac:dyDescent="0.25">
      <c r="A25" s="426" t="s">
        <v>385</v>
      </c>
      <c r="B25" s="366" t="e">
        <f>IF(NOT(ISBLANK(D25)),D25,DGET('Grid Numbers'!$A$2:$L$4952,'Grid Numbers'!$H$2,$B$66:$H$67))</f>
        <v>#VALUE!</v>
      </c>
      <c r="C25" s="598"/>
      <c r="D25" s="486"/>
      <c r="L25" s="308"/>
      <c r="M25" s="307"/>
      <c r="U25" s="486"/>
      <c r="V25" s="581"/>
      <c r="W25" s="470" t="e">
        <f>IF(NOT(ISBLANK(U25)),U25,DGET('Grid Numbers'!$A$2:$L$4952,'Grid Numbers'!$H$2,$B$74:$H$75))</f>
        <v>#VALUE!</v>
      </c>
      <c r="X25" s="423" t="s">
        <v>385</v>
      </c>
      <c r="AA25" s="593"/>
      <c r="AB25" s="593"/>
      <c r="AC25" s="330"/>
      <c r="AD25" s="329"/>
      <c r="AE25" s="328"/>
      <c r="AF25" s="328"/>
      <c r="AG25" s="328"/>
      <c r="AH25" s="328"/>
      <c r="AI25" s="328"/>
      <c r="AJ25" s="328"/>
      <c r="AK25" s="328"/>
      <c r="AL25" s="328"/>
      <c r="AM25" s="328"/>
      <c r="AN25" s="328"/>
      <c r="AO25" s="328"/>
      <c r="AP25" s="328"/>
      <c r="AQ25" s="328"/>
      <c r="AR25" s="328"/>
      <c r="AS25" s="328"/>
      <c r="AT25" s="328"/>
      <c r="AU25" s="333" t="s">
        <v>394</v>
      </c>
      <c r="AV25" s="298"/>
      <c r="AW25" s="337"/>
      <c r="AX25" s="337"/>
      <c r="AY25" s="464" t="s">
        <v>336</v>
      </c>
      <c r="AZ25" s="465" t="s">
        <v>337</v>
      </c>
      <c r="BA25" s="337"/>
      <c r="BB25" s="337"/>
      <c r="BC25" s="336"/>
      <c r="BD25" s="298"/>
      <c r="BE25" s="337"/>
      <c r="BF25" s="337"/>
      <c r="BG25" s="464" t="s">
        <v>336</v>
      </c>
      <c r="BH25" s="465" t="s">
        <v>337</v>
      </c>
      <c r="BI25" s="337"/>
      <c r="BJ25" s="337"/>
      <c r="BK25" s="336"/>
      <c r="BL25" s="298"/>
      <c r="BM25" s="337"/>
      <c r="BN25" s="337"/>
      <c r="BO25" s="464" t="s">
        <v>336</v>
      </c>
      <c r="BP25" s="465" t="s">
        <v>337</v>
      </c>
      <c r="BQ25" s="337"/>
      <c r="BR25" s="337"/>
      <c r="BS25" s="336"/>
      <c r="BT25" s="298"/>
      <c r="BU25" s="337"/>
      <c r="BV25" s="337"/>
      <c r="BW25" s="464" t="s">
        <v>336</v>
      </c>
      <c r="BX25" s="465" t="s">
        <v>337</v>
      </c>
      <c r="BY25" s="337"/>
      <c r="BZ25" s="337"/>
      <c r="CA25" s="336"/>
    </row>
    <row r="26" spans="1:82" ht="12" customHeight="1" x14ac:dyDescent="0.25">
      <c r="A26" s="426" t="s">
        <v>395</v>
      </c>
      <c r="B26" s="293" t="e">
        <f>IF(NOT(ISBLANK(D26)),D26,DGET('Grid Numbers'!$A$2:$L$4952,'Grid Numbers'!$I$2,$B$66:$H$67))</f>
        <v>#VALUE!</v>
      </c>
      <c r="C26" s="598"/>
      <c r="D26" s="486"/>
      <c r="G26" s="747" t="s">
        <v>415</v>
      </c>
      <c r="H26" s="735"/>
      <c r="I26" s="335"/>
      <c r="L26" s="308"/>
      <c r="M26" s="307"/>
      <c r="Q26" s="747" t="s">
        <v>416</v>
      </c>
      <c r="R26" s="735"/>
      <c r="U26" s="486"/>
      <c r="V26" s="581"/>
      <c r="W26" s="471" t="e">
        <f>IF(NOT(ISBLANK(U26)),U26,DGET('Grid Numbers'!$A$2:$L$4952,'Grid Numbers'!$I$2,$B$74:$H$75))</f>
        <v>#VALUE!</v>
      </c>
      <c r="X26" s="423" t="s">
        <v>395</v>
      </c>
      <c r="AA26" s="593"/>
      <c r="AB26" s="593"/>
      <c r="AC26" s="318">
        <v>1</v>
      </c>
      <c r="AD26" s="317" t="s">
        <v>417</v>
      </c>
      <c r="AE26" s="325" t="e">
        <f>IF(AND($AS$24+'SHL Section'!$AI$8&gt;0,$AN$24+'SHL Section'!$AK$8&gt;0),$AE$24+'SHL Section'!$AI$8,"")</f>
        <v>#VALUE!</v>
      </c>
      <c r="AF26" s="325" t="e">
        <f>IF(AND($AS$24+'SHL Section'!$AI$8&gt;0,$AN$24+'SHL Section'!$AK$8&gt;0),$AF$24+'SHL Section'!$AK$8,"")</f>
        <v>#VALUE!</v>
      </c>
      <c r="AG26" s="324" t="e">
        <f>IF($AE$26="","",$AY$26+$AE$26)</f>
        <v>#VALUE!</v>
      </c>
      <c r="AH26" s="324" t="e">
        <f>IF($AF$26="","",$AZ$26+$AF$26)</f>
        <v>#VALUE!</v>
      </c>
      <c r="AI26" s="324" t="e">
        <f>IF($AE$26="","",$BG$26+$AY$26+$AE$26)</f>
        <v>#VALUE!</v>
      </c>
      <c r="AJ26" s="324" t="e">
        <f>IF($AF$26="","",$AZ$26+$BH$26+$AF$26)</f>
        <v>#VALUE!</v>
      </c>
      <c r="AK26" s="324" t="e">
        <f>IF($AE$26="","",$BW$26+$AE$26)</f>
        <v>#VALUE!</v>
      </c>
      <c r="AL26" s="324" t="e">
        <f>IF($AF$26="","",$AF$26+$BX$26)</f>
        <v>#VALUE!</v>
      </c>
      <c r="AM26" s="324" t="e">
        <f>IF($AE$26="","",$AW$22+$AE$26)</f>
        <v>#VALUE!</v>
      </c>
      <c r="AN26" s="324" t="e">
        <f>IF($AF$26="","",$AX$22+$AF$26)</f>
        <v>#VALUE!</v>
      </c>
      <c r="AO26" s="324" t="e">
        <f>IF($AE$26="","",$AY$26+$AE$26+$BE$22)</f>
        <v>#VALUE!</v>
      </c>
      <c r="AP26" s="324" t="e">
        <f>IF($AF$26="","",$AZ$26+$AF$26+$BF$22)</f>
        <v>#VALUE!</v>
      </c>
      <c r="AQ26" s="324" t="e">
        <f>IF($AE$26="","",$BW$26+$AE$26+$BQ$22)</f>
        <v>#VALUE!</v>
      </c>
      <c r="AR26" s="324" t="e">
        <f>IF($AF$26="","",$AF$26+$BX$26+$BR$22)</f>
        <v>#VALUE!</v>
      </c>
      <c r="AS26" s="324" t="e">
        <f>IF($AE$26="","",$BY$22+$AE$26)</f>
        <v>#VALUE!</v>
      </c>
      <c r="AT26" s="324" t="e">
        <f>IF($AF$26="","",$AF$26+$BZ$22)</f>
        <v>#VALUE!</v>
      </c>
      <c r="AU26" s="333"/>
      <c r="AV26" s="296"/>
      <c r="AY26" s="638" t="e">
        <f>AW22+BA22</f>
        <v>#VALUE!</v>
      </c>
      <c r="AZ26" s="639" t="e">
        <f>AX22+BB22</f>
        <v>#VALUE!</v>
      </c>
      <c r="BC26" s="334"/>
      <c r="BD26" s="296"/>
      <c r="BG26" s="638" t="e">
        <f>BE22+BI22</f>
        <v>#VALUE!</v>
      </c>
      <c r="BH26" s="639" t="e">
        <f>BF22+BJ22</f>
        <v>#VALUE!</v>
      </c>
      <c r="BK26" s="334"/>
      <c r="BL26" s="296"/>
      <c r="BO26" s="638" t="e">
        <f>BM22+BQ22</f>
        <v>#VALUE!</v>
      </c>
      <c r="BP26" s="639" t="e">
        <f>BN22+BR22</f>
        <v>#VALUE!</v>
      </c>
      <c r="BS26" s="334"/>
      <c r="BT26" s="296"/>
      <c r="BW26" s="638" t="e">
        <f>BU22+BY22</f>
        <v>#VALUE!</v>
      </c>
      <c r="BX26" s="639" t="e">
        <f>BV22+BZ22</f>
        <v>#VALUE!</v>
      </c>
      <c r="BZ26" s="596"/>
      <c r="CA26" s="334"/>
    </row>
    <row r="27" spans="1:82" ht="12" customHeight="1" x14ac:dyDescent="0.25">
      <c r="A27" s="426" t="s">
        <v>398</v>
      </c>
      <c r="B27" s="293" t="e">
        <f>IF(NOT(ISBLANK(D27)),D27,DGET('Grid Numbers'!$A$2:$L$4952,'Grid Numbers'!$J$2,$B$66:$H$67))</f>
        <v>#VALUE!</v>
      </c>
      <c r="C27" s="598"/>
      <c r="D27" s="486"/>
      <c r="G27" s="313" t="str">
        <f>IF(ISNUMBER($AG$58),$B$8,"")</f>
        <v/>
      </c>
      <c r="H27" s="312" t="str">
        <f>IF(AND(G28="",G29=""),"",IF($AG$58=1,"NE/NW",IF($AG$58=2,"NW/NW",IF($AG$58=3,"SW/NW",IF($AG$58=4,"SE/NW","")))))</f>
        <v/>
      </c>
      <c r="L27" s="308"/>
      <c r="M27" s="307"/>
      <c r="Q27" s="332" t="str">
        <f>IF(ISNUMBER($AE$58),$B$8,"")</f>
        <v/>
      </c>
      <c r="R27" s="312" t="str">
        <f>IF(AND(Q28="",Q29=""),"",IF($AE$58=1,"NE/NE",IF($AE$58=2,"NW/NE",IF($AE$58=3,"SW/NE",IF($AE$58=4,"SE/NE","")))))</f>
        <v/>
      </c>
      <c r="U27" s="486"/>
      <c r="V27" s="581"/>
      <c r="W27" s="471" t="e">
        <f>IF(NOT(ISBLANK(U27)),U27,DGET('Grid Numbers'!$A$2:$L$4952,'Grid Numbers'!$J$2,$B$74:$H$75))</f>
        <v>#VALUE!</v>
      </c>
      <c r="X27" s="423" t="s">
        <v>398</v>
      </c>
      <c r="AA27" s="593"/>
      <c r="AB27" s="593"/>
      <c r="AC27" s="318">
        <v>2</v>
      </c>
      <c r="AD27" s="317" t="s">
        <v>417</v>
      </c>
      <c r="AE27" s="324" t="e">
        <f>IF($AG$27="","",$AG$27-$AY$26)</f>
        <v>#VALUE!</v>
      </c>
      <c r="AF27" s="324" t="e">
        <f>IF($AH$27="","",$AH$27-$AZ$26)</f>
        <v>#VALUE!</v>
      </c>
      <c r="AG27" s="325" t="e">
        <f>IF(AND($AO$24+'SHL Section'!$AI$8&gt;0,$AN$24+'SHL Section'!$AK$8&lt;0),$AG$24+'SHL Section'!$AI$8,"")</f>
        <v>#VALUE!</v>
      </c>
      <c r="AH27" s="325" t="e">
        <f>IF(AND($AO$24+'SHL Section'!$AI$8&gt;0,$AN$24+'SHL Section'!$AK$8&lt;0),$AH$24+'SHL Section'!$AK$8,"")</f>
        <v>#VALUE!</v>
      </c>
      <c r="AI27" s="324" t="e">
        <f>IF($AG$27="","",$BG$26+$AG$27)</f>
        <v>#VALUE!</v>
      </c>
      <c r="AJ27" s="324" t="e">
        <f>IF($AH$27="","",$AH$27+$BH$26)</f>
        <v>#VALUE!</v>
      </c>
      <c r="AK27" s="324" t="e">
        <f>IF($AG$27="","",$AG$27-$AY$26+$BW$26)</f>
        <v>#VALUE!</v>
      </c>
      <c r="AL27" s="324" t="e">
        <f>IF($AH$27="","",$AH$27-$AZ$26+$BX$26)</f>
        <v>#VALUE!</v>
      </c>
      <c r="AM27" s="324" t="e">
        <f>IF($AG$27="","",$AG$27-$BA$22)</f>
        <v>#VALUE!</v>
      </c>
      <c r="AN27" s="324" t="e">
        <f>IF($AH$27="","",AH$27-$BB$22)</f>
        <v>#VALUE!</v>
      </c>
      <c r="AO27" s="324" t="e">
        <f>IF($AG$27="","",$BE$22+$AG$27)</f>
        <v>#VALUE!</v>
      </c>
      <c r="AP27" s="324" t="e">
        <f>IF($AH$27="","",$AH$27+$BF$22)</f>
        <v>#VALUE!</v>
      </c>
      <c r="AQ27" s="324" t="e">
        <f>IF($AG$27="","",$BG$26+$AG$27-$BM$22)</f>
        <v>#VALUE!</v>
      </c>
      <c r="AR27" s="324" t="e">
        <f>IF($AH$27="","",$AH$27+$BH$26-$BN$22)</f>
        <v>#VALUE!</v>
      </c>
      <c r="AS27" s="324" t="e">
        <f>IF($AG$27="","",$AG$27-$AY$26+$BY$22)</f>
        <v>#VALUE!</v>
      </c>
      <c r="AT27" s="324" t="e">
        <f>IF($AH$27="","",$AH$27-$AZ$26+$BZ$22)</f>
        <v>#VALUE!</v>
      </c>
      <c r="AU27" s="333"/>
      <c r="BZ27" s="596"/>
      <c r="CA27" s="596"/>
    </row>
    <row r="28" spans="1:82" ht="12" customHeight="1" x14ac:dyDescent="0.25">
      <c r="A28" s="426" t="s">
        <v>410</v>
      </c>
      <c r="B28" s="293" t="e">
        <f>IF(NOT(ISBLANK(D28)),D28,DGET('Grid Numbers'!$A$2:$L$4952,'Grid Numbers'!$K$2,$B$66:$H$67))</f>
        <v>#VALUE!</v>
      </c>
      <c r="C28" s="598"/>
      <c r="D28" s="487"/>
      <c r="G28" s="310" t="str">
        <f>IF(ISNUMBER($AG$58),$I$8,"")</f>
        <v/>
      </c>
      <c r="H28" s="309" t="str">
        <f>IF(ISNUMBER($AG$58),"FNL","")</f>
        <v/>
      </c>
      <c r="J28" s="596"/>
      <c r="K28" s="596"/>
      <c r="L28" s="308"/>
      <c r="M28" s="307"/>
      <c r="Q28" s="310" t="str">
        <f>IF(ISNUMBER($AE$58),$I$8,"")</f>
        <v/>
      </c>
      <c r="R28" s="309" t="str">
        <f>IF(ISNUMBER($AE$58),"FNL","")</f>
        <v/>
      </c>
      <c r="U28" s="487"/>
      <c r="V28" s="581"/>
      <c r="W28" s="471" t="e">
        <f>IF(NOT(ISBLANK(U28)),U28,DGET('Grid Numbers'!$A$2:$L$4952,'Grid Numbers'!$K$2,$B$74:$H$75))</f>
        <v>#VALUE!</v>
      </c>
      <c r="X28" s="423" t="s">
        <v>410</v>
      </c>
      <c r="AA28" s="593"/>
      <c r="AB28" s="593"/>
      <c r="AC28" s="318">
        <v>3</v>
      </c>
      <c r="AD28" s="317" t="s">
        <v>417</v>
      </c>
      <c r="AE28" s="324" t="e">
        <f>IF($AI$28="","",$AI$28-$BG$26-$AY$26)</f>
        <v>#VALUE!</v>
      </c>
      <c r="AF28" s="326" t="e">
        <f>IF($AJ$28="","",$AJ$28-$BH$26-$AZ$26)</f>
        <v>#VALUE!</v>
      </c>
      <c r="AG28" s="324" t="e">
        <f>IF($AI$28="","",$AI$28-$BG$26)</f>
        <v>#VALUE!</v>
      </c>
      <c r="AH28" s="324" t="e">
        <f>IF($AJ$28="","",$AJ$28-$BH$26)</f>
        <v>#VALUE!</v>
      </c>
      <c r="AI28" s="325" t="e">
        <f>IF(AND($AO$24+'SHL Section'!$AI$8&lt;0,$AR$24+'SHL Section'!$AK$8&lt;0),$AI$24+'SHL Section'!$AI$8,"")</f>
        <v>#VALUE!</v>
      </c>
      <c r="AJ28" s="325" t="e">
        <f>IF(AND($AO$24+'SHL Section'!$AI$8&lt;0,$AR$24+'SHL Section'!$AK$8&lt;0),$AJ$24+'SHL Section'!$AK$8,"")</f>
        <v>#VALUE!</v>
      </c>
      <c r="AK28" s="324" t="e">
        <f>IF($AI$28="","",$AI$28-$BO$26)</f>
        <v>#VALUE!</v>
      </c>
      <c r="AL28" s="324" t="e">
        <f>IF($AJ$28="","",$AJ$28-$BP$26)</f>
        <v>#VALUE!</v>
      </c>
      <c r="AM28" s="324" t="e">
        <f>IF($AI$28="","",$AI$28-$BG$26-$BA$26)</f>
        <v>#VALUE!</v>
      </c>
      <c r="AN28" s="324" t="e">
        <f>IF($AJ$28="","",$AJ$28-$BH$26-$BB$26)</f>
        <v>#VALUE!</v>
      </c>
      <c r="AO28" s="324" t="e">
        <f>IF($AI$28="","",$AI$28-$BI$26)</f>
        <v>#VALUE!</v>
      </c>
      <c r="AP28" s="324" t="e">
        <f>IF($AJ$28="","",$AJ$28-$BJ$26)</f>
        <v>#VALUE!</v>
      </c>
      <c r="AQ28" s="324" t="e">
        <f>IF($AI$28="","",$AI$28-$BM$26)</f>
        <v>#VALUE!</v>
      </c>
      <c r="AR28" s="324" t="e">
        <f>IF($AJ$28="","",$AJ$28-$BN$26)</f>
        <v>#VALUE!</v>
      </c>
      <c r="AS28" s="324" t="e">
        <f>IF($AI$28="","",$AI$28-$BO$26-$BU$26)</f>
        <v>#VALUE!</v>
      </c>
      <c r="AT28" s="324" t="e">
        <f>IF($AJ$28="","",$AJ$28-$BP$26-$BV$22)</f>
        <v>#VALUE!</v>
      </c>
      <c r="AU28" s="333" t="s">
        <v>418</v>
      </c>
      <c r="AV28" s="645" t="e">
        <f>$AW$19/($AV$19^2+$AW$19^2)^0.5</f>
        <v>#VALUE!</v>
      </c>
      <c r="AW28" s="645"/>
      <c r="AX28" s="645" t="e">
        <f>$AY$19/($AX$19^2+$AY$19^2)^0.5</f>
        <v>#VALUE!</v>
      </c>
      <c r="AY28" s="636"/>
      <c r="AZ28" s="645" t="e">
        <f>$BA$19/($AZ$19^2+$BA$19^2)^0.5</f>
        <v>#VALUE!</v>
      </c>
      <c r="BA28" s="645"/>
      <c r="BB28" s="645" t="e">
        <f>$BC$19/($BB$19^2+$BC$19^2)^0.5</f>
        <v>#VALUE!</v>
      </c>
      <c r="BC28" s="636"/>
      <c r="BD28" s="645" t="e">
        <f>$BD$19/($BD$19^2+$BE$19^2)^0.5</f>
        <v>#VALUE!</v>
      </c>
      <c r="BE28" s="645"/>
      <c r="BF28" s="645" t="e">
        <f>$BF$19/($BF$19^2+$BG$19^2)^0.5</f>
        <v>#VALUE!</v>
      </c>
      <c r="BG28" s="636"/>
      <c r="BH28" s="645" t="e">
        <f>$BH$19/($BH$19^2+$BI$19^2)^0.5</f>
        <v>#VALUE!</v>
      </c>
      <c r="BI28" s="645"/>
      <c r="BJ28" s="645" t="e">
        <f>$BJ$19/($BJ$19^2+$BK$19^2)^0.5</f>
        <v>#VALUE!</v>
      </c>
      <c r="BK28" s="636"/>
      <c r="BL28" s="645" t="e">
        <f>$BM$19/($BL$19^2+$BM$19^2)^0.5</f>
        <v>#VALUE!</v>
      </c>
      <c r="BM28" s="645"/>
      <c r="BN28" s="645" t="e">
        <f>$BO$19/($BN$19^2+$BO$19^2)^0.5</f>
        <v>#VALUE!</v>
      </c>
      <c r="BO28" s="636"/>
      <c r="BP28" s="645" t="e">
        <f>$BQ$19/($BP$19^2+$BQ$19^2)^0.5</f>
        <v>#VALUE!</v>
      </c>
      <c r="BQ28" s="645"/>
      <c r="BR28" s="645" t="e">
        <f>$BS$19/($BR$19^2+$BS$19^2)^0.5</f>
        <v>#VALUE!</v>
      </c>
      <c r="BS28" s="636"/>
      <c r="BT28" s="645" t="e">
        <f>$BT$19/($BT$19^2+$BU$19^2)^0.5</f>
        <v>#VALUE!</v>
      </c>
      <c r="BU28" s="645"/>
      <c r="BV28" s="645" t="e">
        <f>$BV$19/($BV$19^2+$BW$19^2)^0.5</f>
        <v>#VALUE!</v>
      </c>
      <c r="BW28" s="636"/>
      <c r="BX28" s="645" t="e">
        <f>$BX$19/($BX$19^2+$BY$19^2)^0.5</f>
        <v>#VALUE!</v>
      </c>
      <c r="BY28" s="645"/>
      <c r="BZ28" s="645" t="e">
        <f>$BZ$19/($BZ$19^2+$CA$19^2)^0.5</f>
        <v>#VALUE!</v>
      </c>
      <c r="CA28" s="636"/>
    </row>
    <row r="29" spans="1:82" ht="12" customHeight="1" x14ac:dyDescent="0.25">
      <c r="A29" s="426" t="s">
        <v>411</v>
      </c>
      <c r="B29" s="319" t="e">
        <f>IF(NOT(ISBLANK(D29)),D29,DGET('Grid Numbers'!$A$2:$L$4952,'Grid Numbers'!$L$2,$B$66:$H$67))</f>
        <v>#VALUE!</v>
      </c>
      <c r="C29" s="598"/>
      <c r="D29" s="490"/>
      <c r="G29" s="306" t="str">
        <f>IF(ISNUMBER($AG$58),$K$8,"")</f>
        <v/>
      </c>
      <c r="H29" s="305" t="str">
        <f>IF(ISNUMBER($AG$58),"FWL","")</f>
        <v/>
      </c>
      <c r="J29" s="596"/>
      <c r="K29" s="596"/>
      <c r="L29" s="308"/>
      <c r="M29" s="307"/>
      <c r="Q29" s="306" t="str">
        <f>IF(ISNUMBER($AE$58),$K$8,"")</f>
        <v/>
      </c>
      <c r="R29" s="305" t="str">
        <f>IF(ISNUMBER($AE$58),"FEL","")</f>
        <v/>
      </c>
      <c r="U29" s="490"/>
      <c r="V29" s="581"/>
      <c r="W29" s="319" t="e">
        <f>IF(NOT(ISBLANK(U29)),U29,DGET('Grid Numbers'!$A$2:$L$4952,'Grid Numbers'!$L$2,$B$74:$H$75))</f>
        <v>#VALUE!</v>
      </c>
      <c r="X29" s="423" t="s">
        <v>411</v>
      </c>
      <c r="AA29" s="593"/>
      <c r="AB29" s="593"/>
      <c r="AC29" s="466">
        <v>4</v>
      </c>
      <c r="AD29" s="591" t="s">
        <v>417</v>
      </c>
      <c r="AE29" s="322" t="e">
        <f>IF($AK$29="","",$AK$29-$BW$26)</f>
        <v>#VALUE!</v>
      </c>
      <c r="AF29" s="322" t="e">
        <f>IF($AL$29="","",$AL$29-$BX$26)</f>
        <v>#VALUE!</v>
      </c>
      <c r="AG29" s="322" t="e">
        <f>IF($AK$29="","",$AK$29+$BO$26-$BG$26)</f>
        <v>#VALUE!</v>
      </c>
      <c r="AH29" s="322" t="e">
        <f>IF($AL$29="","",$AL$29+$BP$26+$BH$26)</f>
        <v>#VALUE!</v>
      </c>
      <c r="AI29" s="322" t="e">
        <f>IF($AK$29="","",$AK$29+$BO$26)</f>
        <v>#VALUE!</v>
      </c>
      <c r="AJ29" s="322" t="e">
        <f>IF($AL$29="","",$AL$29+$BP$26)</f>
        <v>#VALUE!</v>
      </c>
      <c r="AK29" s="323" t="e">
        <f>IF(AND($AS$24+'SHL Section'!$AI$8&lt;0,$AR$24+'SHL Section'!$AK$8&gt;0),$AK$24+'SHL Section'!$AI$8,"")</f>
        <v>#VALUE!</v>
      </c>
      <c r="AL29" s="323" t="e">
        <f>IF(AND($AS$24+'SHL Section'!$AI$8&lt;0,$AR$24+'SHL Section'!$AK$8&gt;0),$AL$24+'SHL Section'!$AK$8,"")</f>
        <v>#VALUE!</v>
      </c>
      <c r="AM29" s="322" t="e">
        <f>IF($AK$29="","",$AK$29-$BW$26+$AW$22)</f>
        <v>#VALUE!</v>
      </c>
      <c r="AN29" s="322" t="e">
        <f>IF($AL$29="","",$AL$29-$BX$26+$AX$22)</f>
        <v>#VALUE!</v>
      </c>
      <c r="AO29" s="322" t="e">
        <f>IF($AK$29="","",$AK$29+$BO$26-$BI$22)</f>
        <v>#VALUE!</v>
      </c>
      <c r="AP29" s="322" t="e">
        <f>IF($AL$29="","",$AL$29+$BP$26-$BJ$22)</f>
        <v>#VALUE!</v>
      </c>
      <c r="AQ29" s="322" t="e">
        <f>IF($AK$29="","",$AK$29+$BQ$22)</f>
        <v>#VALUE!</v>
      </c>
      <c r="AR29" s="322" t="e">
        <f>IF($AL$29="","",$AL$29+$BR$22)</f>
        <v>#VALUE!</v>
      </c>
      <c r="AS29" s="322" t="e">
        <f>IF($AK$29="","",$AK$29-$BU$22)</f>
        <v>#VALUE!</v>
      </c>
      <c r="AT29" s="322" t="e">
        <f>IF($AL$29="","",$AL$29-$BV$22)</f>
        <v>#VALUE!</v>
      </c>
      <c r="AV29" s="636"/>
      <c r="AW29" s="636"/>
      <c r="AX29" s="636"/>
      <c r="AY29" s="636"/>
      <c r="AZ29" s="636"/>
      <c r="BA29" s="636"/>
      <c r="BB29" s="636"/>
      <c r="BC29" s="636"/>
      <c r="BD29" s="636"/>
      <c r="BE29" s="636"/>
      <c r="BF29" s="636"/>
      <c r="BG29" s="636"/>
      <c r="BH29" s="636"/>
      <c r="BI29" s="636"/>
      <c r="BJ29" s="636"/>
      <c r="BK29" s="636"/>
      <c r="BL29" s="636"/>
      <c r="BM29" s="636"/>
      <c r="BN29" s="636"/>
      <c r="BO29" s="636"/>
      <c r="BP29" s="636"/>
      <c r="BQ29" s="636"/>
      <c r="BR29" s="636"/>
      <c r="BS29" s="636"/>
      <c r="BT29" s="636"/>
      <c r="BU29" s="636"/>
      <c r="BV29" s="636"/>
      <c r="BW29" s="636"/>
      <c r="BX29" s="636"/>
      <c r="BY29" s="636"/>
      <c r="BZ29" s="636"/>
      <c r="CA29" s="636"/>
    </row>
    <row r="30" spans="1:82" ht="12" customHeight="1" x14ac:dyDescent="0.25">
      <c r="A30" s="426" t="s">
        <v>412</v>
      </c>
      <c r="B30" s="643" t="e">
        <f>IF(AND($L$38='SHL Section'!$BE$52,MAX('BHL Section 2'!$BF$37:$BF$40)=4),'BHL Section 2'!$W$30,IF(AND($L$38='SHL Section'!$BE$55,MAX('BHL Section 2'!$BF$41:$BF$44)=4),'BHL Section 2'!$W$30,IF(AND($L$38='SHL Section'!$BE$58,MAX('BHL Section 2'!$BF$45:$BF$48)=4),'BHL Section 2'!$W$30,IF(B26="","",IF(OR(B29=1,B29=4),180-(B26+B27/60+B28/3600),180+(B26+B27/60+B28/3600))))))</f>
        <v>#VALUE!</v>
      </c>
      <c r="C30" s="598"/>
      <c r="G30" s="313" t="str">
        <f>IF(ISNUMBER($AG$69),$B$9,"")</f>
        <v/>
      </c>
      <c r="H30" s="312" t="str">
        <f>IF(AND(G31="",G32=""),"",IF($AG$69=1,"NE/NW",IF($AG$69=2,"NW/NW",IF($AG$69=3,"SW/NW",IF($AG$69=4,"SE/NW","")))))</f>
        <v/>
      </c>
      <c r="J30" s="424"/>
      <c r="K30" s="424"/>
      <c r="L30" s="308"/>
      <c r="M30" s="307"/>
      <c r="Q30" s="332" t="str">
        <f>IF(ISNUMBER($AE$69),$B$9,"")</f>
        <v/>
      </c>
      <c r="R30" s="312" t="str">
        <f>IF(AND(Q31="",Q32=""),"",IF($AE$69=1,"NE/NE",IF($AE$69=2,"NW/NE",IF($AE$69=3,"SW/NE",IF($AE$69=4,"SE/NE","")))))</f>
        <v/>
      </c>
      <c r="V30" s="581"/>
      <c r="W30" s="642" t="e">
        <f>IF(AND($L$38='SHL Section'!$BE$52,MAX('BHL Section 2'!$BF$37:$BF$40)=8),'BHL Section 2'!$B$30,IF(AND($L$38='SHL Section'!$BE$55,MAX('BHL Section 2'!$BF$41:$BF$44)=8),'BHL Section 2'!$B$30,IF(AND($L$38='SHL Section'!$BE$58,MAX('BHL Section 2'!$BF$45:$BF$48)=8),'BHL Section 2'!$B$30,IF(W26="","",IF(OR(W29=1,W29=4),180-(W26+W27/60+W28/3600),180+(W26+W27/60+W28/3600))))))</f>
        <v>#VALUE!</v>
      </c>
      <c r="X30" s="423" t="s">
        <v>412</v>
      </c>
      <c r="AA30" s="593"/>
      <c r="AB30" s="593"/>
      <c r="AC30" s="762"/>
      <c r="AD30" s="683"/>
      <c r="AE30" s="321" t="str">
        <f>IF(ISNUMBER($AE$26),AE$26,IF(ISNUMBER($AG$27),AE$27,IF(ISNUMBER($AI$28),AE$28,IF(ISNUMBER($AK$29),AE$29,""))))</f>
        <v/>
      </c>
      <c r="AF30" s="321" t="str">
        <f>IF(ISNUMBER($AF$26),AF$26,IF(ISNUMBER($AH$27),AF$27,IF(ISNUMBER($AJ$28),AF$28,IF(ISNUMBER($AL$29),AF$29,""))))</f>
        <v/>
      </c>
      <c r="AG30" s="321" t="str">
        <f>IF(ISNUMBER($AE$26),AG$26,IF(ISNUMBER($AG$27),AG$27,IF(ISNUMBER($AI$28),AG$28,IF(ISNUMBER($AK$29),AG$29,""))))</f>
        <v/>
      </c>
      <c r="AH30" s="321" t="str">
        <f>IF(ISNUMBER($AF$26),AH$26,IF(ISNUMBER($AH$27),AH$27,IF(ISNUMBER($AJ$28),AH$28,IF(ISNUMBER($AL$29),AH$29,""))))</f>
        <v/>
      </c>
      <c r="AI30" s="321" t="str">
        <f>IF(ISNUMBER($AE$26),AI$26,IF(ISNUMBER($AG$27),AI$27,IF(ISNUMBER($AI$28),AI$28,IF(ISNUMBER($AK$29),AI$29,""))))</f>
        <v/>
      </c>
      <c r="AJ30" s="321" t="str">
        <f>IF(ISNUMBER($AF$26),AJ$26,IF(ISNUMBER($AH$27),AJ$27,IF(ISNUMBER($AJ$28),AJ$28,IF(ISNUMBER($AL$29),AJ$29,""))))</f>
        <v/>
      </c>
      <c r="AK30" s="321" t="str">
        <f>IF(ISNUMBER($AE$26),AK$26,IF(ISNUMBER($AG$27),AK$27,IF(ISNUMBER($AI$28),AK$28,IF(ISNUMBER($AK$29),AK$29,""))))</f>
        <v/>
      </c>
      <c r="AL30" s="321" t="str">
        <f>IF(ISNUMBER($AF$26),AL$26,IF(ISNUMBER($AH$27),AL$27,IF(ISNUMBER($AJ$28),AL$28,IF(ISNUMBER($AL$29),AL$29,""))))</f>
        <v/>
      </c>
      <c r="AM30" s="321" t="str">
        <f>IF(ISNUMBER($AE$26),AM$26,IF(ISNUMBER($AG$27),AM$27,IF(ISNUMBER($AI$28),AM$28,IF(ISNUMBER($AK$29),AM$29,""))))</f>
        <v/>
      </c>
      <c r="AN30" s="321" t="str">
        <f>IF(ISNUMBER($AF$26),AN$26,IF(ISNUMBER($AH$27),AN$27,IF(ISNUMBER($AJ$28),AN$28,IF(ISNUMBER($AL$29),AN$29,""))))</f>
        <v/>
      </c>
      <c r="AO30" s="321" t="str">
        <f>IF(ISNUMBER($AE$26),AO$26,IF(ISNUMBER($AG$27),AO$27,IF(ISNUMBER($AI$28),AO$28,IF(ISNUMBER($AK$29),AO$29,""))))</f>
        <v/>
      </c>
      <c r="AP30" s="321" t="str">
        <f>IF(ISNUMBER($AF$26),AP$26,IF(ISNUMBER($AH$27),AP$27,IF(ISNUMBER($AJ$28),AP$28,IF(ISNUMBER($AL$29),AP$29,""))))</f>
        <v/>
      </c>
      <c r="AQ30" s="321" t="str">
        <f>IF(ISNUMBER($AE$26),AQ$26,IF(ISNUMBER($AG$27),AQ$27,IF(ISNUMBER($AI$28),AQ$28,IF(ISNUMBER($AK$29),AQ$29,""))))</f>
        <v/>
      </c>
      <c r="AR30" s="321" t="str">
        <f>IF(ISNUMBER($AF$26),AR$26,IF(ISNUMBER($AH$27),AR$27,IF(ISNUMBER($AJ$28),AR$28,IF(ISNUMBER($AL$29),AR$29,""))))</f>
        <v/>
      </c>
      <c r="AS30" s="321" t="str">
        <f>IF(ISNUMBER($AE$26),AS$26,IF(ISNUMBER($AG$27),AS$27,IF(ISNUMBER($AI$28),AS$28,IF(ISNUMBER($AK$29),AS$29,""))))</f>
        <v/>
      </c>
      <c r="AT30" s="321" t="str">
        <f>IF(ISNUMBER($AF$26),AT$26,IF(ISNUMBER($AH$27),AT$27,IF(ISNUMBER($AJ$28),AT$28,IF(ISNUMBER($AL$29),AT$29,""))))</f>
        <v/>
      </c>
      <c r="AV30" s="636"/>
      <c r="AW30" s="636"/>
      <c r="AX30" s="636"/>
      <c r="AY30" s="636"/>
      <c r="AZ30" s="636"/>
      <c r="BA30" s="636"/>
      <c r="BB30" s="636"/>
      <c r="BC30" s="636"/>
      <c r="BD30" s="636"/>
      <c r="BE30" s="636"/>
      <c r="BF30" s="636"/>
      <c r="BG30" s="636"/>
      <c r="BH30" s="636"/>
      <c r="BI30" s="636"/>
      <c r="BJ30" s="636"/>
      <c r="BK30" s="636"/>
      <c r="BL30" s="636"/>
      <c r="BM30" s="636"/>
      <c r="BN30" s="636"/>
      <c r="BO30" s="636"/>
      <c r="BP30" s="636"/>
      <c r="BQ30" s="636"/>
      <c r="BR30" s="636"/>
      <c r="BS30" s="636"/>
      <c r="BT30" s="636"/>
      <c r="BU30" s="636"/>
      <c r="BV30" s="636"/>
      <c r="BW30" s="636"/>
      <c r="BX30" s="636"/>
      <c r="BY30" s="636"/>
      <c r="BZ30" s="636"/>
      <c r="CA30" s="636"/>
    </row>
    <row r="31" spans="1:82" ht="12" customHeight="1" x14ac:dyDescent="0.25">
      <c r="C31" s="598"/>
      <c r="G31" s="310" t="str">
        <f>IF(ISNUMBER($AG$69),$I$9,"")</f>
        <v/>
      </c>
      <c r="H31" s="309" t="str">
        <f>IF(ISNUMBER($AG$69),"FNL","")</f>
        <v/>
      </c>
      <c r="J31" s="424"/>
      <c r="K31" s="424"/>
      <c r="L31" s="308"/>
      <c r="M31" s="307"/>
      <c r="Q31" s="310" t="str">
        <f>IF(ISNUMBER($AE$69),$I$9,"")</f>
        <v/>
      </c>
      <c r="R31" s="309" t="str">
        <f>IF(ISNUMBER($AE$69),"FNL","")</f>
        <v/>
      </c>
      <c r="V31" s="581"/>
      <c r="AA31" s="593"/>
      <c r="AB31" s="593"/>
      <c r="AC31" s="330"/>
      <c r="AD31" s="329"/>
      <c r="AE31" s="328"/>
      <c r="AF31" s="328"/>
      <c r="AG31" s="328"/>
      <c r="AH31" s="328"/>
      <c r="AI31" s="328"/>
      <c r="AJ31" s="328"/>
      <c r="AK31" s="328"/>
      <c r="AL31" s="328"/>
      <c r="AM31" s="328"/>
      <c r="AN31" s="328"/>
      <c r="AO31" s="328"/>
      <c r="AP31" s="328"/>
      <c r="AQ31" s="328"/>
      <c r="AR31" s="328"/>
      <c r="AS31" s="328"/>
      <c r="AT31" s="328"/>
      <c r="AV31" s="636"/>
      <c r="AW31" s="636"/>
      <c r="AX31" s="636"/>
      <c r="AY31" s="636"/>
      <c r="AZ31" s="636"/>
      <c r="BA31" s="636"/>
      <c r="BB31" s="636"/>
      <c r="BC31" s="636"/>
      <c r="BD31" s="636"/>
      <c r="BE31" s="636"/>
      <c r="BF31" s="636"/>
      <c r="BG31" s="636"/>
      <c r="BH31" s="636"/>
      <c r="BI31" s="636"/>
      <c r="BJ31" s="636"/>
      <c r="BK31" s="636"/>
      <c r="BL31" s="636"/>
      <c r="BM31" s="636"/>
      <c r="BN31" s="636"/>
      <c r="BO31" s="636"/>
      <c r="BP31" s="636"/>
      <c r="BQ31" s="636"/>
      <c r="BR31" s="636"/>
      <c r="BS31" s="636"/>
      <c r="BT31" s="636"/>
      <c r="BU31" s="636"/>
      <c r="BV31" s="636"/>
      <c r="BW31" s="636"/>
      <c r="BX31" s="636"/>
      <c r="BY31" s="636"/>
      <c r="BZ31" s="636"/>
      <c r="CA31" s="636"/>
    </row>
    <row r="32" spans="1:82" ht="12" customHeight="1" x14ac:dyDescent="0.25">
      <c r="B32" s="417" t="e">
        <f>B33</f>
        <v>#VALUE!</v>
      </c>
      <c r="C32" s="598"/>
      <c r="F32" s="596"/>
      <c r="G32" s="306" t="str">
        <f>IF(ISNUMBER($AG$69),$K$9,"")</f>
        <v/>
      </c>
      <c r="H32" s="305" t="str">
        <f>IF(ISNUMBER($AG$69),"FWL","")</f>
        <v/>
      </c>
      <c r="I32" s="425"/>
      <c r="J32" s="424"/>
      <c r="K32" s="424"/>
      <c r="L32" s="308"/>
      <c r="M32" s="307"/>
      <c r="Q32" s="306" t="str">
        <f>IF(ISNUMBER($AE$69),$K$9,"")</f>
        <v/>
      </c>
      <c r="R32" s="305" t="str">
        <f>IF(ISNUMBER($AE$69),"FEL","")</f>
        <v/>
      </c>
      <c r="V32" s="581"/>
      <c r="W32" s="425" t="e">
        <f>W33</f>
        <v>#VALUE!</v>
      </c>
      <c r="AA32" s="593"/>
      <c r="AB32" s="593"/>
      <c r="AC32" s="318">
        <v>1</v>
      </c>
      <c r="AD32" s="317" t="s">
        <v>419</v>
      </c>
      <c r="AE32" s="325" t="e">
        <f>IF(AND($AS$24+'SHL Section'!$AI$9&gt;0,$AN$24+'SHL Section'!$AK$9&gt;0),$AE$24+'SHL Section'!$AI$9,"")</f>
        <v>#VALUE!</v>
      </c>
      <c r="AF32" s="325" t="e">
        <f>IF(AND($AS$24+'SHL Section'!$AI$9&gt;0,$AN$24+'SHL Section'!$AK$9&gt;0),$AF$24+'SHL Section'!$AK$9,"")</f>
        <v>#VALUE!</v>
      </c>
      <c r="AG32" s="324" t="e">
        <f>IF($AE$32="","",$AY$26+$AE$32)</f>
        <v>#VALUE!</v>
      </c>
      <c r="AH32" s="324" t="e">
        <f>IF($AF$32="","",$AZ$26+$AF$32)</f>
        <v>#VALUE!</v>
      </c>
      <c r="AI32" s="324" t="e">
        <f>IF($AE$32="","",$BG$26+$AY$26+$AE$32)</f>
        <v>#VALUE!</v>
      </c>
      <c r="AJ32" s="324" t="e">
        <f>IF($AF$32="","",$AZ$26+$BH$26+$AF$32)</f>
        <v>#VALUE!</v>
      </c>
      <c r="AK32" s="324" t="e">
        <f>IF($AE$32="","",$BW$26+$AE$32)</f>
        <v>#VALUE!</v>
      </c>
      <c r="AL32" s="324" t="e">
        <f>IF($AF$32="","",$AF$32+$BX$26)</f>
        <v>#VALUE!</v>
      </c>
      <c r="AM32" s="324" t="e">
        <f>IF($AE$32="","",$AW$22+$AE$32)</f>
        <v>#VALUE!</v>
      </c>
      <c r="AN32" s="324" t="e">
        <f>IF($AF$32="","",$AX$22+$AF$32)</f>
        <v>#VALUE!</v>
      </c>
      <c r="AO32" s="324" t="e">
        <f>IF($AE$32="","",$AY$26+$AE$32+$BE$22)</f>
        <v>#VALUE!</v>
      </c>
      <c r="AP32" s="324" t="e">
        <f>IF($AF$32="","",$AZ$26+$AF$32+$BF$22)</f>
        <v>#VALUE!</v>
      </c>
      <c r="AQ32" s="324" t="e">
        <f>IF($AE$32="","",$BW$26+$AE$32+$BQ$22)</f>
        <v>#VALUE!</v>
      </c>
      <c r="AR32" s="324" t="e">
        <f>IF($AF$32="","",$AF$32+$BX$26+$BR$22)</f>
        <v>#VALUE!</v>
      </c>
      <c r="AS32" s="324" t="e">
        <f>IF($AE$32="","",$BY$22+$AE$32)</f>
        <v>#VALUE!</v>
      </c>
      <c r="AT32" s="324" t="e">
        <f>IF($AF$32="","",$AF$32+$BZ$22)</f>
        <v>#VALUE!</v>
      </c>
      <c r="AV32" s="636"/>
      <c r="AW32" s="636"/>
      <c r="AX32" s="636"/>
      <c r="AY32" s="636"/>
      <c r="AZ32" s="636"/>
      <c r="BA32" s="636"/>
      <c r="BB32" s="636"/>
      <c r="BC32" s="636"/>
      <c r="BD32" s="636"/>
      <c r="BE32" s="636"/>
      <c r="BF32" s="636"/>
      <c r="BG32" s="636"/>
      <c r="BH32" s="636"/>
      <c r="BI32" s="636"/>
      <c r="BJ32" s="636"/>
      <c r="BK32" s="636"/>
      <c r="BL32" s="636"/>
      <c r="BM32" s="636"/>
      <c r="BN32" s="636"/>
      <c r="BO32" s="636"/>
      <c r="BP32" s="636"/>
      <c r="BQ32" s="636"/>
      <c r="BR32" s="636"/>
      <c r="BS32" s="636"/>
      <c r="BT32" s="636"/>
      <c r="BU32" s="636"/>
      <c r="BV32" s="636"/>
      <c r="BW32" s="636"/>
      <c r="BX32" s="636"/>
      <c r="BY32" s="636"/>
      <c r="BZ32" s="636"/>
      <c r="CA32" s="636"/>
    </row>
    <row r="33" spans="1:79" ht="12" customHeight="1" x14ac:dyDescent="0.25">
      <c r="A33" s="426" t="s">
        <v>385</v>
      </c>
      <c r="B33" s="301" t="e">
        <f>IF(NOT(ISBLANK(D33)),D33,DGET('Grid Numbers'!$A$2:$L$4952,'Grid Numbers'!$H$2,$B$68:$H$69))</f>
        <v>#VALUE!</v>
      </c>
      <c r="C33" s="598"/>
      <c r="D33" s="486"/>
      <c r="G33" s="313" t="str">
        <f>IF(ISNUMBER($AG$80),$B$10,"")</f>
        <v/>
      </c>
      <c r="H33" s="312" t="str">
        <f>IF(AND(G34="",G35=""),"",IF($AG$80=1,"NE/NW",IF($AG$80=2,"NW/NW",IF($AG$80=3,"SW/NW",IF($AG$80=4,"SE/NW","")))))</f>
        <v/>
      </c>
      <c r="J33" s="424"/>
      <c r="K33" s="424"/>
      <c r="L33" s="308"/>
      <c r="M33" s="307"/>
      <c r="Q33" s="332" t="str">
        <f>IF(ISNUMBER($AE$80),$B$10,"")</f>
        <v/>
      </c>
      <c r="R33" s="312" t="str">
        <f>IF(AND(Q34="",Q35=""),"",IF($AE$80=1,"NE/NE",IF($AE$80=2,"NW/NE",IF($AE$80=3,"SW/NE",IF($AE$80=4,"SE/NE","")))))</f>
        <v/>
      </c>
      <c r="S33" s="425"/>
      <c r="T33" s="424"/>
      <c r="U33" s="486"/>
      <c r="V33" s="581"/>
      <c r="W33" s="301" t="e">
        <f>IF(NOT(ISBLANK(U33)),U33,DGET('Grid Numbers'!$A$2:$L$4952,'Grid Numbers'!$H$2,$B$76:$H$77))</f>
        <v>#VALUE!</v>
      </c>
      <c r="X33" s="423" t="s">
        <v>385</v>
      </c>
      <c r="AA33" s="593"/>
      <c r="AB33" s="593"/>
      <c r="AC33" s="318">
        <v>2</v>
      </c>
      <c r="AD33" s="317" t="s">
        <v>419</v>
      </c>
      <c r="AE33" s="324" t="e">
        <f>IF($AG$33="","",$AG$33-$AY$26)</f>
        <v>#VALUE!</v>
      </c>
      <c r="AF33" s="324" t="e">
        <f>IF($AH$33="","",$AH$33-$AZ$26)</f>
        <v>#VALUE!</v>
      </c>
      <c r="AG33" s="325" t="e">
        <f>IF(AND($AO$24+'SHL Section'!$AI$9&gt;0,$AN$24+'SHL Section'!$AK$9&lt;0),$AG$24+'SHL Section'!$AI$9,"")</f>
        <v>#VALUE!</v>
      </c>
      <c r="AH33" s="325" t="e">
        <f>IF(AND($AO$24+'SHL Section'!$AI$9&gt;0,$AN$24+'SHL Section'!$AK$9&lt;0),$AH$24+'SHL Section'!$AK$9,"")</f>
        <v>#VALUE!</v>
      </c>
      <c r="AI33" s="324" t="e">
        <f>IF($AG$33="","",$BG$26+$AG$33)</f>
        <v>#VALUE!</v>
      </c>
      <c r="AJ33" s="324" t="e">
        <f>IF($AH$33="","",$AH$33+$BH$26)</f>
        <v>#VALUE!</v>
      </c>
      <c r="AK33" s="324" t="e">
        <f>IF($AG$33="","",$AG$33-$AY$26+$BW$26)</f>
        <v>#VALUE!</v>
      </c>
      <c r="AL33" s="324" t="e">
        <f>IF($AH$33="","",$AH$33-$AZ$26+$BX$26)</f>
        <v>#VALUE!</v>
      </c>
      <c r="AM33" s="324" t="e">
        <f>IF($AG$33="","",$AG$33-$BA$22)</f>
        <v>#VALUE!</v>
      </c>
      <c r="AN33" s="324" t="e">
        <f>IF($AH$33="","",AH$33-$BB$22)</f>
        <v>#VALUE!</v>
      </c>
      <c r="AO33" s="324" t="e">
        <f>IF($AG$33="","",$BE$22+$AG$33)</f>
        <v>#VALUE!</v>
      </c>
      <c r="AP33" s="324" t="e">
        <f>IF($AH$33="","",$AH$33+$BF$22)</f>
        <v>#VALUE!</v>
      </c>
      <c r="AQ33" s="324" t="e">
        <f>IF($AG$33="","",$BG$26+$AG$33-$BM$22)</f>
        <v>#VALUE!</v>
      </c>
      <c r="AR33" s="324" t="e">
        <f>IF($AH$33="","",$AH$33+$BH$26-$BN$22)</f>
        <v>#VALUE!</v>
      </c>
      <c r="AS33" s="324" t="e">
        <f>IF($AG$33="","",$AG$33-$AY$26+$BY$22)</f>
        <v>#VALUE!</v>
      </c>
      <c r="AT33" s="324" t="e">
        <f>IF($AH$33="","",$AH$33-$AZ$26+$BZ$22)</f>
        <v>#VALUE!</v>
      </c>
    </row>
    <row r="34" spans="1:79" ht="12" customHeight="1" x14ac:dyDescent="0.25">
      <c r="A34" s="426" t="s">
        <v>395</v>
      </c>
      <c r="B34" s="294" t="e">
        <f>IF(NOT(ISBLANK(D34)),D34,DGET('Grid Numbers'!$A$2:$L$4952,'Grid Numbers'!$I$2,$B$68:$H$69))</f>
        <v>#VALUE!</v>
      </c>
      <c r="C34" s="598"/>
      <c r="D34" s="486"/>
      <c r="G34" s="310" t="str">
        <f>IF(ISNUMBER($AG$80),$I$10,"")</f>
        <v/>
      </c>
      <c r="H34" s="309" t="str">
        <f>IF(ISNUMBER($AG$80),"FNL","")</f>
        <v/>
      </c>
      <c r="J34" s="424"/>
      <c r="K34" s="424"/>
      <c r="L34" s="308"/>
      <c r="M34" s="307"/>
      <c r="Q34" s="310" t="str">
        <f>IF(ISNUMBER($AE$80),$I$10,"")</f>
        <v/>
      </c>
      <c r="R34" s="309" t="str">
        <f>IF(ISNUMBER($AE$80),"FNL","")</f>
        <v/>
      </c>
      <c r="S34" s="425"/>
      <c r="T34" s="424"/>
      <c r="U34" s="486"/>
      <c r="V34" s="581"/>
      <c r="W34" s="469" t="e">
        <f>IF(NOT(ISBLANK(U34)),U34,DGET('Grid Numbers'!$A$2:$L$4952,'Grid Numbers'!$I$2,$B$76:$H$77))</f>
        <v>#VALUE!</v>
      </c>
      <c r="X34" s="423" t="s">
        <v>395</v>
      </c>
      <c r="AA34" s="593"/>
      <c r="AB34" s="593"/>
      <c r="AC34" s="318">
        <v>3</v>
      </c>
      <c r="AD34" s="317" t="s">
        <v>419</v>
      </c>
      <c r="AE34" s="324" t="e">
        <f>IF($AI$34="","",$AI$34-$BG$26-$AY$26)</f>
        <v>#VALUE!</v>
      </c>
      <c r="AF34" s="326" t="e">
        <f>IF($AJ$34="","",$AJ$34-$BH$26-$AZ$26)</f>
        <v>#VALUE!</v>
      </c>
      <c r="AG34" s="324" t="e">
        <f>IF($AI$34="","",$AI$34-$BG$26)</f>
        <v>#VALUE!</v>
      </c>
      <c r="AH34" s="324" t="e">
        <f>IF($AJ$34="","",$AJ$34-$BH$26)</f>
        <v>#VALUE!</v>
      </c>
      <c r="AI34" s="325" t="e">
        <f>IF(AND($AO$24+'SHL Section'!$AI$9&lt;0,$AR$24+'SHL Section'!$AK$9&lt;0),$AI$24+'SHL Section'!$AI$9,"")</f>
        <v>#VALUE!</v>
      </c>
      <c r="AJ34" s="325" t="e">
        <f>IF(AND($AO$24+'SHL Section'!$AI$9&lt;0,$AR$24+'SHL Section'!$AK$9&lt;0),$AJ$24+'SHL Section'!$AK$9,"")</f>
        <v>#VALUE!</v>
      </c>
      <c r="AK34" s="324" t="e">
        <f>IF($AI$34="","",$AI$34-$BO$26)</f>
        <v>#VALUE!</v>
      </c>
      <c r="AL34" s="324" t="e">
        <f>IF($AJ$34="","",$AJ$34-$BP$26)</f>
        <v>#VALUE!</v>
      </c>
      <c r="AM34" s="324" t="e">
        <f>IF($AI$34="","",$AI$34-$BG$26-$BA$26)</f>
        <v>#VALUE!</v>
      </c>
      <c r="AN34" s="324" t="e">
        <f>IF($AJ$34="","",$AJ$34-$BH$26-$BB$26)</f>
        <v>#VALUE!</v>
      </c>
      <c r="AO34" s="324" t="e">
        <f>IF($AI$34="","",$AI$34-$BI$26)</f>
        <v>#VALUE!</v>
      </c>
      <c r="AP34" s="324" t="e">
        <f>IF($AJ$34="","",$AJ$34-$BJ$26)</f>
        <v>#VALUE!</v>
      </c>
      <c r="AQ34" s="324" t="e">
        <f>IF($AI$34="","",$AI$34-$BM$26)</f>
        <v>#VALUE!</v>
      </c>
      <c r="AR34" s="324" t="e">
        <f>IF($AJ$34="","",$AJ$34-$BN$26)</f>
        <v>#VALUE!</v>
      </c>
      <c r="AS34" s="324" t="e">
        <f>IF($AI$34="","",$AI$34-$BO$26-$BU$26)</f>
        <v>#VALUE!</v>
      </c>
      <c r="AT34" s="324" t="e">
        <f>IF($AJ$34="","",$AJ$34-$BP$26-$BV$22)</f>
        <v>#VALUE!</v>
      </c>
      <c r="BZ34" s="596"/>
      <c r="CA34" s="596"/>
    </row>
    <row r="35" spans="1:79" ht="12" customHeight="1" x14ac:dyDescent="0.25">
      <c r="A35" s="426" t="s">
        <v>398</v>
      </c>
      <c r="B35" s="294" t="e">
        <f>IF(NOT(ISBLANK(D35)),D35,DGET('Grid Numbers'!$A$2:$L$4952,'Grid Numbers'!$J$2,$B$68:$H$69))</f>
        <v>#VALUE!</v>
      </c>
      <c r="C35" s="598"/>
      <c r="D35" s="486"/>
      <c r="G35" s="306" t="str">
        <f>IF(ISNUMBER($AG$80),$K$10,"")</f>
        <v/>
      </c>
      <c r="H35" s="305" t="str">
        <f>IF(ISNUMBER($AG$80),"FWL","")</f>
        <v/>
      </c>
      <c r="J35" s="424"/>
      <c r="K35" s="424"/>
      <c r="L35" s="308"/>
      <c r="M35" s="307"/>
      <c r="Q35" s="306" t="str">
        <f>IF(ISNUMBER($AE$80),$K$10,"")</f>
        <v/>
      </c>
      <c r="R35" s="305" t="str">
        <f>IF(ISNUMBER($AE$80),"FEL","")</f>
        <v/>
      </c>
      <c r="S35" s="425"/>
      <c r="T35" s="424"/>
      <c r="U35" s="486"/>
      <c r="V35" s="581"/>
      <c r="W35" s="469" t="e">
        <f>IF(NOT(ISBLANK(U35)),U35,DGET('Grid Numbers'!$A$2:$L$4952,'Grid Numbers'!$J$2,$B$76:$H$77))</f>
        <v>#VALUE!</v>
      </c>
      <c r="X35" s="423" t="s">
        <v>398</v>
      </c>
      <c r="AA35" s="593"/>
      <c r="AB35" s="292"/>
      <c r="AC35" s="466">
        <v>4</v>
      </c>
      <c r="AD35" s="591" t="s">
        <v>419</v>
      </c>
      <c r="AE35" s="322" t="e">
        <f>IF($AK$35="","",$AK$35-$BW$26)</f>
        <v>#VALUE!</v>
      </c>
      <c r="AF35" s="322" t="e">
        <f>IF($AL$35="","",$AL$35-$BX$26)</f>
        <v>#VALUE!</v>
      </c>
      <c r="AG35" s="322" t="e">
        <f>IF($AK$35="","",$AK$35+$BO$26-$BG$26)</f>
        <v>#VALUE!</v>
      </c>
      <c r="AH35" s="322" t="e">
        <f>IF($AL$35="","",$AL$35+$BP$26+$BH$26)</f>
        <v>#VALUE!</v>
      </c>
      <c r="AI35" s="322" t="e">
        <f>IF($AK$35="","",$AK$35+$BO$26)</f>
        <v>#VALUE!</v>
      </c>
      <c r="AJ35" s="322" t="e">
        <f>IF($AL$35="","",$AL$35+$BP$26)</f>
        <v>#VALUE!</v>
      </c>
      <c r="AK35" s="323" t="e">
        <f>IF(AND($AS$24+'SHL Section'!$AI$9&lt;0,$AR$24+'SHL Section'!$AK$9&gt;0),$AK$24+'SHL Section'!$AI$9,"")</f>
        <v>#VALUE!</v>
      </c>
      <c r="AL35" s="323" t="e">
        <f>IF(AND($AS$24+'SHL Section'!$AI$9&lt;0,$AR$24+'SHL Section'!$AK$9&gt;0),$AL$24+'SHL Section'!$AK$9,"")</f>
        <v>#VALUE!</v>
      </c>
      <c r="AM35" s="322" t="e">
        <f>IF($AK$35="","",$AK$35-$BW$26+$AW$22)</f>
        <v>#VALUE!</v>
      </c>
      <c r="AN35" s="322" t="e">
        <f>IF($AL$35="","",$AL$35-$BX$26+$AX$22)</f>
        <v>#VALUE!</v>
      </c>
      <c r="AO35" s="322" t="e">
        <f>IF($AK$35="","",$AK$35+$BO$26-$BI$22)</f>
        <v>#VALUE!</v>
      </c>
      <c r="AP35" s="322" t="e">
        <f>IF($AL$35="","",$AL$35+$BP$26-$BJ$22)</f>
        <v>#VALUE!</v>
      </c>
      <c r="AQ35" s="322" t="e">
        <f>IF($AK$35="","",$AK$35+$BQ$22)</f>
        <v>#VALUE!</v>
      </c>
      <c r="AR35" s="322" t="e">
        <f>IF($AL$35="","",$AL$35+$BR$22)</f>
        <v>#VALUE!</v>
      </c>
      <c r="AS35" s="322" t="e">
        <f>IF($AK$35="","",$AK$35-$BU$22)</f>
        <v>#VALUE!</v>
      </c>
      <c r="AT35" s="322" t="e">
        <f>IF($AL$35="","",$AL$35-$BV$22)</f>
        <v>#VALUE!</v>
      </c>
      <c r="BG35" s="317">
        <v>1</v>
      </c>
      <c r="BH35" s="317">
        <v>2</v>
      </c>
      <c r="BI35" s="317">
        <v>3</v>
      </c>
      <c r="BJ35" s="317">
        <v>4</v>
      </c>
      <c r="BK35" s="317">
        <v>5</v>
      </c>
      <c r="BL35" s="317">
        <v>6</v>
      </c>
      <c r="BM35" s="317">
        <v>7</v>
      </c>
      <c r="BN35" s="317">
        <v>8</v>
      </c>
      <c r="BO35" s="317">
        <v>9</v>
      </c>
      <c r="BZ35" s="596"/>
      <c r="CA35" s="596"/>
    </row>
    <row r="36" spans="1:79" ht="12" customHeight="1" x14ac:dyDescent="0.25">
      <c r="A36" s="426" t="s">
        <v>410</v>
      </c>
      <c r="B36" s="294" t="e">
        <f>IF(NOT(ISBLANK(D36)),D36,DGET('Grid Numbers'!$A$2:$L$4952,'Grid Numbers'!$K$2,$B$68:$H$69))</f>
        <v>#VALUE!</v>
      </c>
      <c r="C36" s="598"/>
      <c r="D36" s="487"/>
      <c r="J36" s="424"/>
      <c r="K36" s="424"/>
      <c r="L36" s="308"/>
      <c r="M36" s="307"/>
      <c r="S36" s="425"/>
      <c r="T36" s="424"/>
      <c r="U36" s="487"/>
      <c r="V36" s="581"/>
      <c r="W36" s="469" t="e">
        <f>IF(NOT(ISBLANK(U36)),U36,DGET('Grid Numbers'!$A$2:$L$4952,'Grid Numbers'!$K$2,$B$76:$H$77))</f>
        <v>#VALUE!</v>
      </c>
      <c r="X36" s="423" t="s">
        <v>410</v>
      </c>
      <c r="AA36" s="593"/>
      <c r="AB36" s="292"/>
      <c r="AC36" s="762"/>
      <c r="AD36" s="683"/>
      <c r="AE36" s="321" t="str">
        <f>IF(ISNUMBER($AE$32),AE$32,IF(ISNUMBER($AG$33),AE$33,IF(ISNUMBER($AI$34),AE$34,IF(ISNUMBER($AK$35),AE$35,""))))</f>
        <v/>
      </c>
      <c r="AF36" s="321" t="str">
        <f>IF(ISNUMBER($AF$32),AF$32,IF(ISNUMBER($AH$33),AF$33,IF(ISNUMBER($AJ$34),AF$34,IF(ISNUMBER($AL$35),AF$35,""))))</f>
        <v/>
      </c>
      <c r="AG36" s="321" t="str">
        <f>IF(ISNUMBER($AE$32),AG$32,IF(ISNUMBER($AG$33),AG$33,IF(ISNUMBER($AI$34),AG$34,IF(ISNUMBER($AK$35),AG$35,""))))</f>
        <v/>
      </c>
      <c r="AH36" s="321" t="str">
        <f>IF(ISNUMBER($AF$32),AH$32,IF(ISNUMBER($AH$33),AH$33,IF(ISNUMBER($AJ$34),AH$34,IF(ISNUMBER($AL$35),AH$35,""))))</f>
        <v/>
      </c>
      <c r="AI36" s="321" t="str">
        <f>IF(ISNUMBER($AE$32),AI$32,IF(ISNUMBER($AG$33),AI$33,IF(ISNUMBER($AI$34),AI$34,IF(ISNUMBER($AK$35),AI$35,""))))</f>
        <v/>
      </c>
      <c r="AJ36" s="321" t="str">
        <f>IF(ISNUMBER($AF$32),AJ$32,IF(ISNUMBER($AH$33),AJ$33,IF(ISNUMBER($AJ$34),AJ$34,IF(ISNUMBER($AL$35),AJ$35,""))))</f>
        <v/>
      </c>
      <c r="AK36" s="321" t="str">
        <f>IF(ISNUMBER($AE$32),AK$32,IF(ISNUMBER($AG$33),AK$33,IF(ISNUMBER($AI$34),AK$34,IF(ISNUMBER($AK$35),AK$35,""))))</f>
        <v/>
      </c>
      <c r="AL36" s="321" t="str">
        <f>IF(ISNUMBER($AF$32),AL$32,IF(ISNUMBER($AH$33),AL$33,IF(ISNUMBER($AJ$34),AL$34,IF(ISNUMBER($AL$35),AL$35,""))))</f>
        <v/>
      </c>
      <c r="AM36" s="321" t="str">
        <f>IF(ISNUMBER($AE$32),AM$32,IF(ISNUMBER($AG$33),AM$33,IF(ISNUMBER($AI$34),AM$34,IF(ISNUMBER($AK$35),AM$35,""))))</f>
        <v/>
      </c>
      <c r="AN36" s="321" t="str">
        <f>IF(ISNUMBER($AF$32),AN$32,IF(ISNUMBER($AH$33),AN$33,IF(ISNUMBER($AJ$34),AN$34,IF(ISNUMBER($AL$35),AN$35,""))))</f>
        <v/>
      </c>
      <c r="AO36" s="321" t="str">
        <f>IF(ISNUMBER($AE$32),AO$32,IF(ISNUMBER($AG$33),AO$33,IF(ISNUMBER($AI$34),AO$34,IF(ISNUMBER($AK$35),AO$35,""))))</f>
        <v/>
      </c>
      <c r="AP36" s="321" t="str">
        <f>IF(ISNUMBER($AF$32),AP$32,IF(ISNUMBER($AH$33),AP$33,IF(ISNUMBER($AJ$34),AP$34,IF(ISNUMBER($AL$35),AP$35,""))))</f>
        <v/>
      </c>
      <c r="AQ36" s="321" t="str">
        <f>IF(ISNUMBER($AE$32),AQ$32,IF(ISNUMBER($AG$33),AQ$33,IF(ISNUMBER($AI$34),AQ$34,IF(ISNUMBER($AK$35),AQ$35,""))))</f>
        <v/>
      </c>
      <c r="AR36" s="321" t="str">
        <f>IF(ISNUMBER($AF$32),AR$32,IF(ISNUMBER($AH$33),AR$33,IF(ISNUMBER($AJ$34),AR$34,IF(ISNUMBER($AL$35),AR$35,""))))</f>
        <v/>
      </c>
      <c r="AS36" s="321" t="str">
        <f>IF(ISNUMBER($AE$32),AS$32,IF(ISNUMBER($AG$33),AS$33,IF(ISNUMBER($AI$34),AS$34,IF(ISNUMBER($AK$35),AS$35,""))))</f>
        <v/>
      </c>
      <c r="AT36" s="321" t="str">
        <f>IF(ISNUMBER($AF$32),AT$32,IF(ISNUMBER($AH$33),AT$33,IF(ISNUMBER($AJ$34),AT$34,IF(ISNUMBER($AL$35),AT$35,""))))</f>
        <v/>
      </c>
      <c r="AV36" s="311" t="s">
        <v>186</v>
      </c>
      <c r="AW36" s="311" t="s">
        <v>399</v>
      </c>
      <c r="AX36" s="311" t="s">
        <v>427</v>
      </c>
      <c r="AY36" s="311" t="s">
        <v>12</v>
      </c>
      <c r="AZ36" s="291" t="s">
        <v>422</v>
      </c>
      <c r="BA36" s="311" t="s">
        <v>428</v>
      </c>
      <c r="BB36" s="311" t="s">
        <v>429</v>
      </c>
      <c r="BD36" s="445" t="s">
        <v>396</v>
      </c>
      <c r="BE36" s="444" t="s">
        <v>420</v>
      </c>
      <c r="BF36" s="443" t="s">
        <v>421</v>
      </c>
      <c r="BG36" s="317" t="s">
        <v>399</v>
      </c>
      <c r="BH36" s="317" t="s">
        <v>12</v>
      </c>
      <c r="BI36" s="317" t="s">
        <v>422</v>
      </c>
      <c r="BJ36" s="317" t="s">
        <v>311</v>
      </c>
      <c r="BK36" s="317" t="s">
        <v>423</v>
      </c>
      <c r="BL36" s="317" t="s">
        <v>414</v>
      </c>
      <c r="BM36" s="317" t="s">
        <v>424</v>
      </c>
      <c r="BN36" s="317" t="s">
        <v>413</v>
      </c>
      <c r="BO36" s="317" t="s">
        <v>425</v>
      </c>
      <c r="BZ36" s="596"/>
      <c r="CA36" s="596"/>
    </row>
    <row r="37" spans="1:79" ht="12" customHeight="1" thickBot="1" x14ac:dyDescent="0.3">
      <c r="A37" s="426" t="s">
        <v>411</v>
      </c>
      <c r="B37" s="319" t="e">
        <f>IF(NOT(ISBLANK(D37)),D37,DGET('Grid Numbers'!$A$2:$L$4952,'Grid Numbers'!$L$2,$B$68:$H$69))</f>
        <v>#VALUE!</v>
      </c>
      <c r="C37" s="598"/>
      <c r="D37" s="490"/>
      <c r="J37" s="424"/>
      <c r="K37" s="424"/>
      <c r="L37" s="308"/>
      <c r="M37" s="307"/>
      <c r="O37" s="596"/>
      <c r="P37" s="596"/>
      <c r="S37" s="425"/>
      <c r="T37" s="424"/>
      <c r="U37" s="490"/>
      <c r="V37" s="581"/>
      <c r="W37" s="319" t="e">
        <f>IF(NOT(ISBLANK(U37)),U37,DGET('Grid Numbers'!$A$2:$L$4952,'Grid Numbers'!$L$2,$B$76:$H$77))</f>
        <v>#VALUE!</v>
      </c>
      <c r="X37" s="423" t="s">
        <v>411</v>
      </c>
      <c r="AA37" s="593"/>
      <c r="AB37" s="593"/>
      <c r="AC37" s="330"/>
      <c r="AD37" s="329"/>
      <c r="AE37" s="328"/>
      <c r="AF37" s="328"/>
      <c r="AG37" s="328"/>
      <c r="AH37" s="328"/>
      <c r="AI37" s="328"/>
      <c r="AJ37" s="328"/>
      <c r="AK37" s="328"/>
      <c r="AL37" s="328"/>
      <c r="AM37" s="328"/>
      <c r="AN37" s="328"/>
      <c r="AO37" s="328"/>
      <c r="AP37" s="328"/>
      <c r="AQ37" s="328"/>
      <c r="AR37" s="328"/>
      <c r="AS37" s="328"/>
      <c r="AT37" s="328"/>
      <c r="AV37" s="311" t="s">
        <v>187</v>
      </c>
      <c r="AW37" s="311" t="s">
        <v>499</v>
      </c>
      <c r="AX37" s="311" t="s">
        <v>432</v>
      </c>
      <c r="AY37" s="311" t="s">
        <v>414</v>
      </c>
      <c r="AZ37" s="291" t="s">
        <v>425</v>
      </c>
      <c r="BA37" s="311" t="s">
        <v>433</v>
      </c>
      <c r="BB37" s="311" t="s">
        <v>434</v>
      </c>
      <c r="BD37" s="318">
        <v>1</v>
      </c>
      <c r="BE37" s="317" t="s">
        <v>417</v>
      </c>
      <c r="BF37" s="334" t="str">
        <f>IF(AND(MAX($AE$58:$AL$58)&lt;1,ISNUMBER($AE$26), ISNUMBER($AF$26)),IF(AND($AE$26&gt;0,$AF$26&gt;0),3,IF(AND($AE$26&lt;0,IF(-$AE$26&lt;$BZ$19,$AO$62,$AO$65)&lt;0),4,IF(AND(IF(-$AF$26&lt;$AW$19,$AN$62,$AN$63)&lt;0,$AF$26&lt;0),2,""))),"")</f>
        <v/>
      </c>
      <c r="BG37" s="291">
        <v>1</v>
      </c>
      <c r="BH37" s="291">
        <v>36</v>
      </c>
      <c r="BI37" s="291">
        <v>31</v>
      </c>
      <c r="BJ37" s="291">
        <v>6</v>
      </c>
      <c r="BK37" s="291">
        <v>7</v>
      </c>
      <c r="BL37" s="291">
        <v>12</v>
      </c>
      <c r="BM37" s="291">
        <v>11</v>
      </c>
      <c r="BN37" s="291">
        <v>2</v>
      </c>
      <c r="BO37" s="291">
        <v>35</v>
      </c>
      <c r="BZ37" s="596"/>
      <c r="CA37" s="596"/>
    </row>
    <row r="38" spans="1:79" ht="12" customHeight="1" x14ac:dyDescent="0.25">
      <c r="A38" s="426" t="s">
        <v>412</v>
      </c>
      <c r="B38" s="643" t="e">
        <f>IF(AND($L$38='SHL Section'!$BE$52,MAX('BHL Section 2'!$BF$37:$BF$40)=4),'BHL Section 2'!$W$38,IF(AND($L$38='SHL Section'!$BE$55,MAX('BHL Section 2'!$BF$41:$BF$44)=4),'BHL Section 2'!$W$38,IF(AND($L$38='SHL Section'!$BE$58,MAX('BHL Section 2'!$BF$45:$BF$48)=4),'BHL Section 2'!$W$38,IF(B34="","",IF(OR(B37=1,B37=4),180-(B34+B35/60+B36/3600),180+(B34+B35/60+B36/3600))))))</f>
        <v>#VALUE!</v>
      </c>
      <c r="C38" s="598"/>
      <c r="F38" s="646"/>
      <c r="I38" s="425"/>
      <c r="J38" s="424"/>
      <c r="K38" s="424"/>
      <c r="L38" s="763" t="e">
        <f>IF(NOT(OR('SHL Section'!$BE$52='BHL Section 2'!$L$38,'SHL Section'!$BE$52='BHL Section 1'!$L$38,'SHL Section'!$BE$52='SHL Section'!$N$7)),'SHL Section'!$BE$52,IF(NOT(OR('SHL Section'!$BE$55='BHL Section 2'!$L$38,'SHL Section'!$BE$55='BHL Section 1'!$L$38,'SHL Section'!$BE$55='SHL Section'!$N$7)),'SHL Section'!$BE$55,IF(NOT(OR('SHL Section'!$BE$58='BHL Section 2'!$L$38,'SHL Section'!$BE$58='BHL Section 1'!$L$38,'SHL Section'!$BE$58='SHL Section'!$N$7)),'SHL Section'!$BE$58,"")))</f>
        <v>#VALUE!</v>
      </c>
      <c r="M38" s="706"/>
      <c r="P38" s="646"/>
      <c r="S38" s="425"/>
      <c r="T38" s="424"/>
      <c r="U38" s="593"/>
      <c r="V38" s="581"/>
      <c r="W38" s="642" t="e">
        <f>IF(AND($L$38='SHL Section'!$BE$52,MAX('BHL Section 2'!$BF$37:$BF$40)=8),'BHL Section 2'!$B$38,IF(AND($L$38='SHL Section'!$BE$55,MAX('BHL Section 2'!$BF$41:$BF$44)=8),'BHL Section 2'!$B$38,IF(AND($L$38='SHL Section'!$BE$58,MAX('BHL Section 2'!$BF$45:$BF$48)=8),'BHL Section 2'!$B$38,IF(W34="","",IF(OR(W37=1,W37=4),180-(W34+W35/60+W36/3600),180+(W34+W35/60+W36/3600))))))</f>
        <v>#VALUE!</v>
      </c>
      <c r="X38" s="423" t="s">
        <v>412</v>
      </c>
      <c r="AA38" s="593"/>
      <c r="AB38" s="292"/>
      <c r="AC38" s="318">
        <v>1</v>
      </c>
      <c r="AD38" s="317" t="s">
        <v>430</v>
      </c>
      <c r="AE38" s="325" t="e">
        <f>IF(AND($AS$24+'SHL Section'!$AI$10&gt;0,$AN$24+'SHL Section'!$AK$10&gt;0),$AE$24+'SHL Section'!$AI$10,"")</f>
        <v>#VALUE!</v>
      </c>
      <c r="AF38" s="325" t="e">
        <f>IF(AND($AS$24+'SHL Section'!$AI$10&gt;0,$AN$24+'SHL Section'!$AK$10&gt;0),$AF$24+'SHL Section'!$AK$10,"")</f>
        <v>#VALUE!</v>
      </c>
      <c r="AG38" s="324" t="e">
        <f>IF($AE$38="","",$AY$26+$AE$38)</f>
        <v>#VALUE!</v>
      </c>
      <c r="AH38" s="324" t="e">
        <f>IF($AF$38="","",$AZ$26+$AF$38)</f>
        <v>#VALUE!</v>
      </c>
      <c r="AI38" s="324" t="e">
        <f>IF($AE$38="","",$BG$26+$AY$26+$AE$38)</f>
        <v>#VALUE!</v>
      </c>
      <c r="AJ38" s="324" t="e">
        <f>IF($AF$38="","",$AZ$26+$BH$26+$AF$38)</f>
        <v>#VALUE!</v>
      </c>
      <c r="AK38" s="324" t="e">
        <f>IF($AE$38="","",$BW$26+$AE$38)</f>
        <v>#VALUE!</v>
      </c>
      <c r="AL38" s="324" t="e">
        <f>IF($AF$38="","",$AF$38+$BX$26)</f>
        <v>#VALUE!</v>
      </c>
      <c r="AM38" s="324" t="e">
        <f>IF($AE$38="","",$AW$22+$AE$38)</f>
        <v>#VALUE!</v>
      </c>
      <c r="AN38" s="324" t="e">
        <f>IF($AF$38="","",$AX$22+$AF$38)</f>
        <v>#VALUE!</v>
      </c>
      <c r="AO38" s="324" t="e">
        <f>IF($AE$38="","",$AY$26+$AE$38+$BE$22)</f>
        <v>#VALUE!</v>
      </c>
      <c r="AP38" s="324" t="e">
        <f>IF($AF$38="","",$AZ$26+$AF$38+$BF$22)</f>
        <v>#VALUE!</v>
      </c>
      <c r="AQ38" s="324" t="e">
        <f>IF($AE$38="","",$BW$26+$AE$38+$BQ$22)</f>
        <v>#VALUE!</v>
      </c>
      <c r="AR38" s="324" t="e">
        <f>IF($AF$38="","",$AF$38+$BX$26+$BR$22)</f>
        <v>#VALUE!</v>
      </c>
      <c r="AS38" s="324" t="e">
        <f>IF($AE$38="","",$BY$22+$AE$38)</f>
        <v>#VALUE!</v>
      </c>
      <c r="AT38" s="324" t="e">
        <f>IF($AF$38="","",$AF$38+$BZ$22)</f>
        <v>#VALUE!</v>
      </c>
      <c r="AV38" s="311" t="s">
        <v>188</v>
      </c>
      <c r="AW38" s="311" t="s">
        <v>500</v>
      </c>
      <c r="AX38" s="311" t="s">
        <v>436</v>
      </c>
      <c r="AY38" s="311" t="s">
        <v>311</v>
      </c>
      <c r="AZ38" s="291" t="s">
        <v>424</v>
      </c>
      <c r="BA38" s="311"/>
      <c r="BB38" s="311" t="s">
        <v>437</v>
      </c>
      <c r="BD38" s="318">
        <v>2</v>
      </c>
      <c r="BE38" s="317" t="s">
        <v>417</v>
      </c>
      <c r="BF38" s="334" t="str">
        <f>IF(AND(MAX($AE$58:$AL$58)&lt;1,ISNUMBER($AG$27), ISNUMBER($AH$27)),IF(AND(IF($AH$27&lt;$BC$19,$AP$63,$AP$62)&lt;0,$AH$27&gt;0),2,IF(AND($AG$27&gt;0,$AH$27&lt;0),9,IF(AND($AG$27&lt;0,IF(-$AG$27&lt;$BD$19,$AQ$63,$AQ$64)&lt;0),8,""))),"")</f>
        <v/>
      </c>
      <c r="BG38" s="291">
        <v>2</v>
      </c>
      <c r="BH38" s="291">
        <v>35</v>
      </c>
      <c r="BI38" s="291">
        <v>36</v>
      </c>
      <c r="BJ38" s="291">
        <v>1</v>
      </c>
      <c r="BK38" s="291">
        <v>12</v>
      </c>
      <c r="BL38" s="291">
        <v>11</v>
      </c>
      <c r="BM38" s="291">
        <v>10</v>
      </c>
      <c r="BN38" s="291">
        <v>3</v>
      </c>
      <c r="BO38" s="291">
        <v>34</v>
      </c>
      <c r="BZ38" s="596"/>
      <c r="CA38" s="596"/>
    </row>
    <row r="39" spans="1:79" ht="12" customHeight="1" thickBot="1" x14ac:dyDescent="0.3">
      <c r="A39" s="748" t="e">
        <f>CONCATENATE("W QC of ",$L$38)</f>
        <v>#VALUE!</v>
      </c>
      <c r="B39" s="698"/>
      <c r="C39" s="422"/>
      <c r="D39" s="421"/>
      <c r="E39" s="421"/>
      <c r="F39" s="421"/>
      <c r="G39" s="421"/>
      <c r="H39" s="421"/>
      <c r="I39" s="421"/>
      <c r="J39" s="421"/>
      <c r="K39" s="421"/>
      <c r="L39" s="764"/>
      <c r="M39" s="698"/>
      <c r="N39" s="421"/>
      <c r="O39" s="421"/>
      <c r="P39" s="421"/>
      <c r="Q39" s="421"/>
      <c r="R39" s="421"/>
      <c r="S39" s="421"/>
      <c r="T39" s="421"/>
      <c r="U39" s="421"/>
      <c r="V39" s="420"/>
      <c r="W39" s="765" t="e">
        <f>CONCATENATE("E QC of ",$L$38)</f>
        <v>#VALUE!</v>
      </c>
      <c r="X39" s="679"/>
      <c r="AA39" s="593"/>
      <c r="AB39" s="292"/>
      <c r="AC39" s="318">
        <v>2</v>
      </c>
      <c r="AD39" s="317" t="s">
        <v>430</v>
      </c>
      <c r="AE39" s="324" t="e">
        <f>IF($AG$39="","",$AG$39-$AY$26)</f>
        <v>#VALUE!</v>
      </c>
      <c r="AF39" s="324" t="e">
        <f>IF($AH$39="","",$AH$39-$AZ$26)</f>
        <v>#VALUE!</v>
      </c>
      <c r="AG39" s="325" t="e">
        <f>IF(AND($AO$24+'SHL Section'!$AI$10&gt;0,$AN$24+'SHL Section'!$AK$10&lt;0),$AG$24+'SHL Section'!$AI$10,"")</f>
        <v>#VALUE!</v>
      </c>
      <c r="AH39" s="325" t="e">
        <f>IF(AND($AO$24+'SHL Section'!$AI$10&gt;0,$AN$24+'SHL Section'!$AK$10&lt;0),$AH$24+'SHL Section'!$AK$10,"")</f>
        <v>#VALUE!</v>
      </c>
      <c r="AI39" s="324" t="e">
        <f>IF($AG$39="","",$BG$26+$AG$39)</f>
        <v>#VALUE!</v>
      </c>
      <c r="AJ39" s="324" t="e">
        <f>IF($AH$39="","",$AH$39+$BH$26)</f>
        <v>#VALUE!</v>
      </c>
      <c r="AK39" s="324" t="e">
        <f>IF($AG$39="","",$AG$39-$AY$26+$BW$26)</f>
        <v>#VALUE!</v>
      </c>
      <c r="AL39" s="324" t="e">
        <f>IF($AH$39="","",$AH$39-$AZ$26+$BX$26)</f>
        <v>#VALUE!</v>
      </c>
      <c r="AM39" s="324" t="e">
        <f>IF($AG$39="","",$AG$39-$BA$22)</f>
        <v>#VALUE!</v>
      </c>
      <c r="AN39" s="324" t="e">
        <f>IF($AH$39="","",AH$39-$BB$22)</f>
        <v>#VALUE!</v>
      </c>
      <c r="AO39" s="324" t="e">
        <f>IF($AG$39="","",$BE$22+$AG$39)</f>
        <v>#VALUE!</v>
      </c>
      <c r="AP39" s="324" t="e">
        <f>IF($AH$39="","",$AH$39+$BF$22)</f>
        <v>#VALUE!</v>
      </c>
      <c r="AQ39" s="324" t="e">
        <f>IF($AG$39="","",$BG$26+$AG$39-$BM$22)</f>
        <v>#VALUE!</v>
      </c>
      <c r="AR39" s="324" t="e">
        <f>IF($AH$39="","",$AH$39+$BH$26-$BN$22)</f>
        <v>#VALUE!</v>
      </c>
      <c r="AS39" s="324" t="e">
        <f>IF($AG$39="","",$AG$39-$AY$26+$BY$22)</f>
        <v>#VALUE!</v>
      </c>
      <c r="AT39" s="324" t="e">
        <f>IF($AH$39="","",$AH$39-$AZ$26+$BZ$22)</f>
        <v>#VALUE!</v>
      </c>
      <c r="AV39" s="311" t="s">
        <v>189</v>
      </c>
      <c r="AW39" s="311" t="s">
        <v>420</v>
      </c>
      <c r="AX39" s="311" t="s">
        <v>438</v>
      </c>
      <c r="AY39" s="311" t="s">
        <v>413</v>
      </c>
      <c r="AZ39" s="291" t="s">
        <v>423</v>
      </c>
      <c r="BA39" s="311"/>
      <c r="BB39" s="311" t="s">
        <v>439</v>
      </c>
      <c r="BD39" s="318">
        <v>3</v>
      </c>
      <c r="BE39" s="317" t="s">
        <v>417</v>
      </c>
      <c r="BF39" s="334" t="str">
        <f>IF(AND(MAX($AE$58:$AL$58)&lt;1,ISNUMBER($AI$28), ISNUMBER($AJ$28)),IF(AND($AI$28&gt;0,IF($AI$28&lt;$BJ$19,$AS$64,$AS$63)&lt;0),8,IF(AND($AI$28&lt;0,$AJ$28&lt;0),7,IF(AND(IF($AJ$28&lt;$BM$19,$AR$64,$AR$65)&lt;0,$AJ$28&gt;0),6,""))),"")</f>
        <v/>
      </c>
      <c r="BG39" s="291">
        <v>3</v>
      </c>
      <c r="BH39" s="291">
        <v>34</v>
      </c>
      <c r="BI39" s="291">
        <v>35</v>
      </c>
      <c r="BJ39" s="291">
        <v>2</v>
      </c>
      <c r="BK39" s="291">
        <v>11</v>
      </c>
      <c r="BL39" s="291">
        <v>10</v>
      </c>
      <c r="BM39" s="291">
        <v>9</v>
      </c>
      <c r="BN39" s="291">
        <v>4</v>
      </c>
      <c r="BO39" s="291">
        <v>33</v>
      </c>
      <c r="BZ39" s="596"/>
      <c r="CA39" s="596"/>
    </row>
    <row r="40" spans="1:79" ht="12" customHeight="1" x14ac:dyDescent="0.25">
      <c r="A40" s="679"/>
      <c r="B40" s="698"/>
      <c r="C40" s="419"/>
      <c r="D40" s="418"/>
      <c r="E40" s="418"/>
      <c r="F40" s="418"/>
      <c r="G40" s="418"/>
      <c r="H40" s="418"/>
      <c r="I40" s="418"/>
      <c r="J40" s="418"/>
      <c r="K40" s="418"/>
      <c r="L40" s="764"/>
      <c r="M40" s="698"/>
      <c r="N40" s="418"/>
      <c r="O40" s="418"/>
      <c r="P40" s="418"/>
      <c r="Q40" s="418"/>
      <c r="R40" s="418"/>
      <c r="S40" s="418"/>
      <c r="T40" s="418"/>
      <c r="U40" s="418"/>
      <c r="V40" s="581"/>
      <c r="W40" s="679"/>
      <c r="X40" s="679"/>
      <c r="AA40" s="593"/>
      <c r="AB40" s="292"/>
      <c r="AC40" s="318">
        <v>3</v>
      </c>
      <c r="AD40" s="317" t="s">
        <v>430</v>
      </c>
      <c r="AE40" s="324" t="e">
        <f>IF($AI$40="","",$AI$40-$BG$26-$AY$26)</f>
        <v>#VALUE!</v>
      </c>
      <c r="AF40" s="326" t="e">
        <f>IF($AJ$40="","",$AJ$40-$BH$26-$AZ$26)</f>
        <v>#VALUE!</v>
      </c>
      <c r="AG40" s="324" t="e">
        <f>IF($AI$40="","",$AI$40-$BG$26)</f>
        <v>#VALUE!</v>
      </c>
      <c r="AH40" s="324" t="e">
        <f>IF($AJ$40="","",$AJ$40-$BH$26)</f>
        <v>#VALUE!</v>
      </c>
      <c r="AI40" s="325" t="e">
        <f>IF(AND($AO$24+'SHL Section'!$AI$10&lt;0,$AR$24+'SHL Section'!$AK$10&lt;0),$AI$24+'SHL Section'!$AI$10,"")</f>
        <v>#VALUE!</v>
      </c>
      <c r="AJ40" s="325" t="e">
        <f>IF(AND($AO$24+'SHL Section'!$AI$10&lt;0,$AR$24+'SHL Section'!$AK$10&lt;0),$AJ$24+'SHL Section'!$AK$10,"")</f>
        <v>#VALUE!</v>
      </c>
      <c r="AK40" s="324" t="e">
        <f>IF($AI$40="","",$AI$40-$BO$26)</f>
        <v>#VALUE!</v>
      </c>
      <c r="AL40" s="324" t="e">
        <f>IF($AJ$40="","",$AJ$40-$BP$26)</f>
        <v>#VALUE!</v>
      </c>
      <c r="AM40" s="324" t="e">
        <f>IF($AI$40="","",$AI$40-$BG$26-$BA$26)</f>
        <v>#VALUE!</v>
      </c>
      <c r="AN40" s="324" t="e">
        <f>IF($AJ$40="","",$AJ$40-$BH$26-$BB$26)</f>
        <v>#VALUE!</v>
      </c>
      <c r="AO40" s="324" t="e">
        <f>IF($AI$40="","",$AI$40-$BI$26)</f>
        <v>#VALUE!</v>
      </c>
      <c r="AP40" s="324" t="e">
        <f>IF($AJ$40="","",$AJ$40-$BJ$26)</f>
        <v>#VALUE!</v>
      </c>
      <c r="AQ40" s="324" t="e">
        <f>IF($AI$40="","",$AI$40-$BM$26)</f>
        <v>#VALUE!</v>
      </c>
      <c r="AR40" s="324" t="e">
        <f>IF($AJ$40="","",$AJ$40-$BN$26)</f>
        <v>#VALUE!</v>
      </c>
      <c r="AS40" s="324" t="e">
        <f>IF($AI$40="","",$AI$40-$BO$26-$BU$26)</f>
        <v>#VALUE!</v>
      </c>
      <c r="AT40" s="324" t="e">
        <f>IF($AJ$40="","",$AJ$40-$BP$26-$BV$22)</f>
        <v>#VALUE!</v>
      </c>
      <c r="AV40" s="311"/>
      <c r="AW40" s="311"/>
      <c r="AX40" s="311"/>
      <c r="AY40" s="311"/>
      <c r="AZ40" s="311"/>
      <c r="BA40" s="311"/>
      <c r="BB40" s="311" t="s">
        <v>440</v>
      </c>
      <c r="BD40" s="466">
        <v>4</v>
      </c>
      <c r="BE40" s="591" t="s">
        <v>417</v>
      </c>
      <c r="BF40" s="316" t="str">
        <f>IF(AND(MAX($AE$58:$AL$58)&lt;1,ISNUMBER($AK$29), ISNUMBER($AL$29)),IF(AND(IF(-$AL$29&lt;$BS$19,$AT$65,$AT$64)&lt;0,$AL$29&lt;0),6,IF(AND($AK$29&lt;0,$AL$29&gt;0),5,IF(AND($AK$29&gt;0,IF($AK$29&lt;$BT$19,$AU$65,$AU$62)&lt;0),4,""))),"")</f>
        <v/>
      </c>
      <c r="BG40" s="291">
        <v>4</v>
      </c>
      <c r="BH40" s="291">
        <v>33</v>
      </c>
      <c r="BI40" s="291">
        <v>34</v>
      </c>
      <c r="BJ40" s="291">
        <v>3</v>
      </c>
      <c r="BK40" s="291">
        <v>10</v>
      </c>
      <c r="BL40" s="291">
        <v>9</v>
      </c>
      <c r="BM40" s="291">
        <v>8</v>
      </c>
      <c r="BN40" s="291">
        <v>5</v>
      </c>
      <c r="BO40" s="291">
        <v>32</v>
      </c>
      <c r="BZ40" s="596"/>
      <c r="CA40" s="596"/>
    </row>
    <row r="41" spans="1:79" ht="12" customHeight="1" thickBot="1" x14ac:dyDescent="0.3">
      <c r="B41" s="417" t="e">
        <f>B42</f>
        <v>#VALUE!</v>
      </c>
      <c r="C41" s="598"/>
      <c r="L41" s="703"/>
      <c r="M41" s="707"/>
      <c r="V41" s="581"/>
      <c r="W41" s="425" t="e">
        <f>W42</f>
        <v>#VALUE!</v>
      </c>
      <c r="AA41" s="593"/>
      <c r="AB41" s="292"/>
      <c r="AC41" s="466">
        <v>4</v>
      </c>
      <c r="AD41" s="591" t="s">
        <v>430</v>
      </c>
      <c r="AE41" s="322" t="e">
        <f>IF($AK$41="","",$AK$41-$BW$26)</f>
        <v>#VALUE!</v>
      </c>
      <c r="AF41" s="322" t="e">
        <f>IF($AL$41="","",$AL$41-$BX$26)</f>
        <v>#VALUE!</v>
      </c>
      <c r="AG41" s="322" t="e">
        <f>IF($AK$41="","",$AK$41+$BO$26-$BG$26)</f>
        <v>#VALUE!</v>
      </c>
      <c r="AH41" s="322" t="e">
        <f>IF($AL$41="","",$AL$41+$BP$26+$BH$26)</f>
        <v>#VALUE!</v>
      </c>
      <c r="AI41" s="322" t="e">
        <f>IF($AK$41="","",$AK$41+$BO$26)</f>
        <v>#VALUE!</v>
      </c>
      <c r="AJ41" s="322" t="e">
        <f>IF($AL$41="","",$AL$41+$BP$26)</f>
        <v>#VALUE!</v>
      </c>
      <c r="AK41" s="323" t="e">
        <f>IF(AND($AS$24+'SHL Section'!$AI$10&lt;0,$AR$24+'SHL Section'!$AK$10&gt;0),$AK$24+'SHL Section'!$AI$10,"")</f>
        <v>#VALUE!</v>
      </c>
      <c r="AL41" s="323" t="e">
        <f>IF(AND($AS$24+'SHL Section'!$AI$10&lt;0,$AR$24+'SHL Section'!$AK$10&gt;0),$AL$24+'SHL Section'!$AK$10,"")</f>
        <v>#VALUE!</v>
      </c>
      <c r="AM41" s="322" t="e">
        <f>IF($AK$41="","",$AK$41-$BW$26+$AW$22)</f>
        <v>#VALUE!</v>
      </c>
      <c r="AN41" s="322" t="e">
        <f>IF($AL$41="","",$AL$41-$BX$26+$AX$22)</f>
        <v>#VALUE!</v>
      </c>
      <c r="AO41" s="322" t="e">
        <f>IF($AK$41="","",$AK$41+$BO$26-$BI$22)</f>
        <v>#VALUE!</v>
      </c>
      <c r="AP41" s="322" t="e">
        <f>IF($AL$41="","",$AL$41+$BP$26-$BJ$22)</f>
        <v>#VALUE!</v>
      </c>
      <c r="AQ41" s="322" t="e">
        <f>IF($AK$41="","",$AK$41+$BQ$22)</f>
        <v>#VALUE!</v>
      </c>
      <c r="AR41" s="322" t="e">
        <f>IF($AL$41="","",$AL$41+$BR$22)</f>
        <v>#VALUE!</v>
      </c>
      <c r="AS41" s="322" t="e">
        <f>IF($AK$41="","",$AK$41-$BU$22)</f>
        <v>#VALUE!</v>
      </c>
      <c r="AT41" s="322" t="e">
        <f>IF($AL$41="","",$AL$41-$BV$22)</f>
        <v>#VALUE!</v>
      </c>
      <c r="AV41" s="311"/>
      <c r="AW41" s="311"/>
      <c r="AX41" s="311"/>
      <c r="AY41" s="311"/>
      <c r="AZ41" s="311"/>
      <c r="BA41" s="311"/>
      <c r="BB41" s="311" t="s">
        <v>443</v>
      </c>
      <c r="BD41" s="318">
        <v>1</v>
      </c>
      <c r="BE41" s="317" t="s">
        <v>419</v>
      </c>
      <c r="BF41" s="334" t="str">
        <f>IF(AND(MAX($AE$69:$AL$69)&lt;1,ISNUMBER($AE$32), ISNUMBER($AF$32)),IF(AND($AE$32&gt;0,$AF$32&gt;0),3,IF(AND($AE$32&lt;0,IF(-$AE$32&lt;$BZ$19,$AO$73,$AO$76)&lt;0),4,IF(AND(IF(-$AF$32&lt;$AW$19,$AN$73,$AN$74)&lt;0,$AF$32&lt;0),2,""))),"")</f>
        <v/>
      </c>
      <c r="BG41" s="291">
        <v>5</v>
      </c>
      <c r="BH41" s="291">
        <v>32</v>
      </c>
      <c r="BI41" s="291">
        <v>33</v>
      </c>
      <c r="BJ41" s="291">
        <v>4</v>
      </c>
      <c r="BK41" s="291">
        <v>9</v>
      </c>
      <c r="BL41" s="291">
        <v>8</v>
      </c>
      <c r="BM41" s="291">
        <v>7</v>
      </c>
      <c r="BN41" s="291">
        <v>6</v>
      </c>
      <c r="BO41" s="291">
        <v>31</v>
      </c>
      <c r="BZ41" s="596"/>
      <c r="CA41" s="596"/>
    </row>
    <row r="42" spans="1:79" ht="12" customHeight="1" x14ac:dyDescent="0.25">
      <c r="A42" s="426" t="s">
        <v>385</v>
      </c>
      <c r="B42" s="299" t="e">
        <f>IF(NOT(ISBLANK(D42)),D42,DGET('Grid Numbers'!$A$2:$L$4952,'Grid Numbers'!$H$2,$B$70:$H$71))</f>
        <v>#VALUE!</v>
      </c>
      <c r="C42" s="598"/>
      <c r="D42" s="486"/>
      <c r="G42" s="747" t="s">
        <v>441</v>
      </c>
      <c r="H42" s="735"/>
      <c r="L42" s="308"/>
      <c r="M42" s="307"/>
      <c r="Q42" s="747" t="s">
        <v>442</v>
      </c>
      <c r="R42" s="735"/>
      <c r="U42" s="486"/>
      <c r="V42" s="581"/>
      <c r="W42" s="470" t="e">
        <f>IF(NOT(ISBLANK(U42)),U42,DGET('Grid Numbers'!$A$2:$L$4952,'Grid Numbers'!$H$2,$B$78:$H$79))</f>
        <v>#VALUE!</v>
      </c>
      <c r="X42" s="423" t="s">
        <v>385</v>
      </c>
      <c r="AA42" s="593"/>
      <c r="AB42" s="292"/>
      <c r="AC42" s="762"/>
      <c r="AD42" s="683"/>
      <c r="AE42" s="321" t="str">
        <f>IF(ISNUMBER($AE$38),AE$38,IF(ISNUMBER($AG$39),AE$39,IF(ISNUMBER($AI$40),AE$40,IF(ISNUMBER($AK$41),AE$41,""))))</f>
        <v/>
      </c>
      <c r="AF42" s="321" t="str">
        <f>IF(ISNUMBER($AF$38),AF$38,IF(ISNUMBER($AH$39),AF$39,IF(ISNUMBER($AJ$40),AF$40,IF(ISNUMBER($AL$41),AF$41,""))))</f>
        <v/>
      </c>
      <c r="AG42" s="321" t="str">
        <f>IF(ISNUMBER($AE$38),AG$38,IF(ISNUMBER($AG$39),AG$39,IF(ISNUMBER($AI$40),AG$40,IF(ISNUMBER($AK$41),AG$41,""))))</f>
        <v/>
      </c>
      <c r="AH42" s="321" t="str">
        <f>IF(ISNUMBER($AF$38),AH$38,IF(ISNUMBER($AH$39),AH$39,IF(ISNUMBER($AJ$40),AH$40,IF(ISNUMBER($AL$41),AH$41,""))))</f>
        <v/>
      </c>
      <c r="AI42" s="321" t="str">
        <f>IF(ISNUMBER($AE$38),AI$38,IF(ISNUMBER($AG$39),AI$39,IF(ISNUMBER($AI$40),AI$40,IF(ISNUMBER($AK$41),AI$41,""))))</f>
        <v/>
      </c>
      <c r="AJ42" s="321" t="str">
        <f>IF(ISNUMBER($AF$38),AJ$38,IF(ISNUMBER($AH$39),AJ$39,IF(ISNUMBER($AJ$40),AJ$40,IF(ISNUMBER($AL$41),AJ$41,""))))</f>
        <v/>
      </c>
      <c r="AK42" s="321" t="str">
        <f>IF(ISNUMBER($AE$38),AK$38,IF(ISNUMBER($AG$39),AK$39,IF(ISNUMBER($AI$40),AK$40,IF(ISNUMBER($AK$41),AK$41,""))))</f>
        <v/>
      </c>
      <c r="AL42" s="321" t="str">
        <f>IF(ISNUMBER($AF$38),AL$38,IF(ISNUMBER($AH$39),AL$39,IF(ISNUMBER($AJ$40),AL$40,IF(ISNUMBER($AL$41),AL$41,""))))</f>
        <v/>
      </c>
      <c r="AM42" s="321" t="str">
        <f>IF(ISNUMBER($AE$38),AM$38,IF(ISNUMBER($AG$39),AM$39,IF(ISNUMBER($AI$40),AM$40,IF(ISNUMBER($AK$41),AM$41,""))))</f>
        <v/>
      </c>
      <c r="AN42" s="321" t="str">
        <f>IF(ISNUMBER($AF$38),AN$38,IF(ISNUMBER($AH$39),AN$39,IF(ISNUMBER($AJ$40),AN$40,IF(ISNUMBER($AL$41),AN$41,""))))</f>
        <v/>
      </c>
      <c r="AO42" s="321" t="str">
        <f>IF(ISNUMBER($AE$38),AO$38,IF(ISNUMBER($AG$39),AO$39,IF(ISNUMBER($AI$40),AO$40,IF(ISNUMBER($AK$41),AO$41,""))))</f>
        <v/>
      </c>
      <c r="AP42" s="321" t="str">
        <f>IF(ISNUMBER($AF$38),AP$38,IF(ISNUMBER($AH$39),AP$39,IF(ISNUMBER($AJ$40),AP$40,IF(ISNUMBER($AL$41),AP$41,""))))</f>
        <v/>
      </c>
      <c r="AQ42" s="321" t="str">
        <f>IF(ISNUMBER($AE$38),AQ$38,IF(ISNUMBER($AG$39),AQ$39,IF(ISNUMBER($AI$40),AQ$40,IF(ISNUMBER($AK$41),AQ$41,""))))</f>
        <v/>
      </c>
      <c r="AR42" s="321" t="str">
        <f>IF(ISNUMBER($AF$38),AR$38,IF(ISNUMBER($AH$39),AR$39,IF(ISNUMBER($AJ$40),AR$40,IF(ISNUMBER($AL$41),AR$41,""))))</f>
        <v/>
      </c>
      <c r="AS42" s="321" t="str">
        <f>IF(ISNUMBER($AE$38),AS$38,IF(ISNUMBER($AG$39),AS$39,IF(ISNUMBER($AI$40),AS$40,IF(ISNUMBER($AK$41),AS$41,""))))</f>
        <v/>
      </c>
      <c r="AT42" s="321" t="str">
        <f>IF(ISNUMBER($AF$38),AT$38,IF(ISNUMBER($AH$39),AT$39,IF(ISNUMBER($AJ$40),AT$40,IF(ISNUMBER($AL$41),AT$41,""))))</f>
        <v/>
      </c>
      <c r="AV42" s="311"/>
      <c r="AW42" s="311"/>
      <c r="AX42" s="311"/>
      <c r="AY42" s="311"/>
      <c r="AZ42" s="311"/>
      <c r="BA42" s="311"/>
      <c r="BB42" s="311" t="s">
        <v>444</v>
      </c>
      <c r="BD42" s="318">
        <v>2</v>
      </c>
      <c r="BE42" s="317" t="s">
        <v>419</v>
      </c>
      <c r="BF42" s="334" t="str">
        <f>IF(AND(MAX($AE$69:$AL$69)&lt;1,ISNUMBER($AG$33), ISNUMBER($AH$33)),IF(AND(IF($AH$33&lt;$BC$19,$AP$74,$AP$73)&lt;0,$AH$33&gt;0),2,IF(AND($AG$33&gt;0,$AH$33&lt;0),9,IF(AND($AG$33&lt;0,IF(-$AG$33&lt;$BD$19,$AQ$74,$AQ$75)&lt;0),8,""))),"")</f>
        <v/>
      </c>
      <c r="BG42" s="291">
        <v>6</v>
      </c>
      <c r="BH42" s="291">
        <v>31</v>
      </c>
      <c r="BI42" s="291">
        <v>32</v>
      </c>
      <c r="BJ42" s="291">
        <v>5</v>
      </c>
      <c r="BK42" s="291">
        <v>8</v>
      </c>
      <c r="BL42" s="291">
        <v>7</v>
      </c>
      <c r="BM42" s="291">
        <v>12</v>
      </c>
      <c r="BN42" s="291">
        <v>1</v>
      </c>
      <c r="BO42" s="291">
        <v>36</v>
      </c>
      <c r="BZ42" s="596"/>
      <c r="CA42" s="596"/>
    </row>
    <row r="43" spans="1:79" ht="12" customHeight="1" x14ac:dyDescent="0.25">
      <c r="A43" s="426" t="s">
        <v>395</v>
      </c>
      <c r="B43" s="293" t="e">
        <f>IF(NOT(ISBLANK(D43)),D43,DGET('Grid Numbers'!$A$2:$L$4952,'Grid Numbers'!$I$2,$B$70:$H$71))</f>
        <v>#VALUE!</v>
      </c>
      <c r="C43" s="598"/>
      <c r="D43" s="486"/>
      <c r="G43" s="313" t="str">
        <f>IF(ISNUMBER($AI$58),$B$8,"")</f>
        <v/>
      </c>
      <c r="H43" s="312" t="str">
        <f>IF(AND(G44="",G45=""),"",IF($AI$58=1,"NE/SW",IF($AI$58=2,"NW/SW",IF($AI$58=3,"SW/SW",IF($AI$58=4,"SE/SW","")))))</f>
        <v/>
      </c>
      <c r="L43" s="308"/>
      <c r="M43" s="307"/>
      <c r="Q43" s="313" t="str">
        <f>IF(ISNUMBER($AK$58),$B$8,"")</f>
        <v/>
      </c>
      <c r="R43" s="312" t="str">
        <f>IF(AND(Q44="",Q45=""),"",IF($AK$58=1,"NE/SE",IF($AK$58=2,"NW/SE",IF($AK$58=3,"SW/SE",IF($AK$58=4,"SE/SE","")))))</f>
        <v/>
      </c>
      <c r="U43" s="486"/>
      <c r="V43" s="581"/>
      <c r="W43" s="471" t="e">
        <f>IF(NOT(ISBLANK(U43)),U43,DGET('Grid Numbers'!$A$2:$L$4952,'Grid Numbers'!$I$2,$B$78:$H$79))</f>
        <v>#VALUE!</v>
      </c>
      <c r="X43" s="423" t="s">
        <v>395</v>
      </c>
      <c r="AA43" s="593"/>
      <c r="AB43" s="292"/>
      <c r="AV43" s="311"/>
      <c r="AW43" s="311"/>
      <c r="AX43" s="311"/>
      <c r="AY43" s="311"/>
      <c r="AZ43" s="311"/>
      <c r="BA43" s="311"/>
      <c r="BB43" s="311" t="s">
        <v>445</v>
      </c>
      <c r="BD43" s="318">
        <v>3</v>
      </c>
      <c r="BE43" s="317" t="s">
        <v>419</v>
      </c>
      <c r="BF43" s="334" t="str">
        <f>IF(AND(MAX($AE$69:$AL$69)&lt;1,ISNUMBER($AI$34), ISNUMBER($AJ$34)),IF(AND($AI$34&gt;0,IF($AI$34&lt;$BJ$19,$AS$75,$AS$74)&lt;0),8,IF(AND($AI$34&lt;0,$AJ$34&lt;0),7,IF(AND(IF($AJ$34&lt;$BM$19,$AR$75,$AR$76)&lt;0,$AJ$34&gt;0),6,""))),"")</f>
        <v/>
      </c>
      <c r="BG43" s="291">
        <v>7</v>
      </c>
      <c r="BH43" s="291">
        <v>6</v>
      </c>
      <c r="BI43" s="291">
        <v>5</v>
      </c>
      <c r="BJ43" s="291">
        <v>8</v>
      </c>
      <c r="BK43" s="291">
        <v>17</v>
      </c>
      <c r="BL43" s="291">
        <v>18</v>
      </c>
      <c r="BM43" s="291">
        <v>13</v>
      </c>
      <c r="BN43" s="291">
        <v>12</v>
      </c>
      <c r="BO43" s="291">
        <v>1</v>
      </c>
      <c r="BZ43" s="596"/>
      <c r="CA43" s="596"/>
    </row>
    <row r="44" spans="1:79" ht="12" customHeight="1" x14ac:dyDescent="0.25">
      <c r="A44" s="426" t="s">
        <v>398</v>
      </c>
      <c r="B44" s="293" t="e">
        <f>IF(NOT(ISBLANK(D44)),D44,DGET('Grid Numbers'!$A$2:$L$4952,'Grid Numbers'!$J$2,$B$70:$H$71))</f>
        <v>#VALUE!</v>
      </c>
      <c r="C44" s="598"/>
      <c r="D44" s="486"/>
      <c r="G44" s="310" t="str">
        <f>IF(ISNUMBER($AI$58),$I$8,"")</f>
        <v/>
      </c>
      <c r="H44" s="309" t="str">
        <f>IF(ISNUMBER($AI$58),"FSL","")</f>
        <v/>
      </c>
      <c r="J44" s="596"/>
      <c r="K44" s="596"/>
      <c r="L44" s="308"/>
      <c r="M44" s="307"/>
      <c r="Q44" s="310" t="str">
        <f>IF(ISNUMBER($AK$58),$I$8,"")</f>
        <v/>
      </c>
      <c r="R44" s="309" t="str">
        <f>IF(ISNUMBER($AK$58),"FSL","")</f>
        <v/>
      </c>
      <c r="T44" s="596"/>
      <c r="U44" s="486"/>
      <c r="V44" s="581"/>
      <c r="W44" s="471" t="e">
        <f>IF(NOT(ISBLANK(U44)),U44,DGET('Grid Numbers'!$A$2:$L$4952,'Grid Numbers'!$J$2,$B$78:$H$79))</f>
        <v>#VALUE!</v>
      </c>
      <c r="X44" s="423" t="s">
        <v>398</v>
      </c>
      <c r="AA44" s="593"/>
      <c r="AB44" s="292"/>
      <c r="AV44" s="311"/>
      <c r="AW44" s="311"/>
      <c r="AX44" s="311"/>
      <c r="AY44" s="311"/>
      <c r="AZ44" s="311"/>
      <c r="BA44" s="311"/>
      <c r="BB44" s="311" t="s">
        <v>450</v>
      </c>
      <c r="BD44" s="466">
        <v>4</v>
      </c>
      <c r="BE44" s="591" t="s">
        <v>419</v>
      </c>
      <c r="BF44" s="316" t="str">
        <f>IF(AND(MAX($AE$69:$AL$69)&lt;1,ISNUMBER($AK$35), ISNUMBER($AL$35)),IF(AND(IF(-$AL$35&lt;$BS$19,$AT$76,$AT$75)&lt;0,$AL$35&lt;0),6,IF(AND($AK$35&lt;0,$AL$35&gt;0),5,IF(AND($AK$35&gt;0,IF($AK$35&lt;$BT$19,$AU$76,$AU$73)&lt;0),4,""))),"")</f>
        <v/>
      </c>
      <c r="BG44" s="291">
        <v>8</v>
      </c>
      <c r="BH44" s="291">
        <v>5</v>
      </c>
      <c r="BI44" s="291">
        <v>4</v>
      </c>
      <c r="BJ44" s="291">
        <v>9</v>
      </c>
      <c r="BK44" s="291">
        <v>16</v>
      </c>
      <c r="BL44" s="291">
        <v>17</v>
      </c>
      <c r="BM44" s="291">
        <v>18</v>
      </c>
      <c r="BN44" s="291">
        <v>7</v>
      </c>
      <c r="BO44" s="291">
        <v>6</v>
      </c>
      <c r="BZ44" s="596"/>
      <c r="CA44" s="596"/>
    </row>
    <row r="45" spans="1:79" ht="12" customHeight="1" x14ac:dyDescent="0.25">
      <c r="A45" s="426" t="s">
        <v>410</v>
      </c>
      <c r="B45" s="293" t="e">
        <f>IF(NOT(ISBLANK(D45)),D45,DGET('Grid Numbers'!$A$2:$L$4952,'Grid Numbers'!$K$2,$B$70:$H$71))</f>
        <v>#VALUE!</v>
      </c>
      <c r="C45" s="598"/>
      <c r="D45" s="487"/>
      <c r="G45" s="306" t="str">
        <f>IF(ISNUMBER($AI$58),$K$8,"")</f>
        <v/>
      </c>
      <c r="H45" s="305" t="str">
        <f>IF(ISNUMBER($AI$58),"FWL","")</f>
        <v/>
      </c>
      <c r="J45" s="596"/>
      <c r="K45" s="596"/>
      <c r="L45" s="308"/>
      <c r="M45" s="307"/>
      <c r="Q45" s="306" t="str">
        <f>IF(ISNUMBER($AK$58),$K$8,"")</f>
        <v/>
      </c>
      <c r="R45" s="305" t="str">
        <f>IF(ISNUMBER($AK$58),"FEL","")</f>
        <v/>
      </c>
      <c r="T45" s="596"/>
      <c r="U45" s="487"/>
      <c r="V45" s="581"/>
      <c r="W45" s="471" t="e">
        <f>IF(NOT(ISBLANK(U45)),U45,DGET('Grid Numbers'!$A$2:$L$4952,'Grid Numbers'!$K$2,$B$78:$H$79))</f>
        <v>#VALUE!</v>
      </c>
      <c r="X45" s="423" t="s">
        <v>410</v>
      </c>
      <c r="AA45" s="593"/>
      <c r="AB45" s="292"/>
      <c r="AC45" s="317"/>
      <c r="AD45" s="317"/>
      <c r="AE45" s="772" t="s">
        <v>446</v>
      </c>
      <c r="AF45" s="683"/>
      <c r="AG45" s="768" t="s">
        <v>447</v>
      </c>
      <c r="AH45" s="682"/>
      <c r="AI45" s="772" t="s">
        <v>448</v>
      </c>
      <c r="AJ45" s="683"/>
      <c r="AK45" s="772" t="s">
        <v>449</v>
      </c>
      <c r="AL45" s="683"/>
      <c r="AV45" s="311"/>
      <c r="AW45" s="311"/>
      <c r="AX45" s="311"/>
      <c r="AY45" s="311"/>
      <c r="AZ45" s="311"/>
      <c r="BA45" s="311"/>
      <c r="BB45" s="311" t="s">
        <v>451</v>
      </c>
      <c r="BD45" s="318">
        <v>1</v>
      </c>
      <c r="BE45" s="317" t="s">
        <v>430</v>
      </c>
      <c r="BF45" s="334" t="str">
        <f>IF(AND(MAX($AE$80:$AL$80)&lt;1,ISNUMBER($AE$38), ISNUMBER($AF$38)),IF(AND($AE$38&gt;0,$AF$38&gt;0),3,IF(AND($AE$38&lt;0,IF(-$AE$38&lt;$BZ$19,$AO$84,$AO$87)&lt;0),4,IF(AND(IF(-$AF$38&lt;$AW$19,$AN$84,$AN$85)&lt;0,$AF$38&lt;0),2,""))),"")</f>
        <v/>
      </c>
      <c r="BG45" s="291">
        <v>9</v>
      </c>
      <c r="BH45" s="291">
        <v>4</v>
      </c>
      <c r="BI45" s="291">
        <v>3</v>
      </c>
      <c r="BJ45" s="291">
        <v>10</v>
      </c>
      <c r="BK45" s="291">
        <v>15</v>
      </c>
      <c r="BL45" s="291">
        <v>16</v>
      </c>
      <c r="BM45" s="291">
        <v>17</v>
      </c>
      <c r="BN45" s="291">
        <v>8</v>
      </c>
      <c r="BO45" s="291">
        <v>5</v>
      </c>
      <c r="BZ45" s="596"/>
      <c r="CA45" s="596"/>
    </row>
    <row r="46" spans="1:79" ht="12" customHeight="1" x14ac:dyDescent="0.25">
      <c r="A46" s="426" t="s">
        <v>411</v>
      </c>
      <c r="B46" s="319" t="e">
        <f>IF(NOT(ISBLANK(D46)),D46,DGET('Grid Numbers'!$A$2:$L$4952,'Grid Numbers'!$L$2,$B$70:$H$71))</f>
        <v>#VALUE!</v>
      </c>
      <c r="C46" s="598"/>
      <c r="D46" s="490"/>
      <c r="G46" s="313" t="str">
        <f>IF(ISNUMBER($AI$69),$B$9,"")</f>
        <v/>
      </c>
      <c r="H46" s="312" t="str">
        <f>IF(AND(G47="",G48=""),"",IF($AI$69=1,"NE/SW",IF($AI$69=2,"NW/SW",IF($AI$69=3,"SW/SW",IF($AI$69=4,"SE/SW","")))))</f>
        <v/>
      </c>
      <c r="I46" s="425"/>
      <c r="J46" s="424"/>
      <c r="K46" s="424"/>
      <c r="L46" s="308"/>
      <c r="M46" s="307"/>
      <c r="Q46" s="313" t="str">
        <f>IF(ISNUMBER($AK$69),$B$9,"")</f>
        <v/>
      </c>
      <c r="R46" s="312" t="str">
        <f>IF(AND(Q47="",Q48=""),"",IF($AK$69=1,"NE/SE",IF($AK$69=2,"NW/SE",IF($AK$69=3,"SW/SE",IF($AK$69=4,"SE/SE","")))))</f>
        <v/>
      </c>
      <c r="S46" s="425"/>
      <c r="T46" s="424"/>
      <c r="U46" s="490"/>
      <c r="V46" s="581"/>
      <c r="W46" s="319" t="e">
        <f>IF(NOT(ISBLANK(U46)),U46,DGET('Grid Numbers'!$A$2:$L$4952,'Grid Numbers'!$L$2,$B$78:$H$79))</f>
        <v>#VALUE!</v>
      </c>
      <c r="X46" s="423" t="s">
        <v>411</v>
      </c>
      <c r="AA46" s="593"/>
      <c r="AB46" s="292"/>
      <c r="AD46" s="317"/>
      <c r="AE46" s="783">
        <v>1</v>
      </c>
      <c r="AF46" s="683"/>
      <c r="AG46" s="783">
        <v>2</v>
      </c>
      <c r="AH46" s="683"/>
      <c r="AI46" s="783">
        <v>3</v>
      </c>
      <c r="AJ46" s="683"/>
      <c r="AK46" s="783">
        <v>4</v>
      </c>
      <c r="AL46" s="683"/>
      <c r="AV46" s="311"/>
      <c r="AW46" s="311"/>
      <c r="AX46" s="311"/>
      <c r="AY46" s="311"/>
      <c r="AZ46" s="311"/>
      <c r="BA46" s="311"/>
      <c r="BB46" s="311" t="s">
        <v>453</v>
      </c>
      <c r="BD46" s="318">
        <v>2</v>
      </c>
      <c r="BE46" s="317" t="s">
        <v>430</v>
      </c>
      <c r="BF46" s="334" t="str">
        <f>IF(AND(MAX($AE$80:$AL$80)&lt;1,ISNUMBER($AG$39), ISNUMBER($AH$39)),IF(AND(IF($AH$39&lt;$BC$19,$AP$85,$AP$84)&lt;0,$AH$39&gt;0),2,IF(AND($AG$39&gt;0,$AH$39&lt;0),9,IF(AND($AG$39&lt;0,IF(-$AG$39&lt;$BD$19,$AQ$85,$AQ$86)&lt;0),8,""))),"")</f>
        <v/>
      </c>
      <c r="BG46" s="291">
        <v>10</v>
      </c>
      <c r="BH46" s="291">
        <v>3</v>
      </c>
      <c r="BI46" s="291">
        <v>2</v>
      </c>
      <c r="BJ46" s="291">
        <v>11</v>
      </c>
      <c r="BK46" s="291">
        <v>14</v>
      </c>
      <c r="BL46" s="291">
        <v>15</v>
      </c>
      <c r="BM46" s="291">
        <v>16</v>
      </c>
      <c r="BN46" s="291">
        <v>9</v>
      </c>
      <c r="BO46" s="291">
        <v>4</v>
      </c>
      <c r="BZ46" s="596"/>
      <c r="CA46" s="596"/>
    </row>
    <row r="47" spans="1:79" ht="12" customHeight="1" x14ac:dyDescent="0.25">
      <c r="A47" s="426" t="s">
        <v>412</v>
      </c>
      <c r="B47" s="643" t="e">
        <f>IF(AND($L$38='SHL Section'!$BE$52,MAX('BHL Section 2'!$BF$37:$BF$40)=4),'BHL Section 2'!$W$47,IF(AND($L$38='SHL Section'!$BE$55,MAX('BHL Section 2'!$BF$41:$BF$44)=4),'BHL Section 2'!$W$47,IF(AND($L$38='SHL Section'!$BE$58,MAX('BHL Section 2'!$BF$45:$BF$48)=4),'BHL Section 2'!$W$47,IF(B43="","",IF(OR(B46=1,B46=4),180-(B43+B44/60+B45/3600),180+(B43+B44/60+B45/3600))))))</f>
        <v>#VALUE!</v>
      </c>
      <c r="C47" s="598"/>
      <c r="G47" s="310" t="str">
        <f>IF(ISNUMBER($AI$69),$I$9,"")</f>
        <v/>
      </c>
      <c r="H47" s="309" t="str">
        <f>IF(ISNUMBER($AI$69),"FSL","")</f>
        <v/>
      </c>
      <c r="I47" s="425"/>
      <c r="J47" s="424"/>
      <c r="K47" s="424"/>
      <c r="L47" s="308"/>
      <c r="M47" s="307"/>
      <c r="Q47" s="310" t="str">
        <f>IF(ISNUMBER($AK$69),$I$9,"")</f>
        <v/>
      </c>
      <c r="R47" s="309" t="str">
        <f>IF(ISNUMBER($AK$69),"FSL","")</f>
        <v/>
      </c>
      <c r="S47" s="425"/>
      <c r="T47" s="424"/>
      <c r="V47" s="581"/>
      <c r="W47" s="642" t="e">
        <f>IF(AND($L$38='SHL Section'!$BE$52,MAX('BHL Section 2'!$BF$37:$BF$40)=8),'BHL Section 2'!$B$47,IF(AND($L$38='SHL Section'!$BE$55,MAX('BHL Section 2'!$BF$41:$BF$44)=8),'BHL Section 2'!$B$47,IF(AND($L$38='SHL Section'!$BE$58,MAX('BHL Section 2'!$BF$45:$BF$48)=8),'BHL Section 2'!$B$47,IF(W43="","",IF(OR(W46=1,W46=4),180-(W43+W44/60+W45/3600),180+(W43+W44/60+W45/3600))))))</f>
        <v>#VALUE!</v>
      </c>
      <c r="X47" s="423" t="s">
        <v>412</v>
      </c>
      <c r="AA47" s="593"/>
      <c r="AE47" s="761" t="s">
        <v>452</v>
      </c>
      <c r="AF47" s="757"/>
      <c r="AG47" s="767" t="s">
        <v>452</v>
      </c>
      <c r="AH47" s="735"/>
      <c r="AI47" s="761" t="s">
        <v>452</v>
      </c>
      <c r="AJ47" s="757"/>
      <c r="AK47" s="761" t="s">
        <v>452</v>
      </c>
      <c r="AL47" s="757"/>
      <c r="AV47" s="311"/>
      <c r="AW47" s="311"/>
      <c r="AX47" s="311"/>
      <c r="AY47" s="311"/>
      <c r="AZ47" s="311"/>
      <c r="BA47" s="311"/>
      <c r="BB47" s="311" t="s">
        <v>454</v>
      </c>
      <c r="BD47" s="318">
        <v>3</v>
      </c>
      <c r="BE47" s="317" t="s">
        <v>430</v>
      </c>
      <c r="BF47" s="334" t="str">
        <f>IF(AND(MAX($AE$80:$AL$80)&lt;1,ISNUMBER($AI$40), ISNUMBER($AJ$40)),IF(AND($AI$40&gt;0,IF($AI$40&lt;$BJ$19,$AS$86,$AS$85)&lt;0),8,IF(AND($AI$40&lt;0,$AJ$40&lt;0),7,IF(AND(IF($AJ$40&lt;$BM$19,$AR$86,$AR$87)&lt;0,$AJ$40&gt;0),6,""))),"")</f>
        <v/>
      </c>
      <c r="BG47" s="291">
        <v>11</v>
      </c>
      <c r="BH47" s="291">
        <v>2</v>
      </c>
      <c r="BI47" s="291">
        <v>1</v>
      </c>
      <c r="BJ47" s="291">
        <v>12</v>
      </c>
      <c r="BK47" s="291">
        <v>13</v>
      </c>
      <c r="BL47" s="291">
        <v>14</v>
      </c>
      <c r="BM47" s="291">
        <v>15</v>
      </c>
      <c r="BN47" s="291">
        <v>10</v>
      </c>
      <c r="BO47" s="291">
        <v>3</v>
      </c>
      <c r="BZ47" s="596"/>
      <c r="CA47" s="596"/>
    </row>
    <row r="48" spans="1:79" ht="12" customHeight="1" x14ac:dyDescent="0.25">
      <c r="C48" s="598"/>
      <c r="G48" s="306" t="str">
        <f>IF(ISNUMBER($AI$69),$K$9,"")</f>
        <v/>
      </c>
      <c r="H48" s="305" t="str">
        <f>IF(ISNUMBER($AI$69),"FWL","")</f>
        <v/>
      </c>
      <c r="I48" s="425"/>
      <c r="J48" s="424"/>
      <c r="K48" s="424"/>
      <c r="L48" s="308"/>
      <c r="M48" s="307"/>
      <c r="Q48" s="306" t="str">
        <f>IF(ISNUMBER($AK$69),$K$9,"")</f>
        <v/>
      </c>
      <c r="R48" s="305" t="str">
        <f>IF(ISNUMBER($AK$69),"FEL","")</f>
        <v/>
      </c>
      <c r="S48" s="425"/>
      <c r="T48" s="424"/>
      <c r="V48" s="581"/>
      <c r="AA48" s="593"/>
      <c r="AE48" s="762"/>
      <c r="AF48" s="683"/>
      <c r="AG48" s="762"/>
      <c r="AH48" s="683"/>
      <c r="AI48" s="762"/>
      <c r="AJ48" s="683"/>
      <c r="AK48" s="762"/>
      <c r="AL48" s="683"/>
      <c r="AV48" s="311"/>
      <c r="AW48" s="311"/>
      <c r="AX48" s="311"/>
      <c r="AY48" s="311"/>
      <c r="AZ48" s="311"/>
      <c r="BA48" s="311"/>
      <c r="BB48" s="311" t="s">
        <v>455</v>
      </c>
      <c r="BD48" s="466">
        <v>4</v>
      </c>
      <c r="BE48" s="591" t="s">
        <v>430</v>
      </c>
      <c r="BF48" s="316" t="str">
        <f>IF(AND(MAX($AE$80:$AL$80)&lt;1,ISNUMBER($AK$41), ISNUMBER($AL$41)),IF(AND(IF(-$AL$41&lt;$BS$19,$AT$87,$AT$86)&lt;0,$AL$41&lt;0),6,IF(AND($AK$41&lt;0,$AL$41&gt;0),5,IF(AND($AK$41&gt;0,IF($AK$41&lt;$BT$19,$AU$87,$AU$84)&lt;0),4,""))),"")</f>
        <v/>
      </c>
      <c r="BG48" s="291">
        <v>12</v>
      </c>
      <c r="BH48" s="291">
        <v>1</v>
      </c>
      <c r="BI48" s="291">
        <v>6</v>
      </c>
      <c r="BJ48" s="291">
        <v>7</v>
      </c>
      <c r="BK48" s="291">
        <v>18</v>
      </c>
      <c r="BL48" s="291">
        <v>13</v>
      </c>
      <c r="BM48" s="291">
        <v>14</v>
      </c>
      <c r="BN48" s="291">
        <v>11</v>
      </c>
      <c r="BO48" s="291">
        <v>2</v>
      </c>
      <c r="BZ48" s="596"/>
      <c r="CA48" s="596"/>
    </row>
    <row r="49" spans="1:79" ht="12" customHeight="1" x14ac:dyDescent="0.25">
      <c r="B49" s="417" t="e">
        <f>B50</f>
        <v>#VALUE!</v>
      </c>
      <c r="C49" s="598"/>
      <c r="G49" s="313" t="str">
        <f>IF(ISNUMBER($AI$80),$B$10,"")</f>
        <v/>
      </c>
      <c r="H49" s="312" t="str">
        <f>IF(AND(G50="",G51=""),"",IF($AI$80=1,"NE/SW",IF($AI$80=2,"NW/SW",IF($AI$80=3,"SW/SW",IF($AI$80=4,"SE/SW","")))))</f>
        <v/>
      </c>
      <c r="I49" s="425"/>
      <c r="J49" s="424"/>
      <c r="K49" s="424"/>
      <c r="L49" s="308"/>
      <c r="M49" s="307"/>
      <c r="Q49" s="313" t="str">
        <f>IF(ISNUMBER($AK$80),$B$10,"")</f>
        <v/>
      </c>
      <c r="R49" s="312" t="str">
        <f>IF(AND(Q50="",Q51=""),"",IF($AK$80=1,"NE/SE",IF($AK$80=2,"NW/SE",IF($AK$80=3,"SW/SE",IF($AK$80=4,"SE/SE","")))))</f>
        <v/>
      </c>
      <c r="S49" s="425"/>
      <c r="T49" s="424"/>
      <c r="U49" s="593"/>
      <c r="V49" s="581"/>
      <c r="W49" s="425" t="e">
        <f>W50</f>
        <v>#VALUE!</v>
      </c>
      <c r="AA49" s="593"/>
      <c r="AE49" s="289"/>
      <c r="AF49" s="288"/>
      <c r="AG49" s="290"/>
      <c r="AH49" s="290"/>
      <c r="AI49" s="289"/>
      <c r="AJ49" s="288"/>
      <c r="AK49" s="289"/>
      <c r="AL49" s="288"/>
      <c r="AV49" s="311"/>
      <c r="AW49" s="311"/>
      <c r="AX49" s="311"/>
      <c r="AY49" s="311"/>
      <c r="AZ49" s="311"/>
      <c r="BA49" s="311"/>
      <c r="BB49" s="311" t="s">
        <v>461</v>
      </c>
      <c r="BG49" s="291">
        <v>13</v>
      </c>
      <c r="BH49" s="291">
        <v>12</v>
      </c>
      <c r="BI49" s="291">
        <v>7</v>
      </c>
      <c r="BJ49" s="291">
        <v>18</v>
      </c>
      <c r="BK49" s="291">
        <v>19</v>
      </c>
      <c r="BL49" s="291">
        <v>24</v>
      </c>
      <c r="BM49" s="291">
        <v>23</v>
      </c>
      <c r="BN49" s="291">
        <v>14</v>
      </c>
      <c r="BO49" s="291">
        <v>11</v>
      </c>
      <c r="BZ49" s="596"/>
      <c r="CA49" s="596"/>
    </row>
    <row r="50" spans="1:79" ht="12" customHeight="1" x14ac:dyDescent="0.25">
      <c r="A50" s="426" t="s">
        <v>385</v>
      </c>
      <c r="B50" s="299" t="e">
        <f>IF(NOT(ISBLANK(D50)),D50,DGET('Grid Numbers'!$A$2:$L$4952,'Grid Numbers'!$H$2,$B$72:$H$73))</f>
        <v>#VALUE!</v>
      </c>
      <c r="C50" s="598"/>
      <c r="D50" s="486"/>
      <c r="G50" s="310" t="str">
        <f>IF(ISNUMBER($AI$80),$I$10,"")</f>
        <v/>
      </c>
      <c r="H50" s="309" t="str">
        <f>IF(ISNUMBER($AI$80),"FSL","")</f>
        <v/>
      </c>
      <c r="I50" s="425"/>
      <c r="J50" s="424"/>
      <c r="K50" s="424"/>
      <c r="L50" s="308"/>
      <c r="M50" s="307"/>
      <c r="Q50" s="310" t="str">
        <f>IF(ISNUMBER($AK$80),$I$10,"")</f>
        <v/>
      </c>
      <c r="R50" s="309" t="str">
        <f>IF(ISNUMBER($AK$80),"FSL","")</f>
        <v/>
      </c>
      <c r="S50" s="425"/>
      <c r="T50" s="424"/>
      <c r="U50" s="486"/>
      <c r="V50" s="581"/>
      <c r="W50" s="299" t="e">
        <f>IF(NOT(ISBLANK(U50)),U50,DGET('Grid Numbers'!$A$2:$L$4952,'Grid Numbers'!$H$2,$B$80:$H$81))</f>
        <v>#VALUE!</v>
      </c>
      <c r="X50" s="423" t="s">
        <v>385</v>
      </c>
      <c r="AA50" s="593"/>
      <c r="AE50" s="761" t="s">
        <v>456</v>
      </c>
      <c r="AF50" s="757"/>
      <c r="AG50" s="767" t="s">
        <v>457</v>
      </c>
      <c r="AH50" s="735"/>
      <c r="AI50" s="761" t="s">
        <v>458</v>
      </c>
      <c r="AJ50" s="757"/>
      <c r="AK50" s="761" t="s">
        <v>459</v>
      </c>
      <c r="AL50" s="757"/>
      <c r="AV50" s="311"/>
      <c r="AW50" s="311"/>
      <c r="AX50" s="311"/>
      <c r="AY50" s="311"/>
      <c r="AZ50" s="311"/>
      <c r="BA50" s="311"/>
      <c r="BB50" s="311" t="s">
        <v>463</v>
      </c>
      <c r="BG50" s="291">
        <v>14</v>
      </c>
      <c r="BH50" s="291">
        <v>11</v>
      </c>
      <c r="BI50" s="291">
        <v>12</v>
      </c>
      <c r="BJ50" s="291">
        <v>13</v>
      </c>
      <c r="BK50" s="291">
        <v>24</v>
      </c>
      <c r="BL50" s="291">
        <v>23</v>
      </c>
      <c r="BM50" s="291">
        <v>22</v>
      </c>
      <c r="BN50" s="291">
        <v>15</v>
      </c>
      <c r="BO50" s="291">
        <v>10</v>
      </c>
      <c r="BZ50" s="596"/>
      <c r="CA50" s="596"/>
    </row>
    <row r="51" spans="1:79" ht="12" customHeight="1" x14ac:dyDescent="0.25">
      <c r="A51" s="426" t="s">
        <v>395</v>
      </c>
      <c r="B51" s="293" t="e">
        <f>IF(NOT(ISBLANK(D51)),D51,DGET('Grid Numbers'!$A$2:$L$4952,'Grid Numbers'!$I$2,$B$72:$H$73))</f>
        <v>#VALUE!</v>
      </c>
      <c r="C51" s="598"/>
      <c r="D51" s="486"/>
      <c r="G51" s="306" t="str">
        <f>IF(ISNUMBER($AI$80),$K$10,"")</f>
        <v/>
      </c>
      <c r="H51" s="305" t="str">
        <f>IF(ISNUMBER($AI$80),"FWL","")</f>
        <v/>
      </c>
      <c r="I51" s="425"/>
      <c r="J51" s="424"/>
      <c r="K51" s="424"/>
      <c r="L51" s="308"/>
      <c r="M51" s="307"/>
      <c r="Q51" s="306" t="str">
        <f>IF(ISNUMBER($AK$80),$K$10,"")</f>
        <v/>
      </c>
      <c r="R51" s="305" t="str">
        <f>IF(ISNUMBER($AK$80),"FEL","")</f>
        <v/>
      </c>
      <c r="S51" s="425"/>
      <c r="T51" s="424"/>
      <c r="U51" s="486"/>
      <c r="V51" s="581"/>
      <c r="W51" s="471" t="e">
        <f>IF(NOT(ISBLANK(U51)),U51,DGET('Grid Numbers'!$A$2:$L$4952,'Grid Numbers'!$I$2,$B$80:$H$81))</f>
        <v>#VALUE!</v>
      </c>
      <c r="X51" s="423" t="s">
        <v>395</v>
      </c>
      <c r="AA51" s="593"/>
      <c r="AB51" s="292"/>
      <c r="AC51" s="292"/>
      <c r="AD51" s="467" t="s">
        <v>340</v>
      </c>
      <c r="AE51" s="588" t="s">
        <v>336</v>
      </c>
      <c r="AF51" s="588" t="s">
        <v>337</v>
      </c>
      <c r="AG51" s="465" t="s">
        <v>336</v>
      </c>
      <c r="AH51" s="464" t="s">
        <v>337</v>
      </c>
      <c r="AI51" s="588" t="s">
        <v>336</v>
      </c>
      <c r="AJ51" s="588" t="s">
        <v>337</v>
      </c>
      <c r="AK51" s="588" t="s">
        <v>336</v>
      </c>
      <c r="AL51" s="588" t="s">
        <v>337</v>
      </c>
      <c r="AV51" s="311"/>
      <c r="AW51" s="311"/>
      <c r="AX51" s="311"/>
      <c r="AY51" s="311"/>
      <c r="AZ51" s="311"/>
      <c r="BA51" s="311"/>
      <c r="BB51" s="311" t="s">
        <v>464</v>
      </c>
      <c r="BG51" s="291">
        <v>15</v>
      </c>
      <c r="BH51" s="291">
        <v>10</v>
      </c>
      <c r="BI51" s="291">
        <v>11</v>
      </c>
      <c r="BJ51" s="291">
        <v>14</v>
      </c>
      <c r="BK51" s="291">
        <v>23</v>
      </c>
      <c r="BL51" s="291">
        <v>22</v>
      </c>
      <c r="BM51" s="291">
        <v>21</v>
      </c>
      <c r="BN51" s="291">
        <v>16</v>
      </c>
      <c r="BO51" s="291">
        <v>9</v>
      </c>
      <c r="BZ51" s="596"/>
      <c r="CA51" s="596"/>
    </row>
    <row r="52" spans="1:79" ht="12" customHeight="1" x14ac:dyDescent="0.25">
      <c r="A52" s="426" t="s">
        <v>398</v>
      </c>
      <c r="B52" s="293" t="e">
        <f>IF(NOT(ISBLANK(D52)),D52,DGET('Grid Numbers'!$A$2:$L$4952,'Grid Numbers'!$J$2,$B$72:$H$73))</f>
        <v>#VALUE!</v>
      </c>
      <c r="C52" s="598"/>
      <c r="D52" s="486"/>
      <c r="I52" s="425"/>
      <c r="J52" s="424"/>
      <c r="K52" s="424"/>
      <c r="L52" s="308"/>
      <c r="M52" s="307"/>
      <c r="P52" s="596"/>
      <c r="S52" s="425"/>
      <c r="T52" s="424"/>
      <c r="U52" s="486"/>
      <c r="V52" s="581"/>
      <c r="W52" s="471" t="e">
        <f>IF(NOT(ISBLANK(U52)),U52,DGET('Grid Numbers'!$A$2:$L$4952,'Grid Numbers'!$J$2,$B$80:$H$81))</f>
        <v>#VALUE!</v>
      </c>
      <c r="X52" s="423" t="s">
        <v>398</v>
      </c>
      <c r="AA52" s="593"/>
      <c r="AB52" s="593"/>
      <c r="AD52" s="317">
        <v>1</v>
      </c>
      <c r="AE52" s="304" t="str">
        <f>IF($AD52=AE$48,-($Q$30/$AV$28+$Q$31/$BZ$28*$AV$19/$AW$19)/(1-$AV$19/$AW$19*$CA$19/$BZ$19),"")</f>
        <v/>
      </c>
      <c r="AF52" s="285" t="str">
        <f>IF($AD52=AE$48,-($Q$31/$BZ$28+$Q$30/$AV$28*$CA$19/$BZ$19)/(1-$AV$19/$AW$19*$CA$19/$BZ$19),"")</f>
        <v/>
      </c>
      <c r="AG52" s="417" t="str">
        <f>IF($AD52=AG$48,-($G$30/$AZ$28-$BB$19-($G$31/$BD$28-$BC$19)*$AZ$19/$BA$19)/(1-$AZ$19/$BA$19*$BE$19/$BD$19),"")</f>
        <v/>
      </c>
      <c r="AH52" s="417" t="str">
        <f>IF($AD52=AG$48,($G$31/$BD$28-$BC$19-($G$30/$AZ$28-$BB$19)*$BE$19/$BD$19)/(1-$AZ$19/$BA$19*$BE$19/$BD$19)+$BC$19,"")</f>
        <v/>
      </c>
      <c r="AI52" s="304" t="str">
        <f>IF($AD52=AI$48,($G$46/$BN$28-$BJ$19+$BL$19+($G$47/$BH$28-$BM$19+$BK$19)*$BN$19/$BO$19)/(1-$BI$19/$BH$19*$BN$19/$BO$19)+$BJ$19,"")</f>
        <v/>
      </c>
      <c r="AJ52" s="285" t="str">
        <f>IF($AD52=AI$48,($G$47/$BH$28-$BM$19+$BK$19+($G$46/$BN$28-$BJ$19+$BL$19)*$BI$19/$BH$19)/(1-$BI$19/$BH$19*$BN$19/$BO$19)+$BM$19,"")</f>
        <v/>
      </c>
      <c r="AK52" s="304" t="str">
        <f>IF($AD52=AK$48,($Q$46/$BR$28-$BT$19-($Q$47/$BV$28-$BU$19)*$BR$19/$BS$19)/(1-$BW$19/$BV$19*$BR$19/$BS$19)+$BT$19,"")</f>
        <v/>
      </c>
      <c r="AL52" s="285" t="str">
        <f>IF($AD52=AK$48,-($Q$47/$BV$28-$BU$19-($Q$46/$BR$28-$BT$19)*$BW$19/$BV$19)/(1-$BW$19/$BV$19*$BR$19/$BS$19),"")</f>
        <v/>
      </c>
      <c r="BG52" s="291">
        <v>16</v>
      </c>
      <c r="BH52" s="291">
        <v>9</v>
      </c>
      <c r="BI52" s="291">
        <v>10</v>
      </c>
      <c r="BJ52" s="291">
        <v>15</v>
      </c>
      <c r="BK52" s="291">
        <v>22</v>
      </c>
      <c r="BL52" s="291">
        <v>21</v>
      </c>
      <c r="BM52" s="291">
        <v>20</v>
      </c>
      <c r="BN52" s="291">
        <v>17</v>
      </c>
      <c r="BO52" s="291">
        <v>8</v>
      </c>
      <c r="BZ52" s="596"/>
      <c r="CA52" s="596"/>
    </row>
    <row r="53" spans="1:79" ht="12" customHeight="1" x14ac:dyDescent="0.25">
      <c r="A53" s="426" t="s">
        <v>410</v>
      </c>
      <c r="B53" s="293" t="e">
        <f>IF(NOT(ISBLANK(D53)),D53,DGET('Grid Numbers'!$A$2:$L$4952,'Grid Numbers'!$K$2,$B$72:$H$73))</f>
        <v>#VALUE!</v>
      </c>
      <c r="C53" s="598"/>
      <c r="D53" s="487"/>
      <c r="I53" s="425"/>
      <c r="J53" s="424"/>
      <c r="K53" s="424"/>
      <c r="L53" s="308"/>
      <c r="M53" s="307"/>
      <c r="P53" s="596"/>
      <c r="S53" s="425"/>
      <c r="T53" s="424"/>
      <c r="U53" s="487"/>
      <c r="V53" s="581"/>
      <c r="W53" s="471" t="e">
        <f>IF(NOT(ISBLANK(U53)),U53,DGET('Grid Numbers'!$A$2:$L$4952,'Grid Numbers'!$K$2,$B$80:$H$81))</f>
        <v>#VALUE!</v>
      </c>
      <c r="X53" s="423" t="s">
        <v>410</v>
      </c>
      <c r="AA53" s="593"/>
      <c r="AB53" s="593"/>
      <c r="AD53" s="317">
        <v>2</v>
      </c>
      <c r="AE53" s="304" t="str">
        <f>IF($AD53=AE$48,-($Q$30/$AX$28+$AV$19+($Q$31/$BZ$28-$AW$19)*$AX$19/$AY$19)/(1-$AX$19/$AY$19*$CA$19/$BZ$19),"")</f>
        <v/>
      </c>
      <c r="AF53" s="285" t="str">
        <f>IF($AD53=AE$48,-($Q$31/$BZ$28-$AW$19+($Q$30/$AX$28+$AV$19)*$CA$19/$BZ$19)/(1-$AX$19/$AY$19*$CA$19/$BZ$19)-$AW$19,"")</f>
        <v/>
      </c>
      <c r="AG53" s="417" t="str">
        <f>IF($AD53=AG$48,-($G$30/$BB$28-$G$31/$BD$28*$BB$19/$BC$19)/(1-$BE$19/$BD$19*$BB$19/$BC$19),"")</f>
        <v/>
      </c>
      <c r="AH53" s="417" t="str">
        <f>IF($AD53=AG$48,($G$31/$BD$28-$G$30/$BB$28*$BE$19/$BD$19)/(1-$BE$19/$BD$19*$BB$19/$BC$19),"")</f>
        <v/>
      </c>
      <c r="AI53" s="304" t="str">
        <f>IF($AD53=AI$48,($G$46/$BL$28-$BJ$19+($G$47/$BH$28+$BK$19)*$BL$19/$BM$19)/(1-$BI$19/$BH$19*$BL$19/$BM$19)+$BJ$19,"")</f>
        <v/>
      </c>
      <c r="AJ53" s="285" t="str">
        <f>IF($AD53=AI$48,($G$47/$BH$28+$BK$19+($G$46/$BL$28-$BJ$19)*$BI$19/$BH$19)/(1-$BI$19/$BH$19*$BL$19/$BM$19),"")</f>
        <v/>
      </c>
      <c r="AK53" s="304" t="str">
        <f>IF($AD53=AK$48,($Q$46/$BP$28-$BT19-$BR$19-($Q$47/$BV$28-$BS$19-$BU$19)*$BP$19/$BQ$19)/(1-$BW$19/$BV$19*$BP$19/$BQ$19)+$BT$19,"")</f>
        <v/>
      </c>
      <c r="AL53" s="285" t="str">
        <f>IF($AD53=AK$48,-($Q$47/$BV$28-$BS$19-$BU$19-($Q$46/$BP$28-$BT$19-$BR$19)*$BW$19/$BV$19)/(1-$BW$19/$BV$19*$BP$19/$BQ$19)-$BS$19,"")</f>
        <v/>
      </c>
      <c r="BG53" s="291">
        <v>17</v>
      </c>
      <c r="BH53" s="291">
        <v>8</v>
      </c>
      <c r="BI53" s="291">
        <v>9</v>
      </c>
      <c r="BJ53" s="291">
        <v>16</v>
      </c>
      <c r="BK53" s="291">
        <v>21</v>
      </c>
      <c r="BL53" s="291">
        <v>20</v>
      </c>
      <c r="BM53" s="291">
        <v>19</v>
      </c>
      <c r="BN53" s="291">
        <v>18</v>
      </c>
      <c r="BO53" s="291">
        <v>7</v>
      </c>
      <c r="BZ53" s="596"/>
      <c r="CA53" s="596"/>
    </row>
    <row r="54" spans="1:79" x14ac:dyDescent="0.25">
      <c r="A54" s="426" t="s">
        <v>411</v>
      </c>
      <c r="B54" s="319" t="e">
        <f>IF(NOT(ISBLANK(D54)),D54,DGET('Grid Numbers'!$A$2:$L$4952,'Grid Numbers'!$L$2,$B$72:$H$73))</f>
        <v>#VALUE!</v>
      </c>
      <c r="C54" s="598"/>
      <c r="D54" s="490"/>
      <c r="F54" s="646"/>
      <c r="I54" s="425"/>
      <c r="J54" s="424"/>
      <c r="K54" s="424"/>
      <c r="L54" s="308"/>
      <c r="M54" s="307"/>
      <c r="P54" s="646"/>
      <c r="S54" s="425"/>
      <c r="T54" s="424"/>
      <c r="U54" s="490"/>
      <c r="V54" s="581"/>
      <c r="W54" s="319" t="e">
        <f>IF(NOT(ISBLANK(U54)),U54,DGET('Grid Numbers'!$A$2:$L$4952,'Grid Numbers'!$L$2,$B$80:$H$81))</f>
        <v>#VALUE!</v>
      </c>
      <c r="X54" s="423" t="s">
        <v>411</v>
      </c>
      <c r="AA54" s="593"/>
      <c r="AB54" s="593"/>
      <c r="AD54" s="317">
        <v>3</v>
      </c>
      <c r="AE54" s="304" t="str">
        <f>IF($AD54=AE$48,-($Q$30/$AX$28+$AV$19-$BZ$19+($Q$31/$BX$28+$CA$19-$AW$19)*$AX$19/$AY$19)/(1-$AX$19/$AY$19*$BY$19/$BX$19)-$BZ$19,"")</f>
        <v/>
      </c>
      <c r="AF54" s="285" t="str">
        <f>IF($AD54=AE$48,-($Q$31/$BX$28+$CA$19-$AW$19+($Q$30/$AX$28+$AV$19-$BZ$19)*$BY$19/$BX$19)/(1-$AX$19/$AY$19*$BY$19/$BX$19)-$AW$19,"")</f>
        <v/>
      </c>
      <c r="AG54" s="417" t="str">
        <f>IF($AD54=AG$48,-($G$30/$BB$28-$BD$19-($G$31/$BF$28-$BE$19)*$BB$19/$BC$19)/(1-$BG$19/$BF$19*$BB$19/$BC$19)-$BD$19,"")</f>
        <v/>
      </c>
      <c r="AH54" s="417" t="str">
        <f>IF($AD54=AG$48,($G$31/$BF$28-$BE$19-($G$30/$BB$28-$BD$19)*$BG$19/$BF$19)/(1-$BG$19/$BF$19*$BB$19/$BC$19),"")</f>
        <v/>
      </c>
      <c r="AI54" s="304" t="str">
        <f>IF($AD54=AI$48,($G$46/$BL$28+$G$47/$BJ$28*$BL$19/$BM$19)/(1-$BK$19/$BJ$19*$BL$19/$BM$19),"")</f>
        <v/>
      </c>
      <c r="AJ54" s="285" t="str">
        <f>IF($AD54=AI$48,($G$47/$BJ$28+$G$46/$BL$28*$BK$19/$BJ$19)/(1-$BK$19/$BJ$19*$BL$19/$BM$19),"")</f>
        <v/>
      </c>
      <c r="AK54" s="304" t="str">
        <f>IF($AD54=AK$48,($Q$46/$BP$28-$BR$19-($Q$47/$BT$28-$BS$19)*$BP$19/$BQ$19)/(1-$BU$19/$BT$19*$BP$19/$BQ$19),"")</f>
        <v/>
      </c>
      <c r="AL54" s="285" t="str">
        <f>IF($AD54=AK$48,-($Q$47/$BT$28-$BS$19-($Q$46/$BP$28-$BR$19)*$BU$19/$BT$19)/(1-$BU$19/$BT$19*$BP$19/$BQ$19)-$BS$19,"")</f>
        <v/>
      </c>
      <c r="BG54" s="291">
        <v>18</v>
      </c>
      <c r="BH54" s="291">
        <v>7</v>
      </c>
      <c r="BI54" s="291">
        <v>8</v>
      </c>
      <c r="BJ54" s="291">
        <v>17</v>
      </c>
      <c r="BK54" s="291">
        <v>20</v>
      </c>
      <c r="BL54" s="291">
        <v>19</v>
      </c>
      <c r="BM54" s="291">
        <v>24</v>
      </c>
      <c r="BN54" s="291">
        <v>13</v>
      </c>
      <c r="BO54" s="291">
        <v>12</v>
      </c>
      <c r="BZ54" s="596"/>
      <c r="CA54" s="596"/>
    </row>
    <row r="55" spans="1:79" ht="12" customHeight="1" thickBot="1" x14ac:dyDescent="0.3">
      <c r="A55" s="426" t="s">
        <v>412</v>
      </c>
      <c r="B55" s="643" t="e">
        <f>IF(AND($L$38='SHL Section'!$BE$52,MAX('BHL Section 2'!$BF$37:$BF$40)=4),'BHL Section 2'!$W$55,IF(AND($L$38='SHL Section'!$BE$55,MAX('BHL Section 2'!$BF$41:$BF$44)=4),'BHL Section 2'!$W$55,IF(AND($L$38='SHL Section'!$BE$58,MAX('BHL Section 2'!$BF$45:$BF$48)=4),'BHL Section 2'!$W$55,IF(B51="","",IF(OR(B54=1,B54=4),180-(B51+B52/60+B53/3600),180+(B51+B52/60+B53/3600))))))</f>
        <v>#VALUE!</v>
      </c>
      <c r="C55" s="584"/>
      <c r="D55" s="576"/>
      <c r="E55" s="576"/>
      <c r="F55" s="576"/>
      <c r="G55" s="576"/>
      <c r="H55" s="576"/>
      <c r="I55" s="576"/>
      <c r="J55" s="576"/>
      <c r="K55" s="576"/>
      <c r="L55" s="303"/>
      <c r="M55" s="302"/>
      <c r="N55" s="576"/>
      <c r="O55" s="576"/>
      <c r="P55" s="576"/>
      <c r="Q55" s="576"/>
      <c r="R55" s="576"/>
      <c r="S55" s="576"/>
      <c r="T55" s="576"/>
      <c r="U55" s="576"/>
      <c r="V55" s="577"/>
      <c r="W55" s="642" t="e">
        <f>IF(AND($L$38='SHL Section'!$BE$52,MAX('BHL Section 2'!$BF$37:$BF$40)=8),'BHL Section 2'!$B$55,IF(AND($L$38='SHL Section'!$BE$55,MAX('BHL Section 2'!$BF$41:$BF$44)=8),'BHL Section 2'!$B$55,IF(AND($L$38='SHL Section'!$BE$58,MAX('BHL Section 2'!$BF$45:$BF$48)=8),'BHL Section 2'!$B$55,IF(W51="","",IF(OR(W54=1,W54=4),180-(W51+W52/60+W53/3600),180+(W51+W52/60+W53/3600))))))</f>
        <v>#VALUE!</v>
      </c>
      <c r="X55" s="423" t="s">
        <v>412</v>
      </c>
      <c r="AA55" s="593"/>
      <c r="AB55" s="593"/>
      <c r="AD55" s="317">
        <v>4</v>
      </c>
      <c r="AE55" s="304" t="str">
        <f>IF($AD55=AE$48,-($Q$30/$AV$28-$BZ$19+($Q$31/$BX$28+$CA$19)*$AV$19/$AW$19)/(1-$AV$19/$AW$19*$BY$19/$BX$19)-$BZ$19,"")</f>
        <v/>
      </c>
      <c r="AF55" s="285" t="str">
        <f>IF($AD55=AE$48,-($Q$31/$BX$28+$CA$19+($Q$30/$AV$28-$BZ$19)*$BY$19/$BX$19)/(1-$AV$19/$AW$19*$BY$19/$BX$19),"")</f>
        <v/>
      </c>
      <c r="AG55" s="417" t="str">
        <f>IF($AD55=AG$48,-($G$30/$AZ$28-$BD$19-$BB$19-($G$31/$BF$28-$BC$19-$BE$19)*$AZ$19/$BA$19)/(1-$AZ$19/$BA$19*$BG$19/$BF$19)-$BD$19,"")</f>
        <v/>
      </c>
      <c r="AH55" s="417" t="str">
        <f>IF($AD55=AG$48,($G$31/$BF$28-$BC$19-$BE$19-($G$30/$AZ$28-$BD$19-$BB$19)*$BG$19/$BF$19)/(1-$AZ$19/$BA$19*$BG$19/$BF$19)+$BC$19,"")</f>
        <v/>
      </c>
      <c r="AI55" s="304" t="str">
        <f>IF($AD55=AI$48,($G$46/$BN$28+$BL$19+($G$47/$BJ$28-$BM$19)*$BN$19/$BO$19)/(1-$BK$19/$BJ$19*$BN$19/$BO$19),"")</f>
        <v/>
      </c>
      <c r="AJ55" s="285" t="str">
        <f>IF($AD55=AI$48,($G$47/$BJ$28-$BM$19+($G$46/$BN$28+$BL$19)*$BK$19/$BJ$19)/(1-$BK$19/$BJ$19*$BN$19/$BO$19)+$BM$19,"")</f>
        <v/>
      </c>
      <c r="AK55" s="304" t="str">
        <f>IF($AD55=AK$48,($Q$46/$BR$28-$Q$47/$BT$28*$BR$19/$BS$19)/(1-$BU$19/$BT$19*$BR$19/$BS$19),"")</f>
        <v/>
      </c>
      <c r="AL55" s="285" t="str">
        <f>IF($AD55=AK$48,-($Q$47/$BT$28-$Q$46/$BR$28*$BU$19/$BT$19)/(1-$BU$19/$BT$19*$BR$19/$BS$19),"")</f>
        <v/>
      </c>
      <c r="AW55" s="596">
        <v>1</v>
      </c>
      <c r="AX55" s="596">
        <v>2</v>
      </c>
      <c r="AY55" s="596">
        <v>3</v>
      </c>
      <c r="AZ55" s="596">
        <v>4</v>
      </c>
      <c r="BG55" s="291">
        <v>19</v>
      </c>
      <c r="BH55" s="291">
        <v>18</v>
      </c>
      <c r="BI55" s="291">
        <v>17</v>
      </c>
      <c r="BJ55" s="291">
        <v>20</v>
      </c>
      <c r="BK55" s="291">
        <v>29</v>
      </c>
      <c r="BL55" s="291">
        <v>30</v>
      </c>
      <c r="BM55" s="291">
        <v>25</v>
      </c>
      <c r="BN55" s="291">
        <v>24</v>
      </c>
      <c r="BO55" s="291">
        <v>13</v>
      </c>
      <c r="BZ55" s="596"/>
      <c r="CA55" s="596"/>
    </row>
    <row r="56" spans="1:79" ht="12" customHeight="1" thickBot="1" x14ac:dyDescent="0.3">
      <c r="B56" s="775" t="e">
        <f>CONCATENATE("SW SC of ",$L$38)</f>
        <v>#VALUE!</v>
      </c>
      <c r="C56" s="679"/>
      <c r="L56" s="774" t="e">
        <f>CONCATENATE("S QC of ",$L$38)</f>
        <v>#VALUE!</v>
      </c>
      <c r="M56" s="702"/>
      <c r="V56" s="766" t="e">
        <f>CONCATENATE("SE SC of ",$L$38)</f>
        <v>#VALUE!</v>
      </c>
      <c r="W56" s="679"/>
      <c r="AA56" s="593"/>
      <c r="AB56" s="593"/>
      <c r="AE56" s="289"/>
      <c r="AF56" s="288"/>
      <c r="AG56" s="290"/>
      <c r="AH56" s="290"/>
      <c r="AI56" s="289"/>
      <c r="AJ56" s="288"/>
      <c r="AK56" s="289"/>
      <c r="AL56" s="288"/>
      <c r="AV56" s="596">
        <v>1</v>
      </c>
      <c r="AW56" s="291" t="s">
        <v>429</v>
      </c>
      <c r="AX56" s="291" t="s">
        <v>440</v>
      </c>
      <c r="AY56" s="291" t="s">
        <v>450</v>
      </c>
      <c r="AZ56" s="291" t="s">
        <v>455</v>
      </c>
      <c r="BG56" s="291">
        <v>20</v>
      </c>
      <c r="BH56" s="291">
        <v>17</v>
      </c>
      <c r="BI56" s="291">
        <v>16</v>
      </c>
      <c r="BJ56" s="291">
        <v>21</v>
      </c>
      <c r="BK56" s="291">
        <v>28</v>
      </c>
      <c r="BL56" s="291">
        <v>29</v>
      </c>
      <c r="BM56" s="291">
        <v>30</v>
      </c>
      <c r="BN56" s="291">
        <v>19</v>
      </c>
      <c r="BO56" s="291">
        <v>18</v>
      </c>
      <c r="BZ56" s="596"/>
      <c r="CA56" s="596"/>
    </row>
    <row r="57" spans="1:79" ht="12" customHeight="1" x14ac:dyDescent="0.25">
      <c r="D57" s="426" t="s">
        <v>385</v>
      </c>
      <c r="E57" s="300" t="e">
        <f>IF(NOT(ISBLANK(F57)),F57,DGET('Grid Numbers'!$A$2:$L$4952,'Grid Numbers'!$H$2,$L$74:$R$75))</f>
        <v>#VALUE!</v>
      </c>
      <c r="F57" s="486"/>
      <c r="H57" s="297"/>
      <c r="I57" s="297"/>
      <c r="J57" s="426" t="s">
        <v>385</v>
      </c>
      <c r="K57" s="301" t="e">
        <f>IF(NOT(ISBLANK(L57)),L57,DGET('Grid Numbers'!$A$2:$L$4952,'Grid Numbers'!$H$2,$L$76:$R$77))</f>
        <v>#VALUE!</v>
      </c>
      <c r="L57" s="486"/>
      <c r="N57" s="426" t="s">
        <v>385</v>
      </c>
      <c r="O57" s="300" t="e">
        <f>IF(NOT(ISBLANK(P57)),P57,DGET('Grid Numbers'!$A$2:$L$4952,'Grid Numbers'!$H$2,$L$78:$R$79))</f>
        <v>#VALUE!</v>
      </c>
      <c r="P57" s="486"/>
      <c r="Q57" s="297"/>
      <c r="R57" s="297"/>
      <c r="T57" s="426" t="s">
        <v>385</v>
      </c>
      <c r="U57" s="299" t="e">
        <f>IF(NOT(ISBLANK(V57)),V57,DGET('Grid Numbers'!$A$2:$L$4952,'Grid Numbers'!$H$2,$L$80:$R$81))</f>
        <v>#VALUE!</v>
      </c>
      <c r="V57" s="486"/>
      <c r="AA57" s="593"/>
      <c r="AB57" s="593"/>
      <c r="AE57" s="761" t="s">
        <v>467</v>
      </c>
      <c r="AF57" s="757"/>
      <c r="AG57" s="767" t="s">
        <v>467</v>
      </c>
      <c r="AH57" s="735"/>
      <c r="AI57" s="761" t="s">
        <v>467</v>
      </c>
      <c r="AJ57" s="757"/>
      <c r="AK57" s="761" t="s">
        <v>467</v>
      </c>
      <c r="AL57" s="757"/>
      <c r="AV57" s="596">
        <v>2</v>
      </c>
      <c r="AW57" s="291" t="s">
        <v>434</v>
      </c>
      <c r="AX57" s="291" t="s">
        <v>443</v>
      </c>
      <c r="AY57" s="291" t="s">
        <v>451</v>
      </c>
      <c r="AZ57" s="291" t="s">
        <v>461</v>
      </c>
      <c r="BG57" s="291">
        <v>21</v>
      </c>
      <c r="BH57" s="291">
        <v>16</v>
      </c>
      <c r="BI57" s="291">
        <v>15</v>
      </c>
      <c r="BJ57" s="291">
        <v>22</v>
      </c>
      <c r="BK57" s="291">
        <v>27</v>
      </c>
      <c r="BL57" s="291">
        <v>28</v>
      </c>
      <c r="BM57" s="291">
        <v>29</v>
      </c>
      <c r="BN57" s="291">
        <v>20</v>
      </c>
      <c r="BO57" s="291">
        <v>17</v>
      </c>
      <c r="BZ57" s="596"/>
      <c r="CA57" s="596"/>
    </row>
    <row r="58" spans="1:79" ht="12" customHeight="1" x14ac:dyDescent="0.25">
      <c r="D58" s="426" t="s">
        <v>395</v>
      </c>
      <c r="E58" s="293" t="e">
        <f>IF(NOT(ISBLANK(F58)),F58,DGET('Grid Numbers'!$A$2:$L$4952,'Grid Numbers'!$I$2,$L$74:$R$75))</f>
        <v>#VALUE!</v>
      </c>
      <c r="F58" s="486"/>
      <c r="J58" s="426" t="s">
        <v>395</v>
      </c>
      <c r="K58" s="294" t="e">
        <f>IF(NOT(ISBLANK(L58)),L58,DGET('Grid Numbers'!$A$2:$L$4952,'Grid Numbers'!$I$2,$L$76:$R$77))</f>
        <v>#VALUE!</v>
      </c>
      <c r="L58" s="486"/>
      <c r="N58" s="426" t="s">
        <v>395</v>
      </c>
      <c r="O58" s="293" t="e">
        <f>IF(NOT(ISBLANK(P58)),P58,DGET('Grid Numbers'!$A$2:$L$4952,'Grid Numbers'!$I$2,$L$78:$R$79))</f>
        <v>#VALUE!</v>
      </c>
      <c r="P58" s="486"/>
      <c r="T58" s="426" t="s">
        <v>395</v>
      </c>
      <c r="U58" s="293" t="e">
        <f>IF(NOT(ISBLANK(V58)),V58,DGET('Grid Numbers'!$A$2:$L$4952,'Grid Numbers'!$I$2,$L$80:$R$81))</f>
        <v>#VALUE!</v>
      </c>
      <c r="V58" s="486"/>
      <c r="AA58" s="593"/>
      <c r="AB58" s="593"/>
      <c r="AE58" s="762" t="str">
        <f>IF($AE$30="","",IF(AND((-$AE$30+$AF$30*$AV$19/$AW$19)&gt;0,-$AE$30&lt;$BZ$19,(-$AF$30+$AE$30*$CA$19/$BZ$19)&gt;0,-$AF$30&lt;$AW$19),1,IF(AND((-$AE$30-$AV$19+($AF$30+$AW$19)*$AX$19/$AY$19)&gt;0,-$AE$30&lt;$BZ$19,-$AF$30&gt;$AW$19,-$AF$30&lt;$AX$22),2,IF(AND(-$AE$30&lt;$BY$22,-$AE$30&gt;$BZ$19,-$AF$30&gt;$AW$19,-$AF$30&lt;$AX$22),3,IF(AND(-$AE$30&lt;$BY$22,-$AE$30&gt;$BZ$19,(-$AF$30-$CA$19-(-$AE$30-$BZ$19)*$BY$19/$BX$19)&gt;0,-$AF$30&lt;$AW$19),4,"")))))</f>
        <v/>
      </c>
      <c r="AF58" s="683"/>
      <c r="AG58" s="762" t="str">
        <f>IF($AG$30="","",IF(AND((-$AG$30+$BB$19+($AH$30-$BC$19)*$AZ$19/$BA$19)&gt;0,-$AG$30&lt;$BD$19,$AH$30&gt;$BC$19,$AH$30&lt;$BB$22),1,IF(AND((-$AG$30+$AH$30*$BB$19/$BC$19)&gt;0,-$AG$30&lt;$BD$19,($AH$30-$AG$30*$BE$19/$BD$19)&gt;0,$AH$30&lt;$BC$19),2,IF(AND(-$AG$30&gt;$BD$19,-$AG$30&lt;$BE$22,($AH$30+$BE$19+(-$AG$30-$BD$19)*$BG$19/$BF$19)&gt;0,$AH$30&lt;$BC$19),3,IF(AND(-$AG$30&gt;$BD$19,-$AG$30&lt;$BE$22,$AH$30&gt;$BC$19,$AH$30&lt;$BB$22),4,"")))))</f>
        <v/>
      </c>
      <c r="AH58" s="683"/>
      <c r="AI58" s="762" t="str">
        <f>IF($AI$30="","",IF(AND($AI$30&gt;$BJ$19,$AI$30&lt;$BI$22,$AJ$30&gt;$BM$19,$AJ$30&lt;$BN$22),1,IF(AND($AI$30&gt;$BJ$19,$AI$30&lt;$BI$22,($AJ$30-$BK$19-($AI$30-$BJ$19)*$BI$19/$BH$19)&gt;0,$AJ$30&lt;$BM$19),2,IF(AND(($AI$30-$AJ$30*$BL$19/$BM$19)&gt;0,$AI$30&lt;$BJ$19,($AJ$30-$AI$30*$BK$19/$BJ$19)&gt;0,$AJ$30&lt;$BM$19),3,IF(AND(($AI$30-$BL$19-($AJ$30-$BM$19)*$BN$19/$BO$19)&gt;0,$AI$30&lt;$BJ$19,$AJ$30&gt;$BM$19,$AJ$30&lt;$BN$22),4,"")))))</f>
        <v/>
      </c>
      <c r="AJ58" s="683"/>
      <c r="AK58" s="762" t="str">
        <f>IF($AK$30="","",IF(AND($AK$30&gt;$BT$19,$AK$30&lt;$BU$22,(-$AL$30+$BU$19+($AK$30-$BT$19)*$BW$19/$BV$19)&gt;0,-$AL$30&lt;$BS$19),1,IF(AND($AK$30&gt;$BT$19,$AK$30&lt;$BU$22,-$AL$30&gt;$BS$19,-$AL$30&lt;$BR$22),2,IF(AND(($AK$30+$BR$19+(-$AL$30-$BS$19)*$BP$19/$BQ$19)&gt;0,$AK$30&lt;$BT$19,-$AL$30&gt;$BS$19,-$AL$30&lt;$BR$22),3,IF(AND(($AK$30-$AL$30*$BR$19/$BS$19)&gt;0,$AK$30&lt;$BT$19,(-$AL$30+$AK$30*$BU$19/$BT$19)&gt;0,-$AL$30&lt;$BS$19),4,"")))))</f>
        <v/>
      </c>
      <c r="AL58" s="683"/>
      <c r="AV58" s="596">
        <v>3</v>
      </c>
      <c r="AW58" s="291" t="s">
        <v>437</v>
      </c>
      <c r="AX58" s="291" t="s">
        <v>444</v>
      </c>
      <c r="AY58" s="291" t="s">
        <v>453</v>
      </c>
      <c r="AZ58" s="291" t="s">
        <v>463</v>
      </c>
      <c r="BG58" s="291">
        <v>22</v>
      </c>
      <c r="BH58" s="291">
        <v>15</v>
      </c>
      <c r="BI58" s="291">
        <v>14</v>
      </c>
      <c r="BJ58" s="291">
        <v>23</v>
      </c>
      <c r="BK58" s="291">
        <v>26</v>
      </c>
      <c r="BL58" s="291">
        <v>27</v>
      </c>
      <c r="BM58" s="291">
        <v>28</v>
      </c>
      <c r="BN58" s="291">
        <v>21</v>
      </c>
      <c r="BO58" s="291">
        <v>16</v>
      </c>
      <c r="BZ58" s="596"/>
      <c r="CA58" s="596"/>
    </row>
    <row r="59" spans="1:79" ht="12" customHeight="1" x14ac:dyDescent="0.25">
      <c r="D59" s="426" t="s">
        <v>398</v>
      </c>
      <c r="E59" s="293" t="e">
        <f>IF(NOT(ISBLANK(F59)),F59,DGET('Grid Numbers'!$A$2:$L$4952,'Grid Numbers'!$J$2,$L$74:$R$75))</f>
        <v>#VALUE!</v>
      </c>
      <c r="F59" s="486"/>
      <c r="J59" s="426" t="s">
        <v>398</v>
      </c>
      <c r="K59" s="294" t="e">
        <f>IF(NOT(ISBLANK(L59)),L59,DGET('Grid Numbers'!$A$2:$L$4952,'Grid Numbers'!$J$2,$L$76:$R$77))</f>
        <v>#VALUE!</v>
      </c>
      <c r="L59" s="486"/>
      <c r="N59" s="426" t="s">
        <v>398</v>
      </c>
      <c r="O59" s="293" t="e">
        <f>IF(NOT(ISBLANK(P59)),P59,DGET('Grid Numbers'!$A$2:$L$4952,'Grid Numbers'!$J$2,$L$78:$R$79))</f>
        <v>#VALUE!</v>
      </c>
      <c r="P59" s="486"/>
      <c r="T59" s="426" t="s">
        <v>398</v>
      </c>
      <c r="U59" s="293" t="e">
        <f>IF(NOT(ISBLANK(V59)),V59,DGET('Grid Numbers'!$A$2:$L$4952,'Grid Numbers'!$J$2,$L$80:$R$81))</f>
        <v>#VALUE!</v>
      </c>
      <c r="V59" s="486"/>
      <c r="AA59" s="593"/>
      <c r="AB59" s="593"/>
      <c r="AE59" s="289"/>
      <c r="AF59" s="288"/>
      <c r="AG59" s="290"/>
      <c r="AH59" s="290"/>
      <c r="AI59" s="289"/>
      <c r="AJ59" s="288"/>
      <c r="AK59" s="289"/>
      <c r="AL59" s="288"/>
      <c r="AV59" s="596">
        <v>4</v>
      </c>
      <c r="AW59" s="291" t="s">
        <v>439</v>
      </c>
      <c r="AX59" s="291" t="s">
        <v>445</v>
      </c>
      <c r="AY59" s="291" t="s">
        <v>454</v>
      </c>
      <c r="AZ59" s="291" t="s">
        <v>464</v>
      </c>
      <c r="BG59" s="291">
        <v>23</v>
      </c>
      <c r="BH59" s="291">
        <v>14</v>
      </c>
      <c r="BI59" s="291">
        <v>13</v>
      </c>
      <c r="BJ59" s="291">
        <v>24</v>
      </c>
      <c r="BK59" s="291">
        <v>25</v>
      </c>
      <c r="BL59" s="291">
        <v>26</v>
      </c>
      <c r="BM59" s="291">
        <v>27</v>
      </c>
      <c r="BN59" s="291">
        <v>22</v>
      </c>
      <c r="BO59" s="291">
        <v>15</v>
      </c>
      <c r="BZ59" s="596"/>
      <c r="CA59" s="596"/>
    </row>
    <row r="60" spans="1:79" ht="12" customHeight="1" x14ac:dyDescent="0.25">
      <c r="D60" s="426" t="s">
        <v>410</v>
      </c>
      <c r="E60" s="293" t="e">
        <f>IF(NOT(ISBLANK(F60)),F60,DGET('Grid Numbers'!$A$2:$L$4952,'Grid Numbers'!$K$2,$L$74:$R$75))</f>
        <v>#VALUE!</v>
      </c>
      <c r="F60" s="487"/>
      <c r="J60" s="426" t="s">
        <v>410</v>
      </c>
      <c r="K60" s="294" t="e">
        <f>IF(NOT(ISBLANK(L60)),L60,DGET('Grid Numbers'!$A$2:$L$4952,'Grid Numbers'!$K$2,$L$76:$R$77))</f>
        <v>#VALUE!</v>
      </c>
      <c r="L60" s="487"/>
      <c r="N60" s="426" t="s">
        <v>410</v>
      </c>
      <c r="O60" s="293" t="e">
        <f>IF(NOT(ISBLANK(P60)),P60,DGET('Grid Numbers'!$A$2:$L$4952,'Grid Numbers'!$K$2,$L$78:$R$79))</f>
        <v>#VALUE!</v>
      </c>
      <c r="P60" s="487"/>
      <c r="T60" s="426" t="s">
        <v>410</v>
      </c>
      <c r="U60" s="293" t="e">
        <f>IF(NOT(ISBLANK(V60)),V60,DGET('Grid Numbers'!$A$2:$L$4952,'Grid Numbers'!$K$2,$L$80:$R$81))</f>
        <v>#VALUE!</v>
      </c>
      <c r="V60" s="487"/>
      <c r="AA60" s="593"/>
      <c r="AB60" s="593"/>
      <c r="AE60" s="761" t="s">
        <v>468</v>
      </c>
      <c r="AF60" s="757"/>
      <c r="AG60" s="761" t="s">
        <v>469</v>
      </c>
      <c r="AH60" s="757"/>
      <c r="AI60" s="761" t="s">
        <v>470</v>
      </c>
      <c r="AJ60" s="757"/>
      <c r="AK60" s="761" t="s">
        <v>471</v>
      </c>
      <c r="AL60" s="757"/>
      <c r="BG60" s="291">
        <v>24</v>
      </c>
      <c r="BH60" s="291">
        <v>13</v>
      </c>
      <c r="BI60" s="291">
        <v>18</v>
      </c>
      <c r="BJ60" s="291">
        <v>19</v>
      </c>
      <c r="BK60" s="291">
        <v>30</v>
      </c>
      <c r="BL60" s="291">
        <v>25</v>
      </c>
      <c r="BM60" s="291">
        <v>26</v>
      </c>
      <c r="BN60" s="291">
        <v>23</v>
      </c>
      <c r="BO60" s="291">
        <v>14</v>
      </c>
      <c r="BZ60" s="596"/>
      <c r="CA60" s="596"/>
    </row>
    <row r="61" spans="1:79" ht="12" customHeight="1" x14ac:dyDescent="0.25">
      <c r="D61" s="426" t="s">
        <v>411</v>
      </c>
      <c r="E61" s="319" t="e">
        <f>IF(NOT(ISBLANK(F61)),F61,DGET('Grid Numbers'!$A$2:$L$4952,'Grid Numbers'!$L$2,$L$74:$R$75))</f>
        <v>#VALUE!</v>
      </c>
      <c r="F61" s="490"/>
      <c r="J61" s="426" t="s">
        <v>411</v>
      </c>
      <c r="K61" s="319" t="e">
        <f>IF(NOT(ISBLANK(L61)),L61,DGET('Grid Numbers'!$A$2:$L$4952,'Grid Numbers'!$L$2,$L$76:$R$77))</f>
        <v>#VALUE!</v>
      </c>
      <c r="L61" s="490"/>
      <c r="N61" s="426" t="s">
        <v>411</v>
      </c>
      <c r="O61" s="319" t="e">
        <f>IF(NOT(ISBLANK(P61)),P61,DGET('Grid Numbers'!$A$2:$L$4952,'Grid Numbers'!$L$2,$L$78:$R$79))</f>
        <v>#VALUE!</v>
      </c>
      <c r="P61" s="490"/>
      <c r="T61" s="426" t="s">
        <v>411</v>
      </c>
      <c r="U61" s="319" t="e">
        <f>IF(NOT(ISBLANK(V61)),V61,DGET('Grid Numbers'!$A$2:$L$4952,'Grid Numbers'!$L$2,$L$80:$R$81))</f>
        <v>#VALUE!</v>
      </c>
      <c r="V61" s="490"/>
      <c r="AA61" s="593"/>
      <c r="AB61" s="593"/>
      <c r="AD61" s="467" t="s">
        <v>340</v>
      </c>
      <c r="AE61" s="588" t="s">
        <v>186</v>
      </c>
      <c r="AF61" s="588" t="s">
        <v>188</v>
      </c>
      <c r="AG61" s="465" t="s">
        <v>186</v>
      </c>
      <c r="AH61" s="464" t="s">
        <v>189</v>
      </c>
      <c r="AI61" s="588" t="s">
        <v>187</v>
      </c>
      <c r="AJ61" s="588" t="s">
        <v>189</v>
      </c>
      <c r="AK61" s="588" t="s">
        <v>187</v>
      </c>
      <c r="AL61" s="588" t="s">
        <v>188</v>
      </c>
      <c r="AN61" s="596" t="s">
        <v>472</v>
      </c>
      <c r="AW61" s="292" t="e">
        <f>VLOOKUP(MAX($AE$48:$AL$48),$AV$56:$AZ$59,MAX($AE$48:$AL$48)+1,FALSE)</f>
        <v>#N/A</v>
      </c>
      <c r="BG61" s="291">
        <v>25</v>
      </c>
      <c r="BH61" s="291">
        <v>24</v>
      </c>
      <c r="BI61" s="291">
        <v>19</v>
      </c>
      <c r="BJ61" s="291">
        <v>30</v>
      </c>
      <c r="BK61" s="291">
        <v>31</v>
      </c>
      <c r="BL61" s="291">
        <v>36</v>
      </c>
      <c r="BM61" s="291">
        <v>35</v>
      </c>
      <c r="BN61" s="291">
        <v>26</v>
      </c>
      <c r="BO61" s="291">
        <v>23</v>
      </c>
      <c r="BZ61" s="596"/>
      <c r="CA61" s="596"/>
    </row>
    <row r="62" spans="1:79" ht="12" customHeight="1" x14ac:dyDescent="0.25">
      <c r="D62" s="426" t="s">
        <v>412</v>
      </c>
      <c r="E62" s="642" t="e">
        <f>IF(AND($L$38='SHL Section'!$BE$50,MAX('SHL Section'!$BF$37:$BF$40)=2),'SHL Section'!$E$23,IF(AND($L$38='SHL Section'!$BE$53,MAX('SHL Section'!$BF$41:$BF$44)=2),'SHL Section'!$E$23,IF(AND($L$38='SHL Section'!$BE$56,MAX('SHL Section'!$BF$45:$BF$48)=2),'SHL Section'!$E$23,IF(E58="","",IF(OR(E61=1,E61=4),180-(E58+E59/60+E60/3600),(E58+E59/60+E60/3600))))))</f>
        <v>#VALUE!</v>
      </c>
      <c r="J62" s="426" t="s">
        <v>412</v>
      </c>
      <c r="K62" s="642" t="e">
        <f>IF(AND($L$38='SHL Section'!$BE$50,MAX('SHL Section'!$BF$37:$BF$40)=2),'SHL Section'!$K$23,IF(AND($L$38='SHL Section'!$BE$53,MAX('SHL Section'!$BF$41:$BF$44)=2),'SHL Section'!$K$23,IF(AND($L$38='SHL Section'!$BE$56,MAX('SHL Section'!$BF$45:$BF$48)=2),'SHL Section'!$K$23,IF(K58="","",IF(OR(K61=1,K61=4),180-(K58+K59/60+K60/3600),(K58+K59/60+K60/3600))))))</f>
        <v>#VALUE!</v>
      </c>
      <c r="L62" s="446"/>
      <c r="M62" s="446"/>
      <c r="N62" s="426" t="s">
        <v>412</v>
      </c>
      <c r="O62" s="642" t="e">
        <f>IF(AND($L$38='SHL Section'!$BE$50,MAX('SHL Section'!$BF$37:$BF$40)=2),'SHL Section'!$O$23,IF(AND($L$38='SHL Section'!$BE$53,MAX('SHL Section'!$BF$41:$BF$44)=2),'SHL Section'!$O$23,IF(AND($L$38='SHL Section'!$BE$56,MAX('SHL Section'!$BF$45:$BF$48)=2),'SHL Section'!$O$23,IF(O58="","",IF(OR(O61=1,O61=4),180-(O58+O59/60+O60/3600),(O58+O59/60+O60/3600))))))</f>
        <v>#VALUE!</v>
      </c>
      <c r="T62" s="426" t="s">
        <v>412</v>
      </c>
      <c r="U62" s="643" t="e">
        <f>IF(AND($L$38='SHL Section'!$BE$50,MAX('SHL Section'!$BF$37:$BF$40)=2),'SHL Section'!$U$23,IF(AND($L$38='SHL Section'!$BE$53,MAX('SHL Section'!$BF$41:$BF$44)=2),'SHL Section'!$U$23,IF(AND($L$38='SHL Section'!$BE$56,MAX('SHL Section'!$BF$45:$BF$48)=2),'SHL Section'!$U$23,IF(U58="","",IF(OR(U61=1,U61=4),180-(U58+U59/60+U60/3600),(U58+U59/60+U60/3600))))))</f>
        <v>#VALUE!</v>
      </c>
      <c r="AA62" s="593"/>
      <c r="AB62" s="593"/>
      <c r="AD62" s="317">
        <v>1</v>
      </c>
      <c r="AE62" s="304" t="str">
        <f>IF($AD62=AE$58,(-$AE$30+$AF$30*$AV$19/$AW$19)*$AV$28,"")</f>
        <v/>
      </c>
      <c r="AF62" s="285" t="str">
        <f>IF($AD62=AE$58,(-$AF$30+$AE$30*$CA$19/$BZ$19)*$BZ$28,"")</f>
        <v/>
      </c>
      <c r="AG62" s="304" t="str">
        <f>IF($AD62=AG$58,(-$AG$30+$BB$19+($AH$30-$BC$19)*$AZ$19/$BA$19)*$AZ$28,"")</f>
        <v/>
      </c>
      <c r="AH62" s="285" t="str">
        <f>IF($AD62=AG$58,($AH$30-$AG$30*$BE$19/$BD$19)*$BD$28,"")</f>
        <v/>
      </c>
      <c r="AI62" s="304" t="str">
        <f>IF($AD62=AI$58,($AI$30-$BL$19-($AJ$30-$BM$19)*$BN$19/$BO$19)*$BN$28,"")</f>
        <v/>
      </c>
      <c r="AJ62" s="285" t="str">
        <f>IF($AD62=AI$58,($AJ$30-$BK$19-($AI$30-$BJ$19)*$BI$19/$BH$19)*$BH$28,"")</f>
        <v/>
      </c>
      <c r="AK62" s="304" t="str">
        <f>IF($AD62=AK$58,($AK$30-$AL$30*$BR$19/$BS$19)*$BR$28,"")</f>
        <v/>
      </c>
      <c r="AL62" s="285" t="str">
        <f>IF($AD62=AK$58,(-$AL$30+$BU$19+($AK$30-$BT$19)*$BW$19/$BV$19)*$BV$28,"")</f>
        <v/>
      </c>
      <c r="AN62" s="287" t="str">
        <f>IF(ISNUMBER($AE$30),(-$AE$30+$AF$30*$AV$19/$AW$19),"")</f>
        <v/>
      </c>
      <c r="AO62" s="286" t="str">
        <f>IF(ISNUMBER($AF$30),(-$AF$30+$AE$30*$CA$19/$BZ$19),"")</f>
        <v/>
      </c>
      <c r="AP62" s="287" t="str">
        <f>IF(ISNUMBER($AG$30),(-$AG$30+$BB$19+($AH$30-$BC$19)*$AZ$19/$BA$19),"")</f>
        <v/>
      </c>
      <c r="AQ62" s="286" t="str">
        <f>IF(ISNUMBER($AH$30),($AH$30-$AG$30*$BE$19/$BD$19),"")</f>
        <v/>
      </c>
      <c r="AR62" s="287" t="str">
        <f>IF(ISNUMBER($AI$30),($AI$30-$BL$19-($AJ$30-$BM$19)*$BN$19/$BO$19),"")</f>
        <v/>
      </c>
      <c r="AS62" s="286" t="str">
        <f>IF(ISNUMBER($AJ$30),($AJ$30-$BK$19-($AI$30-$BJ$19)*$BI$19/$BH$19),"")</f>
        <v/>
      </c>
      <c r="AT62" s="287" t="str">
        <f>IF(ISNUMBER($AK$30),($AK$30-$AL$30*$BR$19/$BS$19),"")</f>
        <v/>
      </c>
      <c r="AU62" s="286" t="str">
        <f>IF(ISNUMBER($AL$30),(-$AL$30+$BU$19+($AK$30-$BT$19)*$BW$19/$BV$19),"")</f>
        <v/>
      </c>
      <c r="AW62" s="417"/>
      <c r="AX62" s="417"/>
      <c r="AY62" s="417"/>
      <c r="AZ62" s="417"/>
      <c r="BG62" s="291">
        <v>26</v>
      </c>
      <c r="BH62" s="291">
        <v>23</v>
      </c>
      <c r="BI62" s="291">
        <v>24</v>
      </c>
      <c r="BJ62" s="291">
        <v>25</v>
      </c>
      <c r="BK62" s="291">
        <v>36</v>
      </c>
      <c r="BL62" s="291">
        <v>35</v>
      </c>
      <c r="BM62" s="291">
        <v>34</v>
      </c>
      <c r="BN62" s="291">
        <v>27</v>
      </c>
      <c r="BO62" s="291">
        <v>22</v>
      </c>
      <c r="BZ62" s="596"/>
      <c r="CA62" s="596"/>
    </row>
    <row r="63" spans="1:79" ht="12" customHeight="1" x14ac:dyDescent="0.25">
      <c r="E63" s="417" t="e">
        <f>E57</f>
        <v>#VALUE!</v>
      </c>
      <c r="F63" s="446"/>
      <c r="G63" s="446"/>
      <c r="H63" s="446"/>
      <c r="I63" s="446"/>
      <c r="J63" s="446"/>
      <c r="K63" s="417" t="e">
        <f>K57</f>
        <v>#VALUE!</v>
      </c>
      <c r="N63" s="446"/>
      <c r="O63" s="417" t="e">
        <f>O57</f>
        <v>#VALUE!</v>
      </c>
      <c r="P63" s="446"/>
      <c r="Q63" s="446"/>
      <c r="R63" s="446"/>
      <c r="S63" s="446"/>
      <c r="T63" s="446"/>
      <c r="U63" s="417" t="e">
        <f>U57</f>
        <v>#VALUE!</v>
      </c>
      <c r="AA63" s="593"/>
      <c r="AB63" s="593"/>
      <c r="AD63" s="317">
        <v>2</v>
      </c>
      <c r="AE63" s="304" t="str">
        <f>IF($AD63=AE$58,(-$AE$30-$AV$19+($AF$30+$AW$19)*$AX$19/$AY$19)*$AX$28,"")</f>
        <v/>
      </c>
      <c r="AF63" s="285" t="str">
        <f>IF($AD63=AE$58,(-$AF$30+$AE$30*$CA$19/$BZ$19)*$BZ$28,"")</f>
        <v/>
      </c>
      <c r="AG63" s="304" t="str">
        <f>IF($AD63=AG$58,(-$AG$30+$AH$30*$BB$19/$BC$19)*$BB$28,"")</f>
        <v/>
      </c>
      <c r="AH63" s="285" t="str">
        <f>IF($AD63=AG$58,($AH$30-$AG$30*$BE$19/$BD$19)*$BD$28,"")</f>
        <v/>
      </c>
      <c r="AI63" s="304" t="str">
        <f>IF($AD63=AI$58,($AI$30-$AJ$30*$BL$19/$BM$19)*$BL$28,"")</f>
        <v/>
      </c>
      <c r="AJ63" s="285" t="str">
        <f>IF($AD63=AI$58,($AJ$30-$BK$19-($AI$30-$BJ$19)*$BI$19/$BH$19)*$BH$28,"")</f>
        <v/>
      </c>
      <c r="AK63" s="304" t="str">
        <f>IF($AD63=AK$58,($AK$30+$BR$19+(-$AL$30-$BS$19)*$BP$19/$BQ$19)*$BP$28,"")</f>
        <v/>
      </c>
      <c r="AL63" s="285" t="str">
        <f>IF($AD63=AK$58,(-$AL$30+$BU$19+($AK$30-$BT$19)*$BW$19/$BV$19)*$BV$28,"")</f>
        <v/>
      </c>
      <c r="AN63" s="304" t="str">
        <f>IF(ISNUMBER($AE$30),(-$AE$30-$AV$19+($AF$30+$AW$19)*$AX$19/$AY$19),"")</f>
        <v/>
      </c>
      <c r="AO63" s="285" t="str">
        <f>IF(ISNUMBER($AF$30),(-$AF$30+$AE$30*$CA$19/$BZ$19),"")</f>
        <v/>
      </c>
      <c r="AP63" s="304" t="str">
        <f>IF(ISNUMBER($AG$30),(-$AG$30+$AH$30*$BB$19/$BC$19),"")</f>
        <v/>
      </c>
      <c r="AQ63" s="285" t="str">
        <f>IF(ISNUMBER($AH$30),($AH$30-$AG$30*$BE$19/$BD$19),"")</f>
        <v/>
      </c>
      <c r="AR63" s="304" t="str">
        <f>IF(ISNUMBER($AI$30),($AI$30-$AJ$30*$BL$19/$BM$19),"")</f>
        <v/>
      </c>
      <c r="AS63" s="285" t="str">
        <f>IF(ISNUMBER($AJ$30),($AJ$30-$BK$19-($AI$30-$BJ$19)*$BI$19/$BH$19),"")</f>
        <v/>
      </c>
      <c r="AT63" s="304" t="str">
        <f>IF(ISNUMBER($AK$30),($AK$30+$BR$19+(-$AL$30-$BS$19)*$BP$19/$BQ$19),"")</f>
        <v/>
      </c>
      <c r="AU63" s="285" t="str">
        <f>IF(ISNUMBER($AL$30),(-$AL$30+$BU$19+($AK$30-$BT$19)*$BW$19/$BV$19),"")</f>
        <v/>
      </c>
      <c r="BG63" s="291">
        <v>27</v>
      </c>
      <c r="BH63" s="291">
        <v>22</v>
      </c>
      <c r="BI63" s="291">
        <v>23</v>
      </c>
      <c r="BJ63" s="291">
        <v>26</v>
      </c>
      <c r="BK63" s="291">
        <v>35</v>
      </c>
      <c r="BL63" s="291">
        <v>34</v>
      </c>
      <c r="BM63" s="291">
        <v>33</v>
      </c>
      <c r="BN63" s="291">
        <v>28</v>
      </c>
      <c r="BO63" s="291">
        <v>21</v>
      </c>
      <c r="BZ63" s="596"/>
      <c r="CA63" s="596"/>
    </row>
    <row r="64" spans="1:79" ht="12" customHeight="1" x14ac:dyDescent="0.25">
      <c r="AA64" s="593"/>
      <c r="AB64" s="593"/>
      <c r="AD64" s="317">
        <v>3</v>
      </c>
      <c r="AE64" s="304" t="str">
        <f>IF($AD64=AE$58,(-$AE$30-$AV$19+($AF$30+$AW$19)*$AX$19/$AY$19)*$AX$28,"")</f>
        <v/>
      </c>
      <c r="AF64" s="285" t="str">
        <f>IF($AD64=AE$58,(-$AF$30-$CA$19-(-$AE$30-$BZ$19)*$BY$19/$BX$19)*$BX$28,"")</f>
        <v/>
      </c>
      <c r="AG64" s="304" t="str">
        <f>IF($AD64=AG$58,(-$AG$30+$AH$30*$BB$19/$BC$19)*$BB$28,"")</f>
        <v/>
      </c>
      <c r="AH64" s="285" t="str">
        <f>IF($AD64=AG$58,($AH$30+$BE$19+(-$AG$30-$BD$19)*$BG$19/$BF$19)*$BF$28,"")</f>
        <v/>
      </c>
      <c r="AI64" s="304" t="str">
        <f>IF($AD64=AI$58,($AI$30-$AJ$30*$BL$19/$BM$19)*$BL$28,"")</f>
        <v/>
      </c>
      <c r="AJ64" s="285" t="str">
        <f>IF($AD64=AI$58,($AJ$30-$AI$30*$BK$19/$BJ$19)*$BJ$28,"")</f>
        <v/>
      </c>
      <c r="AK64" s="304" t="str">
        <f>IF($AD64=AK$58,($AK$30+$BR$19+(-$AL$30-$BS$19)*$BP$19/$BQ$19)*$BP$28,"")</f>
        <v/>
      </c>
      <c r="AL64" s="285" t="str">
        <f>IF($AD64=AK$58,(-$AL$30+$AK$30*$BU$19/$BT$19)*$BT$28,"")</f>
        <v/>
      </c>
      <c r="AN64" s="304" t="str">
        <f>IF(ISNUMBER($AE$30),(-$AE$30-$AV$19+($AF$30+$AW$19)*$AX$19/$AY$19),"")</f>
        <v/>
      </c>
      <c r="AO64" s="285" t="str">
        <f>IF(ISNUMBER($AF$30),(-$AF$30-$CA$19-(-$AE$30-$BZ$19)*$BY$19/$BX$19),"")</f>
        <v/>
      </c>
      <c r="AP64" s="304" t="str">
        <f>IF(ISNUMBER($AG$30),(-$AG$30+$AH$30*$BB$19/$BC$19),"")</f>
        <v/>
      </c>
      <c r="AQ64" s="285" t="str">
        <f>IF(ISNUMBER($AH$30),($AH$30+$BE$19+(-$AG$30-$BD$19)*$BG$19/$BF$19),"")</f>
        <v/>
      </c>
      <c r="AR64" s="304" t="str">
        <f>IF(ISNUMBER($AI$30),($AI$30-$AJ$30*$BL$19/$BM$19),"")</f>
        <v/>
      </c>
      <c r="AS64" s="285" t="str">
        <f>IF(ISNUMBER($AJ$30),($AJ$30-$AI$30*$BK$19/$BJ$19),"")</f>
        <v/>
      </c>
      <c r="AT64" s="304" t="str">
        <f>IF(ISNUMBER($AK$30),($AK$30+$BR$19+(-$AL$30-$BS$19)*$BP$19/$BQ$19),"")</f>
        <v/>
      </c>
      <c r="AU64" s="285" t="str">
        <f>IF(ISNUMBER($AL$30),(-$AL$30+$AK$30*$BU$19/$BT$19),"")</f>
        <v/>
      </c>
      <c r="BG64" s="291">
        <v>28</v>
      </c>
      <c r="BH64" s="291">
        <v>21</v>
      </c>
      <c r="BI64" s="291">
        <v>22</v>
      </c>
      <c r="BJ64" s="291">
        <v>27</v>
      </c>
      <c r="BK64" s="291">
        <v>34</v>
      </c>
      <c r="BL64" s="291">
        <v>33</v>
      </c>
      <c r="BM64" s="291">
        <v>32</v>
      </c>
      <c r="BN64" s="291">
        <v>29</v>
      </c>
      <c r="BO64" s="291">
        <v>20</v>
      </c>
      <c r="BZ64" s="596"/>
      <c r="CA64" s="596"/>
    </row>
    <row r="65" spans="2:79" ht="12" customHeight="1" x14ac:dyDescent="0.25">
      <c r="AA65" s="593"/>
      <c r="AB65" s="593"/>
      <c r="AD65" s="317">
        <v>4</v>
      </c>
      <c r="AE65" s="284" t="str">
        <f>IF($AD65=AE$58,(-$AE$30+$AF$30*$AV$19/$AW$19)*$AV$28,"")</f>
        <v/>
      </c>
      <c r="AF65" s="283" t="str">
        <f>IF($AD65=AE$58,(-$AF$30-$CA$19-(-$AE$30-$BZ$19)*$BY$19/$BX$19)*$BX$28,"")</f>
        <v/>
      </c>
      <c r="AG65" s="284" t="str">
        <f>IF($AD65=AG$58,(-$AG$30+$BB$19+($AH$30-$BC$19)*$AZ$19/$BA$19)*$AZ$28,"")</f>
        <v/>
      </c>
      <c r="AH65" s="283" t="str">
        <f>IF($AD65=AG$58,($AH$30+$BE$19+(-$AG$30-$BD$19)*$BG$19/$BF$19)*$BF$28,"")</f>
        <v/>
      </c>
      <c r="AI65" s="284" t="str">
        <f>IF($AD65=AI$58,($AI$30-$BL$19-($AJ$30-$BM$19)*$BN$19/$BO$19)*$BN$28,"")</f>
        <v/>
      </c>
      <c r="AJ65" s="283" t="str">
        <f>IF($AD65=AI$58,($AJ$30-$AI$30*$BK$19/$BJ$19)*$BJ$28,"")</f>
        <v/>
      </c>
      <c r="AK65" s="284" t="str">
        <f>IF($AD65=AK$58,($AK$30-$AL$30*$BR$19/$BS$19)*$BR$28,"")</f>
        <v/>
      </c>
      <c r="AL65" s="283" t="str">
        <f>IF($AD65=AK$58,(-$AL$30+$AK$30*$BU$19/$BT$19)*$BT$28,"")</f>
        <v/>
      </c>
      <c r="AN65" s="284" t="str">
        <f>IF(ISNUMBER($AE$30),(-$AE$30+$AF$30*$AV$19/$AW$19),"")</f>
        <v/>
      </c>
      <c r="AO65" s="283" t="str">
        <f>IF(ISNUMBER($AF$30),(-$AF$30-$CA$19-(-$AE$30-$BZ$19)*$BY$19/$BX$19),"")</f>
        <v/>
      </c>
      <c r="AP65" s="284" t="str">
        <f>IF(ISNUMBER($AG$30),(-$AG$30+$BB$19+($AH$30-$BC$19)*$AZ$19/$BA$19),"")</f>
        <v/>
      </c>
      <c r="AQ65" s="283" t="str">
        <f>IF(ISNUMBER($AH$30),($AH$30+$BE$19+(-$AG$30-$BD$19)*$BG$19/$BF$19),"")</f>
        <v/>
      </c>
      <c r="AR65" s="284" t="str">
        <f>IF(ISNUMBER($AI$30),($AI$30-$BL$19-($AJ$30-$BM$19)*$BN$19/$BO$19),"")</f>
        <v/>
      </c>
      <c r="AS65" s="283" t="str">
        <f>IF(ISNUMBER($AJ$30),($AJ$30-$AI$30*$BK$19/$BJ$19),"")</f>
        <v/>
      </c>
      <c r="AT65" s="284" t="str">
        <f>IF(ISNUMBER($AK$30),($AK$30-$AL$30*$BR$19/$BS$19),"")</f>
        <v/>
      </c>
      <c r="AU65" s="283" t="str">
        <f>IF(ISNUMBER($AL$30),(-$AL$30+$AK$30*$BU$19/$BT$19),"")</f>
        <v/>
      </c>
      <c r="BG65" s="291">
        <v>29</v>
      </c>
      <c r="BH65" s="291">
        <v>20</v>
      </c>
      <c r="BI65" s="291">
        <v>21</v>
      </c>
      <c r="BJ65" s="291">
        <v>28</v>
      </c>
      <c r="BK65" s="291">
        <v>33</v>
      </c>
      <c r="BL65" s="291">
        <v>32</v>
      </c>
      <c r="BM65" s="291">
        <v>31</v>
      </c>
      <c r="BN65" s="291">
        <v>30</v>
      </c>
      <c r="BO65" s="291">
        <v>19</v>
      </c>
      <c r="BZ65" s="596"/>
      <c r="CA65" s="596"/>
    </row>
    <row r="66" spans="2:79" ht="12" customHeight="1" x14ac:dyDescent="0.25">
      <c r="B66" s="460" t="s">
        <v>56</v>
      </c>
      <c r="C66" s="460" t="s">
        <v>55</v>
      </c>
      <c r="D66" s="460" t="s">
        <v>57</v>
      </c>
      <c r="E66" s="460" t="s">
        <v>310</v>
      </c>
      <c r="F66" s="460" t="s">
        <v>311</v>
      </c>
      <c r="G66" s="460" t="s">
        <v>157</v>
      </c>
      <c r="H66" s="460" t="s">
        <v>312</v>
      </c>
      <c r="L66" s="460" t="s">
        <v>56</v>
      </c>
      <c r="M66" s="460" t="s">
        <v>55</v>
      </c>
      <c r="N66" s="460" t="s">
        <v>57</v>
      </c>
      <c r="O66" s="460" t="s">
        <v>310</v>
      </c>
      <c r="P66" s="460" t="s">
        <v>311</v>
      </c>
      <c r="Q66" s="460" t="s">
        <v>157</v>
      </c>
      <c r="R66" s="460" t="s">
        <v>312</v>
      </c>
      <c r="AA66" s="593"/>
      <c r="AB66" s="593"/>
      <c r="AE66" s="282" t="str">
        <f>IF(ISNUMBER($AE$62),AE$62,IF(ISNUMBER($AE$63),AE$63,IF(ISNUMBER($AE$64),AE$64,IF(ISNUMBER($AE$65),AE$65,""))))</f>
        <v/>
      </c>
      <c r="AF66" s="281" t="str">
        <f>IF(ISNUMBER($AF$62),AF$62,IF(ISNUMBER($AF$63),AF$63,IF(ISNUMBER($AF$64),AF$64,IF(ISNUMBER($AF$65),AF$65,""))))</f>
        <v/>
      </c>
      <c r="AG66" s="282" t="str">
        <f>IF(ISNUMBER($AG$62),AG$62,IF(ISNUMBER($AG$63),AG$63,IF(ISNUMBER($AG$64),AG$64,IF(ISNUMBER($AG$65),AG$65,""))))</f>
        <v/>
      </c>
      <c r="AH66" s="281" t="str">
        <f>IF(ISNUMBER($AH$62),AH$62,IF(ISNUMBER($AH$63),AH$63,IF(ISNUMBER($AH$64),AH$64,IF(ISNUMBER($AH$65),AH$65,""))))</f>
        <v/>
      </c>
      <c r="AI66" s="282" t="str">
        <f>IF(ISNUMBER($AI$62),AI$62,IF(ISNUMBER($AI$63),AI$63,IF(ISNUMBER($AI$64),AI$64,IF(ISNUMBER($AI$65),AI$65,""))))</f>
        <v/>
      </c>
      <c r="AJ66" s="281" t="str">
        <f>IF(ISNUMBER($AJ$62),AJ$62,IF(ISNUMBER($AJ$63),AJ$63,IF(ISNUMBER($AJ$64),AJ$64,IF(ISNUMBER($AJ$65),AJ$65,""))))</f>
        <v/>
      </c>
      <c r="AK66" s="282" t="str">
        <f>IF(ISNUMBER($AK$62),AK$62,IF(ISNUMBER($AK$63),AK$63,IF(ISNUMBER($AK$64),AK$64,IF(ISNUMBER($AK$65),AK$65,""))))</f>
        <v/>
      </c>
      <c r="AL66" s="281" t="str">
        <f>IF(ISNUMBER($AL$62),AL$62,IF(ISNUMBER($AL$63),AL$63,IF(ISNUMBER($AL$64),AL$64,IF(ISNUMBER($AL$65),AL$65,""))))</f>
        <v/>
      </c>
      <c r="AO66" s="417"/>
      <c r="AP66" s="417"/>
      <c r="AQ66" s="417"/>
      <c r="AR66" s="417"/>
      <c r="AS66" s="417"/>
      <c r="AT66" s="417"/>
      <c r="BG66" s="291">
        <v>30</v>
      </c>
      <c r="BH66" s="291">
        <v>19</v>
      </c>
      <c r="BI66" s="291">
        <v>20</v>
      </c>
      <c r="BJ66" s="291">
        <v>29</v>
      </c>
      <c r="BK66" s="291">
        <v>32</v>
      </c>
      <c r="BL66" s="291">
        <v>31</v>
      </c>
      <c r="BM66" s="291">
        <v>36</v>
      </c>
      <c r="BN66" s="291">
        <v>25</v>
      </c>
      <c r="BO66" s="291">
        <v>24</v>
      </c>
      <c r="BZ66" s="596"/>
      <c r="CA66" s="596"/>
    </row>
    <row r="67" spans="2:79" ht="12" customHeight="1" x14ac:dyDescent="0.25">
      <c r="B67" s="473" t="e">
        <f>$L$38</f>
        <v>#VALUE!</v>
      </c>
      <c r="C67" s="473">
        <f>$O$7</f>
        <v>0</v>
      </c>
      <c r="D67" s="473">
        <f>IF($P$7 = "S", 2,1)</f>
        <v>2</v>
      </c>
      <c r="E67" s="473">
        <f>$Q$7</f>
        <v>0</v>
      </c>
      <c r="F67" s="473">
        <f>IF($R$7 = "W", 2,1)</f>
        <v>2</v>
      </c>
      <c r="G67" s="473">
        <f>'SHL Section'!$S$7</f>
        <v>0</v>
      </c>
      <c r="H67" s="472" t="s">
        <v>473</v>
      </c>
      <c r="J67" s="366"/>
      <c r="L67" s="473" t="e">
        <f>$L$38</f>
        <v>#VALUE!</v>
      </c>
      <c r="M67" s="473">
        <f>$O$7</f>
        <v>0</v>
      </c>
      <c r="N67" s="473">
        <f>IF($P$7 = "S", 2,1)</f>
        <v>2</v>
      </c>
      <c r="O67" s="473">
        <f>$Q$7</f>
        <v>0</v>
      </c>
      <c r="P67" s="473">
        <f>IF($R$7 = "W", 2,1)</f>
        <v>2</v>
      </c>
      <c r="Q67" s="473">
        <f>'SHL Section'!$S$7</f>
        <v>0</v>
      </c>
      <c r="R67" s="472" t="s">
        <v>474</v>
      </c>
      <c r="AA67" s="593"/>
      <c r="AB67" s="593"/>
      <c r="AE67" s="289"/>
      <c r="AF67" s="288"/>
      <c r="AG67" s="290"/>
      <c r="AH67" s="290"/>
      <c r="AI67" s="289"/>
      <c r="AJ67" s="288"/>
      <c r="AK67" s="289"/>
      <c r="AL67" s="288"/>
      <c r="AO67" s="417"/>
      <c r="AP67" s="417"/>
      <c r="AQ67" s="417"/>
      <c r="AR67" s="417"/>
      <c r="AS67" s="417"/>
      <c r="AT67" s="417"/>
      <c r="BG67" s="291">
        <v>31</v>
      </c>
      <c r="BH67" s="291">
        <v>30</v>
      </c>
      <c r="BI67" s="291">
        <v>29</v>
      </c>
      <c r="BJ67" s="291">
        <v>32</v>
      </c>
      <c r="BK67" s="291">
        <v>5</v>
      </c>
      <c r="BL67" s="291">
        <v>6</v>
      </c>
      <c r="BM67" s="291">
        <v>1</v>
      </c>
      <c r="BN67" s="291">
        <v>36</v>
      </c>
      <c r="BO67" s="291">
        <v>25</v>
      </c>
      <c r="BZ67" s="596"/>
      <c r="CA67" s="596"/>
    </row>
    <row r="68" spans="2:79" ht="12" customHeight="1" x14ac:dyDescent="0.25">
      <c r="B68" s="460" t="s">
        <v>56</v>
      </c>
      <c r="C68" s="460" t="s">
        <v>55</v>
      </c>
      <c r="D68" s="460" t="s">
        <v>57</v>
      </c>
      <c r="E68" s="460" t="s">
        <v>310</v>
      </c>
      <c r="F68" s="460" t="s">
        <v>311</v>
      </c>
      <c r="G68" s="460" t="s">
        <v>157</v>
      </c>
      <c r="H68" s="460" t="s">
        <v>312</v>
      </c>
      <c r="J68" s="293"/>
      <c r="L68" s="460" t="s">
        <v>56</v>
      </c>
      <c r="M68" s="460" t="s">
        <v>55</v>
      </c>
      <c r="N68" s="460" t="s">
        <v>57</v>
      </c>
      <c r="O68" s="460" t="s">
        <v>310</v>
      </c>
      <c r="P68" s="460" t="s">
        <v>311</v>
      </c>
      <c r="Q68" s="460" t="s">
        <v>157</v>
      </c>
      <c r="R68" s="460" t="s">
        <v>312</v>
      </c>
      <c r="AA68" s="593"/>
      <c r="AB68" s="593"/>
      <c r="AE68" s="761" t="s">
        <v>475</v>
      </c>
      <c r="AF68" s="757"/>
      <c r="AG68" s="767" t="s">
        <v>475</v>
      </c>
      <c r="AH68" s="735"/>
      <c r="AI68" s="761" t="s">
        <v>475</v>
      </c>
      <c r="AJ68" s="757"/>
      <c r="AK68" s="761" t="s">
        <v>475</v>
      </c>
      <c r="AL68" s="757"/>
      <c r="AO68" s="417"/>
      <c r="AP68" s="417"/>
      <c r="AQ68" s="417"/>
      <c r="AR68" s="417"/>
      <c r="AS68" s="417"/>
      <c r="AT68" s="417"/>
      <c r="BG68" s="291">
        <v>32</v>
      </c>
      <c r="BH68" s="291">
        <v>29</v>
      </c>
      <c r="BI68" s="291">
        <v>28</v>
      </c>
      <c r="BJ68" s="291">
        <v>33</v>
      </c>
      <c r="BK68" s="291">
        <v>4</v>
      </c>
      <c r="BL68" s="291">
        <v>5</v>
      </c>
      <c r="BM68" s="291">
        <v>6</v>
      </c>
      <c r="BN68" s="291">
        <v>31</v>
      </c>
      <c r="BO68" s="291">
        <v>30</v>
      </c>
      <c r="BZ68" s="596"/>
      <c r="CA68" s="596"/>
    </row>
    <row r="69" spans="2:79" ht="12" customHeight="1" x14ac:dyDescent="0.25">
      <c r="B69" s="473" t="e">
        <f>$L$38</f>
        <v>#VALUE!</v>
      </c>
      <c r="C69" s="473">
        <f>$O$7</f>
        <v>0</v>
      </c>
      <c r="D69" s="473">
        <f>IF($P$7 = "S", 2,1)</f>
        <v>2</v>
      </c>
      <c r="E69" s="473">
        <f>$Q$7</f>
        <v>0</v>
      </c>
      <c r="F69" s="473">
        <f>IF($R$7 = "W", 2,1)</f>
        <v>2</v>
      </c>
      <c r="G69" s="473">
        <f>'SHL Section'!$S$7</f>
        <v>0</v>
      </c>
      <c r="H69" t="s">
        <v>476</v>
      </c>
      <c r="J69" s="293"/>
      <c r="L69" s="473" t="e">
        <f>$L$38</f>
        <v>#VALUE!</v>
      </c>
      <c r="M69" s="473">
        <f>$O$7</f>
        <v>0</v>
      </c>
      <c r="N69" s="473">
        <f>IF($P$7 = "S", 2,1)</f>
        <v>2</v>
      </c>
      <c r="O69" s="473">
        <f>$Q$7</f>
        <v>0</v>
      </c>
      <c r="P69" s="473">
        <f>IF($R$7 = "W", 2,1)</f>
        <v>2</v>
      </c>
      <c r="Q69" s="473">
        <f>'SHL Section'!$S$7</f>
        <v>0</v>
      </c>
      <c r="R69" s="472" t="s">
        <v>477</v>
      </c>
      <c r="AA69" s="593"/>
      <c r="AB69" s="593"/>
      <c r="AE69" s="762" t="str">
        <f>IF($AE$36="","",IF(AND((-$AE$36+$AF$36*$AV$19/$AW$19)&gt;0,-$AE$36&lt;$BZ$19,(-$AF$36+$AE$36*$CA$19/$BZ$19)&gt;0,-$AF$36&lt;$AW$19),1,IF(AND((-$AE$36-$AV$19+($AF$36+$AW$19)*$AX$19/$AY$19)&gt;0,-$AE$36&lt;$BZ$19,-$AF$36&gt;$AW$19,-$AF$36&lt;$AX$22),2,IF(AND(-$AE$36&lt;$BY$22,-$AE$36&gt;$BZ$19,-$AF$36&gt;$AW$19,-$AF$36&lt;$AX$22),3,IF(AND(-$AE$36&lt;$BY$22,-$AE$36&gt;$BZ$19,(-$AF$36-$CA$19-(-$AE$36-$BZ$19)*$BY$19/$BX$19)&gt;0,-$AF$36&lt;$AW$19),4,"")))))</f>
        <v/>
      </c>
      <c r="AF69" s="683"/>
      <c r="AG69" s="762" t="str">
        <f>IF($AG$36="","",IF(AND((-$AG$36+$BB$19+($AH$36-$BC$19)*$AZ$19/$BA$19)&gt;0,-$AG$36&lt;$BD$19,$AH$36&gt;$BC$19,$AH$36&lt;$BB$22),1,IF(AND((-$AG$36+$AH$36*$BB$19/$BC$19)&gt;0,-$AG$36&lt;$BD$19,($AH$36-$AG$36*$BE$19/$BD$19)&gt;0,$AH$36&lt;$BC$19),2,IF(AND(-$AG$36&gt;$BD$19,-$AG$36&lt;$BE$22,($AH$36+$BE$19+(-$AG$36-$BD$19)*$BG$19/$BF$19)&gt;0,$AH$36&lt;$BC$19),3,IF(AND(-$AG$36&gt;$BD$19,-$AG$36&lt;$BE$22,$AH$36&gt;$BC$19,$AH$36&lt;$BB$22),4,"")))))</f>
        <v/>
      </c>
      <c r="AH69" s="683"/>
      <c r="AI69" s="762" t="str">
        <f>IF($AI$36="","",IF(AND($AI$36&gt;$BJ$19,$AI$36&lt;$BI$22,$AJ$36&gt;$BM$19,$AJ$36&lt;$BN$22),1,IF(AND($AI$36&gt;$BJ$19,$AI$36&lt;$BI$22,($AJ$36-$BK$19-($AI$36-$BJ$19)*$BI$19/$BH$19)&gt;0,$AJ$36&lt;$BM$19),2,IF(AND(($AI$36-$AJ$36*$BL$19/$BM$19)&gt;0,$AI$36&lt;$BJ$19,($AJ$36-$AI$36*$BK$19/$BJ$19)&gt;0,$AJ$36&lt;$BM$19),3,IF(AND(($AI$36-$BL$19-($AJ$36-$BM$19)*$BN$19/$BO$19)&gt;0,$AI$36&lt;$BJ$19,$AJ$36&gt;$BM$19,$AJ$36&lt;$BN$22),4,"")))))</f>
        <v/>
      </c>
      <c r="AJ69" s="683"/>
      <c r="AK69" s="762" t="str">
        <f>IF($AK$36="","",IF(AND($AK$36&gt;$BT$19,$AK$36&lt;$BU$22,(-$AL$36+$BU$19+($AK$36-$BT$19)*$BW$19/$BV$19)&gt;0,-$AL$36&lt;$BS$19),1,IF(AND($AK$36&gt;$BT$19,$AK$36&lt;$BU$22,-$AL$36&gt;$BS$19,-$AL$36&lt;$BR$22),2,IF(AND(($AK$36+$BR$19+(-$AL$36-$BS$19)*$BP$19/$BQ$19)&gt;0,$AK$36&lt;$BT$19,-$AL$36&gt;$BS$19,-$AL$36&lt;$BR$22),3,IF(AND(($AK$36-$AL$36*$BR$19/$BS$19)&gt;0,$AK$36&lt;$BT$19,(-$AL$36+$AK$36*$BU$19/$BT$19)&gt;0,-$AL$36&lt;$BS$19),4,"")))))</f>
        <v/>
      </c>
      <c r="AL69" s="683"/>
      <c r="BG69" s="291">
        <v>33</v>
      </c>
      <c r="BH69" s="291">
        <v>28</v>
      </c>
      <c r="BI69" s="291">
        <v>27</v>
      </c>
      <c r="BJ69" s="291">
        <v>34</v>
      </c>
      <c r="BK69" s="291">
        <v>3</v>
      </c>
      <c r="BL69" s="291">
        <v>4</v>
      </c>
      <c r="BM69" s="291">
        <v>5</v>
      </c>
      <c r="BN69" s="291">
        <v>32</v>
      </c>
      <c r="BO69" s="291">
        <v>29</v>
      </c>
      <c r="BZ69" s="596"/>
      <c r="CA69" s="596"/>
    </row>
    <row r="70" spans="2:79" ht="12" customHeight="1" x14ac:dyDescent="0.25">
      <c r="B70" s="460" t="s">
        <v>56</v>
      </c>
      <c r="C70" s="460" t="s">
        <v>55</v>
      </c>
      <c r="D70" s="460" t="s">
        <v>57</v>
      </c>
      <c r="E70" s="460" t="s">
        <v>310</v>
      </c>
      <c r="F70" s="460" t="s">
        <v>311</v>
      </c>
      <c r="G70" s="460" t="s">
        <v>157</v>
      </c>
      <c r="H70" s="460" t="s">
        <v>312</v>
      </c>
      <c r="J70" s="293"/>
      <c r="L70" s="460" t="s">
        <v>56</v>
      </c>
      <c r="M70" s="460" t="s">
        <v>55</v>
      </c>
      <c r="N70" s="460" t="s">
        <v>57</v>
      </c>
      <c r="O70" s="460" t="s">
        <v>310</v>
      </c>
      <c r="P70" s="460" t="s">
        <v>311</v>
      </c>
      <c r="Q70" s="460" t="s">
        <v>157</v>
      </c>
      <c r="R70" s="460" t="s">
        <v>312</v>
      </c>
      <c r="AA70" s="593"/>
      <c r="AB70" s="593"/>
      <c r="AE70" s="289"/>
      <c r="AF70" s="288"/>
      <c r="AG70" s="290"/>
      <c r="AH70" s="290"/>
      <c r="AI70" s="289"/>
      <c r="AJ70" s="288"/>
      <c r="AK70" s="289"/>
      <c r="AL70" s="288"/>
      <c r="BG70" s="291">
        <v>34</v>
      </c>
      <c r="BH70" s="291">
        <v>27</v>
      </c>
      <c r="BI70" s="291">
        <v>26</v>
      </c>
      <c r="BJ70" s="291">
        <v>35</v>
      </c>
      <c r="BK70" s="291">
        <v>2</v>
      </c>
      <c r="BL70" s="291">
        <v>3</v>
      </c>
      <c r="BM70" s="291">
        <v>4</v>
      </c>
      <c r="BN70" s="291">
        <v>33</v>
      </c>
      <c r="BO70" s="291">
        <v>28</v>
      </c>
      <c r="BZ70" s="596"/>
      <c r="CA70" s="596"/>
    </row>
    <row r="71" spans="2:79" ht="12" customHeight="1" x14ac:dyDescent="0.25">
      <c r="B71" s="473" t="e">
        <f>$L$38</f>
        <v>#VALUE!</v>
      </c>
      <c r="C71" s="473">
        <f>$O$7</f>
        <v>0</v>
      </c>
      <c r="D71" s="473">
        <f>IF($P$7 = "S", 2,1)</f>
        <v>2</v>
      </c>
      <c r="E71" s="473">
        <f>$Q$7</f>
        <v>0</v>
      </c>
      <c r="F71" s="473">
        <f>IF($R$7 = "W", 2,1)</f>
        <v>2</v>
      </c>
      <c r="G71" s="473">
        <f>'SHL Section'!$S$7</f>
        <v>0</v>
      </c>
      <c r="H71" t="s">
        <v>478</v>
      </c>
      <c r="J71" s="319"/>
      <c r="L71" s="473" t="e">
        <f>$L$38</f>
        <v>#VALUE!</v>
      </c>
      <c r="M71" s="473">
        <f>$O$7</f>
        <v>0</v>
      </c>
      <c r="N71" s="473">
        <f>IF($P$7 = "S", 2,1)</f>
        <v>2</v>
      </c>
      <c r="O71" s="473">
        <f>$Q$7</f>
        <v>0</v>
      </c>
      <c r="P71" s="473">
        <f>IF($R$7 = "W", 2,1)</f>
        <v>2</v>
      </c>
      <c r="Q71" s="473">
        <f>'SHL Section'!$S$7</f>
        <v>0</v>
      </c>
      <c r="R71" s="472" t="s">
        <v>479</v>
      </c>
      <c r="AA71" s="593"/>
      <c r="AB71" s="593"/>
      <c r="AE71" s="761" t="s">
        <v>480</v>
      </c>
      <c r="AF71" s="757"/>
      <c r="AG71" s="761" t="s">
        <v>481</v>
      </c>
      <c r="AH71" s="757"/>
      <c r="AI71" s="761" t="s">
        <v>482</v>
      </c>
      <c r="AJ71" s="757"/>
      <c r="AK71" s="761" t="s">
        <v>483</v>
      </c>
      <c r="AL71" s="757"/>
      <c r="BG71" s="291">
        <v>35</v>
      </c>
      <c r="BH71" s="291">
        <v>26</v>
      </c>
      <c r="BI71" s="291">
        <v>25</v>
      </c>
      <c r="BJ71" s="291">
        <v>36</v>
      </c>
      <c r="BK71" s="291">
        <v>1</v>
      </c>
      <c r="BL71" s="291">
        <v>2</v>
      </c>
      <c r="BM71" s="291">
        <v>3</v>
      </c>
      <c r="BN71" s="291">
        <v>34</v>
      </c>
      <c r="BO71" s="291">
        <v>27</v>
      </c>
      <c r="BZ71" s="596"/>
      <c r="CA71" s="596"/>
    </row>
    <row r="72" spans="2:79" ht="12" customHeight="1" x14ac:dyDescent="0.25">
      <c r="B72" s="460" t="s">
        <v>56</v>
      </c>
      <c r="C72" s="460" t="s">
        <v>55</v>
      </c>
      <c r="D72" s="460" t="s">
        <v>57</v>
      </c>
      <c r="E72" s="460" t="s">
        <v>310</v>
      </c>
      <c r="F72" s="460" t="s">
        <v>311</v>
      </c>
      <c r="G72" s="460" t="s">
        <v>157</v>
      </c>
      <c r="H72" s="460" t="s">
        <v>312</v>
      </c>
      <c r="L72" s="460" t="s">
        <v>56</v>
      </c>
      <c r="M72" s="460" t="s">
        <v>55</v>
      </c>
      <c r="N72" s="460" t="s">
        <v>57</v>
      </c>
      <c r="O72" s="460" t="s">
        <v>310</v>
      </c>
      <c r="P72" s="460" t="s">
        <v>311</v>
      </c>
      <c r="Q72" s="460" t="s">
        <v>157</v>
      </c>
      <c r="R72" s="460" t="s">
        <v>312</v>
      </c>
      <c r="AA72" s="593"/>
      <c r="AB72" s="593"/>
      <c r="AD72" s="467" t="s">
        <v>340</v>
      </c>
      <c r="AE72" s="588" t="s">
        <v>186</v>
      </c>
      <c r="AF72" s="588" t="s">
        <v>188</v>
      </c>
      <c r="AG72" s="465" t="s">
        <v>186</v>
      </c>
      <c r="AH72" s="464" t="s">
        <v>189</v>
      </c>
      <c r="AI72" s="588" t="s">
        <v>187</v>
      </c>
      <c r="AJ72" s="588" t="s">
        <v>189</v>
      </c>
      <c r="AK72" s="588" t="s">
        <v>187</v>
      </c>
      <c r="AL72" s="588" t="s">
        <v>188</v>
      </c>
      <c r="AN72" s="596" t="s">
        <v>472</v>
      </c>
      <c r="BG72" s="291">
        <v>36</v>
      </c>
      <c r="BH72" s="291">
        <v>25</v>
      </c>
      <c r="BI72" s="291">
        <v>30</v>
      </c>
      <c r="BJ72" s="291">
        <v>31</v>
      </c>
      <c r="BK72" s="291">
        <v>6</v>
      </c>
      <c r="BL72" s="291">
        <v>1</v>
      </c>
      <c r="BM72" s="291">
        <v>2</v>
      </c>
      <c r="BN72" s="291">
        <v>35</v>
      </c>
      <c r="BO72" s="291">
        <v>26</v>
      </c>
      <c r="BZ72" s="596"/>
      <c r="CA72" s="596"/>
    </row>
    <row r="73" spans="2:79" ht="12" customHeight="1" x14ac:dyDescent="0.25">
      <c r="B73" s="473" t="e">
        <f>$L$38</f>
        <v>#VALUE!</v>
      </c>
      <c r="C73" s="473">
        <f>$O$7</f>
        <v>0</v>
      </c>
      <c r="D73" s="473">
        <f>IF($P$7 = "S", 2,1)</f>
        <v>2</v>
      </c>
      <c r="E73" s="473">
        <f>$Q$7</f>
        <v>0</v>
      </c>
      <c r="F73" s="473">
        <f>IF($R$7 = "W", 2,1)</f>
        <v>2</v>
      </c>
      <c r="G73" s="473">
        <f>'SHL Section'!$S$7</f>
        <v>0</v>
      </c>
      <c r="H73" t="s">
        <v>484</v>
      </c>
      <c r="L73" s="473" t="e">
        <f>$L$38</f>
        <v>#VALUE!</v>
      </c>
      <c r="M73" s="473">
        <f>$O$7</f>
        <v>0</v>
      </c>
      <c r="N73" s="473">
        <f>IF($P$7 = "S", 2,1)</f>
        <v>2</v>
      </c>
      <c r="O73" s="473">
        <f>$Q$7</f>
        <v>0</v>
      </c>
      <c r="P73" s="473">
        <f>IF($R$7 = "W", 2,1)</f>
        <v>2</v>
      </c>
      <c r="Q73" s="473">
        <f>'SHL Section'!$S$7</f>
        <v>0</v>
      </c>
      <c r="R73" s="472" t="s">
        <v>485</v>
      </c>
      <c r="AA73" s="593"/>
      <c r="AB73" s="593"/>
      <c r="AD73" s="317">
        <v>1</v>
      </c>
      <c r="AE73" s="304" t="str">
        <f>IF($AD73=AE$69,(-$AE$36+$AF$36*$AV$19/$AW$19)*$AV$28,"")</f>
        <v/>
      </c>
      <c r="AF73" s="285" t="str">
        <f>IF($AD73=AE$69,(-$AF$36+$AE$36*$CA$19/$BZ$19)*$BZ$28,"")</f>
        <v/>
      </c>
      <c r="AG73" s="304" t="str">
        <f>IF($AD73=AG$69,(-$AG$36+$BB$19+($AH$36-$BC$19)*$AZ$19/$BA$19)*$AZ$28,"")</f>
        <v/>
      </c>
      <c r="AH73" s="285" t="str">
        <f>IF($AD73=AG$69,($AH$36-$AG$36*$BE$19/$BD$19)*$BD$28,"")</f>
        <v/>
      </c>
      <c r="AI73" s="304" t="str">
        <f>IF($AD73=AI$69,($AI$36-$BL$19-($AJ$36-$BM$19)*$BN$19/$BO$19)*$BN$28,"")</f>
        <v/>
      </c>
      <c r="AJ73" s="285" t="str">
        <f>IF($AD73=AI$69,($AJ$36-$BK$19-($AI$36-$BJ$19)*$BI$19/$BH$19)*$BH$28,"")</f>
        <v/>
      </c>
      <c r="AK73" s="304" t="str">
        <f>IF($AD73=AK$69,($AK$36-$AL$36*$BR$19/$BS$19)*$BR$28,"")</f>
        <v/>
      </c>
      <c r="AL73" s="285" t="str">
        <f>IF($AD73=AK$69,(-$AL$36+$BU$19+($AK$36-$BT$19)*$BW$19/$BV$19)*$BV$28,"")</f>
        <v/>
      </c>
      <c r="AN73" s="287" t="str">
        <f>IF(ISNUMBER($AE$36),(-$AE$36+$AF$36*$AV$19/$AW$19),"")</f>
        <v/>
      </c>
      <c r="AO73" s="286" t="str">
        <f>IF(ISNUMBER($AF$36),(-$AF$36+$AE$36*$CA$19/$BZ$19),"")</f>
        <v/>
      </c>
      <c r="AP73" s="287" t="str">
        <f>IF(ISNUMBER($AG$36),(-$AG$36+$BB$19+($AH$36-$BC$19)*$AZ$19/$BA$19),"")</f>
        <v/>
      </c>
      <c r="AQ73" s="286" t="str">
        <f>IF(ISNUMBER($AH$36),($AH$36-$AG$36*$BE$19/$BD$19),"")</f>
        <v/>
      </c>
      <c r="AR73" s="287" t="str">
        <f>IF(ISNUMBER($AI$36),($AI$36-$BL$19-($AJ$36-$BM$19)*$BN$19/$BO$19),"")</f>
        <v/>
      </c>
      <c r="AS73" s="286" t="str">
        <f>IF(ISNUMBER($AJ$36),($AJ$36-$BK$19-($AI$36-$BJ$19)*$BI$19/$BH$19),"")</f>
        <v/>
      </c>
      <c r="AT73" s="287" t="str">
        <f>IF(ISNUMBER($AK$36),($AK$36-$AL$36*$BR$19/$BS$19),"")</f>
        <v/>
      </c>
      <c r="AU73" s="286" t="str">
        <f>IF(ISNUMBER($AL$36),(-$AL$36+$BU$19+($AK$36-$BT$19)*$BW$19/$BV$19),"")</f>
        <v/>
      </c>
      <c r="BZ73" s="596"/>
      <c r="CA73" s="596"/>
    </row>
    <row r="74" spans="2:79" ht="12" customHeight="1" x14ac:dyDescent="0.25">
      <c r="B74" s="460" t="s">
        <v>56</v>
      </c>
      <c r="C74" s="460" t="s">
        <v>55</v>
      </c>
      <c r="D74" s="460" t="s">
        <v>57</v>
      </c>
      <c r="E74" s="460" t="s">
        <v>310</v>
      </c>
      <c r="F74" s="460" t="s">
        <v>311</v>
      </c>
      <c r="G74" s="460" t="s">
        <v>157</v>
      </c>
      <c r="H74" s="460" t="s">
        <v>312</v>
      </c>
      <c r="L74" s="460" t="s">
        <v>56</v>
      </c>
      <c r="M74" s="460" t="s">
        <v>55</v>
      </c>
      <c r="N74" s="460" t="s">
        <v>57</v>
      </c>
      <c r="O74" s="460" t="s">
        <v>310</v>
      </c>
      <c r="P74" s="460" t="s">
        <v>311</v>
      </c>
      <c r="Q74" s="460" t="s">
        <v>157</v>
      </c>
      <c r="R74" s="460" t="s">
        <v>312</v>
      </c>
      <c r="AA74" s="593"/>
      <c r="AB74" s="593"/>
      <c r="AD74" s="317">
        <v>2</v>
      </c>
      <c r="AE74" s="304" t="str">
        <f>IF($AD74=AE$69,(-$AE$36-$AV$19+($AF$36+$AW$19)*$AX$19/$AY$19)*$AX$28,"")</f>
        <v/>
      </c>
      <c r="AF74" s="285" t="str">
        <f>IF($AD74=AE$69,(-$AF$36+$AE$36*$CA$19/$BZ$19)*$BZ$28,"")</f>
        <v/>
      </c>
      <c r="AG74" s="304" t="str">
        <f>IF($AD74=AG$69,(-$AG$36+$AH$36*$BB$19/$BC$19)*$BB$28,"")</f>
        <v/>
      </c>
      <c r="AH74" s="285" t="str">
        <f>IF($AD74=AG$69,($AH$36-$AG$36*$BE$19/$BD$19)*$BD$28,"")</f>
        <v/>
      </c>
      <c r="AI74" s="304" t="str">
        <f>IF($AD74=AI$69,($AI$36-$AJ$36*$BL$19/$BM$19)*$BL$28,"")</f>
        <v/>
      </c>
      <c r="AJ74" s="285" t="str">
        <f>IF($AD74=AI$69,($AJ$36-$BK$19-($AI$36-$BJ$19)*$BI$19/$BH$19)*$BH$28,"")</f>
        <v/>
      </c>
      <c r="AK74" s="304" t="str">
        <f>IF($AD74=AK$69,($AK$36+$BR$19+(-$AL$36-$BS$19)*$BP$19/$BQ$19)*$BP$28,"")</f>
        <v/>
      </c>
      <c r="AL74" s="285" t="str">
        <f>IF($AD74=AK$69,(-$AL$36+$BU$19+($AK$36-$BT$19)*$BW$19/$BV$19)*$BV$28,"")</f>
        <v/>
      </c>
      <c r="AN74" s="304" t="str">
        <f>IF(ISNUMBER($AE$36),(-$AE$36-$AV$19+($AF$36+$AW$19)*$AX$19/$AY$19),"")</f>
        <v/>
      </c>
      <c r="AO74" s="285" t="str">
        <f>IF(ISNUMBER($AF$36),(-$AF$36+$AE$36*$CA$19/$BZ$19),"")</f>
        <v/>
      </c>
      <c r="AP74" s="304" t="str">
        <f>IF(ISNUMBER($AG$36),(-$AG$36+$AH$36*$BB$19/$BC$19),"")</f>
        <v/>
      </c>
      <c r="AQ74" s="285" t="str">
        <f>IF(ISNUMBER($AH$36),($AH$36-$AG$36*$BE$19/$BD$19),"")</f>
        <v/>
      </c>
      <c r="AR74" s="304" t="str">
        <f>IF(ISNUMBER($AI$36),($AI$36-$AJ$36*$BL$19/$BM$19),"")</f>
        <v/>
      </c>
      <c r="AS74" s="285" t="str">
        <f>IF(ISNUMBER($AJ$36),($AJ$36-$BK$19-($AI$36-$BJ$19)*$BI$19/$BH$19),"")</f>
        <v/>
      </c>
      <c r="AT74" s="304" t="str">
        <f>IF(ISNUMBER($AK$36),($AK$36+$BR$19+(-$AL$36-$BS$19)*$BP$19/$BQ$19),"")</f>
        <v/>
      </c>
      <c r="AU74" s="285" t="str">
        <f>IF(ISNUMBER($AL$36),(-$AL$36+$BU$19+($AK$36-$BT$19)*$BW$19/$BV$19),"")</f>
        <v/>
      </c>
      <c r="BZ74" s="596"/>
      <c r="CA74" s="596"/>
    </row>
    <row r="75" spans="2:79" ht="12" customHeight="1" x14ac:dyDescent="0.25">
      <c r="B75" s="473" t="e">
        <f>$L$38</f>
        <v>#VALUE!</v>
      </c>
      <c r="C75" s="473">
        <f>$O$7</f>
        <v>0</v>
      </c>
      <c r="D75" s="473">
        <f>IF($P$7 = "S", 2,1)</f>
        <v>2</v>
      </c>
      <c r="E75" s="473">
        <f>$Q$7</f>
        <v>0</v>
      </c>
      <c r="F75" s="473">
        <f>IF($R$7 = "W", 2,1)</f>
        <v>2</v>
      </c>
      <c r="G75" s="473">
        <f>'SHL Section'!$S$7</f>
        <v>0</v>
      </c>
      <c r="H75" s="472" t="s">
        <v>486</v>
      </c>
      <c r="L75" s="473" t="e">
        <f>$L$38</f>
        <v>#VALUE!</v>
      </c>
      <c r="M75" s="473">
        <f>$O$7</f>
        <v>0</v>
      </c>
      <c r="N75" s="473">
        <f>IF($P$7 = "S", 2,1)</f>
        <v>2</v>
      </c>
      <c r="O75" s="473">
        <f>$Q$7</f>
        <v>0</v>
      </c>
      <c r="P75" s="473">
        <f>IF($R$7 = "W", 2,1)</f>
        <v>2</v>
      </c>
      <c r="Q75" s="473">
        <f>'SHL Section'!$S$7</f>
        <v>0</v>
      </c>
      <c r="R75" s="472" t="s">
        <v>487</v>
      </c>
      <c r="AA75" s="593"/>
      <c r="AB75" s="593"/>
      <c r="AD75" s="317">
        <v>3</v>
      </c>
      <c r="AE75" s="304" t="str">
        <f>IF($AD75=AE$69,(-$AE$36-$AV$19+($AF$36+$AW$19)*$AX$19/$AY$19)*$AX$28,"")</f>
        <v/>
      </c>
      <c r="AF75" s="285" t="str">
        <f>IF($AD75=AE$69,(-$AF$36-$CA$19-(-$AE$36-$BZ$19)*$BY$19/$BX$19)*$BX$28,"")</f>
        <v/>
      </c>
      <c r="AG75" s="304" t="str">
        <f>IF($AD75=AG$69,(-$AG$36+$AH$36*$BB$19/$BC$19)*$BB$28,"")</f>
        <v/>
      </c>
      <c r="AH75" s="285" t="str">
        <f>IF($AD75=AG$69,($AH$36+$BE$19+(-$AG$36-$BD$19)*$BG$19/$BF$19)*$BF$28,"")</f>
        <v/>
      </c>
      <c r="AI75" s="304" t="str">
        <f>IF($AD75=AI$69,($AI$36-$AJ$36*$BL$19/$BM$19)*$BL$28,"")</f>
        <v/>
      </c>
      <c r="AJ75" s="285" t="str">
        <f>IF($AD75=AI$69,($AJ$36-$AI$36*$BK$19/$BJ$19)*$BJ$28,"")</f>
        <v/>
      </c>
      <c r="AK75" s="304" t="str">
        <f>IF($AD75=AK$69,($AK$36+$BR$19+(-$AL$36-$BS$19)*$BP$19/$BQ$19)*$BP$28,"")</f>
        <v/>
      </c>
      <c r="AL75" s="285" t="str">
        <f>IF($AD75=AK$69,(-$AL$36+$AK$36*$BU$19/$BT$19)*$BT$28,"")</f>
        <v/>
      </c>
      <c r="AN75" s="304" t="str">
        <f>IF(ISNUMBER($AE$36),(-$AE$36-$AV$19+($AF$36+$AW$19)*$AX$19/$AY$19),"")</f>
        <v/>
      </c>
      <c r="AO75" s="285" t="str">
        <f>IF(ISNUMBER($AF$36),(-$AF$36-$CA$19-(-$AE$36-$BZ$19)*$BY$19/$BX$19),"")</f>
        <v/>
      </c>
      <c r="AP75" s="304" t="str">
        <f>IF(ISNUMBER($AG$36),(-$AG$36+$AH$36*$BB$19/$BC$19),"")</f>
        <v/>
      </c>
      <c r="AQ75" s="285" t="str">
        <f>IF(ISNUMBER($AH$36),($AH$36+$BE$19+(-$AG$36-$BD$19)*$BG$19/$BF$19),"")</f>
        <v/>
      </c>
      <c r="AR75" s="304" t="str">
        <f>IF(ISNUMBER($AI$36),($AI$36-$AJ$36*$BL$19/$BM$19),"")</f>
        <v/>
      </c>
      <c r="AS75" s="285" t="str">
        <f>IF(ISNUMBER($AJ$36),($AJ$36-$AI$36*$BK$19/$BJ$19),"")</f>
        <v/>
      </c>
      <c r="AT75" s="304" t="str">
        <f>IF(ISNUMBER($AK$36),($AK$36+$BR$19+(-$AL$36-$BS$19)*$BP$19/$BQ$19),"")</f>
        <v/>
      </c>
      <c r="AU75" s="285" t="str">
        <f>IF(ISNUMBER($AL$36),(-$AL$36+$AK$36*$BU$19/$BT$19),"")</f>
        <v/>
      </c>
      <c r="BZ75" s="596"/>
      <c r="CA75" s="596"/>
    </row>
    <row r="76" spans="2:79" ht="12" customHeight="1" x14ac:dyDescent="0.25">
      <c r="B76" s="460" t="s">
        <v>56</v>
      </c>
      <c r="C76" s="460" t="s">
        <v>55</v>
      </c>
      <c r="D76" s="460" t="s">
        <v>57</v>
      </c>
      <c r="E76" s="460" t="s">
        <v>310</v>
      </c>
      <c r="F76" s="460" t="s">
        <v>311</v>
      </c>
      <c r="G76" s="460" t="s">
        <v>157</v>
      </c>
      <c r="H76" s="460" t="s">
        <v>312</v>
      </c>
      <c r="L76" s="460" t="s">
        <v>56</v>
      </c>
      <c r="M76" s="460" t="s">
        <v>55</v>
      </c>
      <c r="N76" s="460" t="s">
        <v>57</v>
      </c>
      <c r="O76" s="460" t="s">
        <v>310</v>
      </c>
      <c r="P76" s="460" t="s">
        <v>311</v>
      </c>
      <c r="Q76" s="460" t="s">
        <v>157</v>
      </c>
      <c r="R76" s="460" t="s">
        <v>312</v>
      </c>
      <c r="AA76" s="593"/>
      <c r="AB76" s="593"/>
      <c r="AD76" s="317">
        <v>4</v>
      </c>
      <c r="AE76" s="304" t="str">
        <f>IF($AD76=AE$69,(-$AE$36+$AF$36*$AV$19/$AW$19)*$AV$28,"")</f>
        <v/>
      </c>
      <c r="AF76" s="285" t="str">
        <f>IF($AD76=AE$69,(-$AF$36-$CA$19-(-$AE$36-$BZ$19)*$BY$19/$BX$19)*$BX$28,"")</f>
        <v/>
      </c>
      <c r="AG76" s="304" t="str">
        <f>IF($AD76=AG$69,(-$AG$36+$BB$19+($AH$36-$BC$19)*$AZ$19/$BA$19)*$AZ$28,"")</f>
        <v/>
      </c>
      <c r="AH76" s="285" t="str">
        <f>IF($AD76=AG$69,($AH$36+$BE$19+(-$AG$36-$BD$19)*$BG$19/$BF$19)*$BF$28,"")</f>
        <v/>
      </c>
      <c r="AI76" s="304" t="str">
        <f>IF($AD76=AI$69,($AI$36-$BL$19-($AJ$36-$BM$19)*$BN$19/$BO$19)*$BN$28,"")</f>
        <v/>
      </c>
      <c r="AJ76" s="285" t="str">
        <f>IF($AD76=AI$69,($AJ$36-$AI$36*$BK$19/$BJ$19)*$BJ$28,"")</f>
        <v/>
      </c>
      <c r="AK76" s="304" t="str">
        <f>IF($AD76=AK$69,($AK$36-$AL$36*$BR$19/$BS$19)*$BR$28,"")</f>
        <v/>
      </c>
      <c r="AL76" s="285" t="str">
        <f>IF($AD76=AK$69,(-$AL$36+$AK$36*$BU$19/$BT$19)*$BT$28,"")</f>
        <v/>
      </c>
      <c r="AN76" s="284" t="str">
        <f>IF(ISNUMBER($AE$36),(-$AE$36+$AF$36*$AV$19/$AW$19),"")</f>
        <v/>
      </c>
      <c r="AO76" s="283" t="str">
        <f>IF(ISNUMBER($AF$36),(-$AF$36-$CA$19-(-$AE$36-$BZ$19)*$BY$19/$BX$19),"")</f>
        <v/>
      </c>
      <c r="AP76" s="284" t="str">
        <f>IF(ISNUMBER($AG$36),(-$AG$36+$BB$19+($AH$36-$BC$19)*$AZ$19/$BA$19),"")</f>
        <v/>
      </c>
      <c r="AQ76" s="283" t="str">
        <f>IF(ISNUMBER($AH$36),($AH$36+$BE$19+(-$AG$36-$BD$19)*$BG$19/$BF$19),"")</f>
        <v/>
      </c>
      <c r="AR76" s="284" t="str">
        <f>IF(ISNUMBER($AI$36),($AI$36-$BL$19-($AJ$36-$BM$19)*$BN$19/$BO$19),"")</f>
        <v/>
      </c>
      <c r="AS76" s="283" t="str">
        <f>IF(ISNUMBER($AJ$36),($AJ$36-$AI$36*$BK$19/$BJ$19),"")</f>
        <v/>
      </c>
      <c r="AT76" s="284" t="str">
        <f>IF(ISNUMBER($AK$36),($AK$36-$AL$36*$BR$19/$BS$19),"")</f>
        <v/>
      </c>
      <c r="AU76" s="283" t="str">
        <f>IF(ISNUMBER($AL$36),(-$AL$36+$AK$36*$BU$19/$BT$19),"")</f>
        <v/>
      </c>
      <c r="BZ76" s="596"/>
      <c r="CA76" s="596"/>
    </row>
    <row r="77" spans="2:79" ht="12" customHeight="1" x14ac:dyDescent="0.25">
      <c r="B77" s="473" t="e">
        <f>$L$38</f>
        <v>#VALUE!</v>
      </c>
      <c r="C77" s="473">
        <f>$O$7</f>
        <v>0</v>
      </c>
      <c r="D77" s="473">
        <f>IF($P$7 = "S", 2,1)</f>
        <v>2</v>
      </c>
      <c r="E77" s="473">
        <f>$Q$7</f>
        <v>0</v>
      </c>
      <c r="F77" s="473">
        <f>IF($R$7 = "W", 2,1)</f>
        <v>2</v>
      </c>
      <c r="G77" s="473">
        <f>'SHL Section'!$S$7</f>
        <v>0</v>
      </c>
      <c r="H77" t="s">
        <v>488</v>
      </c>
      <c r="L77" s="473" t="e">
        <f>$L$38</f>
        <v>#VALUE!</v>
      </c>
      <c r="M77" s="473">
        <f>$O$7</f>
        <v>0</v>
      </c>
      <c r="N77" s="473">
        <f>IF($P$7 = "S", 2,1)</f>
        <v>2</v>
      </c>
      <c r="O77" s="473">
        <f>$Q$7</f>
        <v>0</v>
      </c>
      <c r="P77" s="473">
        <f>IF($R$7 = "W", 2,1)</f>
        <v>2</v>
      </c>
      <c r="Q77" s="473">
        <f>'SHL Section'!$S$7</f>
        <v>0</v>
      </c>
      <c r="R77" s="472" t="s">
        <v>489</v>
      </c>
      <c r="AA77" s="593"/>
      <c r="AB77" s="593"/>
      <c r="AE77" s="282" t="str">
        <f>IF(ISNUMBER($AE$73),AE$73,IF(ISNUMBER($AE$74),AE$74,IF(ISNUMBER($AE$75),AE$75,IF(ISNUMBER($AE$76),AE$76,""))))</f>
        <v/>
      </c>
      <c r="AF77" s="281" t="str">
        <f>IF(ISNUMBER($AF$73),AF$73,IF(ISNUMBER($AF$74),AF$74,IF(ISNUMBER($AF$75),AF$75,IF(ISNUMBER($AF$76),AF$76,""))))</f>
        <v/>
      </c>
      <c r="AG77" s="282" t="str">
        <f>IF(ISNUMBER($AG$73),AG$73,IF(ISNUMBER($AG$74),AG$74,IF(ISNUMBER($AG$75),AG$75,IF(ISNUMBER($AG$76),AG$76,""))))</f>
        <v/>
      </c>
      <c r="AH77" s="281" t="str">
        <f>IF(ISNUMBER($AH$73),AH$73,IF(ISNUMBER($AH$74),AH$74,IF(ISNUMBER($AH$75),AH$75,IF(ISNUMBER($AH$76),AH$76,""))))</f>
        <v/>
      </c>
      <c r="AI77" s="282" t="str">
        <f>IF(ISNUMBER($AI$73),AI$73,IF(ISNUMBER($AI$74),AI$74,IF(ISNUMBER($AI$75),AI$75,IF(ISNUMBER($AI$76),AI$76,""))))</f>
        <v/>
      </c>
      <c r="AJ77" s="281" t="str">
        <f>IF(ISNUMBER($AJ$73),AJ$73,IF(ISNUMBER($AJ$74),AJ$74,IF(ISNUMBER($AJ$75),AJ$75,IF(ISNUMBER($AJ$76),AJ$76,""))))</f>
        <v/>
      </c>
      <c r="AK77" s="282" t="str">
        <f>IF(ISNUMBER($AK$73),AK$73,IF(ISNUMBER($AK$74),AK$74,IF(ISNUMBER($AK$75),AK$75,IF(ISNUMBER($AK$76),AK$76,""))))</f>
        <v/>
      </c>
      <c r="AL77" s="281" t="str">
        <f>IF(ISNUMBER($AL$73),AL$73,IF(ISNUMBER($AL$74),AL$74,IF(ISNUMBER($AL$75),AL$75,IF(ISNUMBER($AL$76),AL$76,""))))</f>
        <v/>
      </c>
      <c r="BZ77" s="596"/>
      <c r="CA77" s="596"/>
    </row>
    <row r="78" spans="2:79" ht="12" customHeight="1" x14ac:dyDescent="0.25">
      <c r="B78" s="460" t="s">
        <v>56</v>
      </c>
      <c r="C78" s="460" t="s">
        <v>55</v>
      </c>
      <c r="D78" s="460" t="s">
        <v>57</v>
      </c>
      <c r="E78" s="460" t="s">
        <v>310</v>
      </c>
      <c r="F78" s="460" t="s">
        <v>311</v>
      </c>
      <c r="G78" s="460" t="s">
        <v>157</v>
      </c>
      <c r="H78" s="460" t="s">
        <v>312</v>
      </c>
      <c r="L78" s="460" t="s">
        <v>56</v>
      </c>
      <c r="M78" s="460" t="s">
        <v>55</v>
      </c>
      <c r="N78" s="460" t="s">
        <v>57</v>
      </c>
      <c r="O78" s="460" t="s">
        <v>310</v>
      </c>
      <c r="P78" s="460" t="s">
        <v>311</v>
      </c>
      <c r="Q78" s="460" t="s">
        <v>157</v>
      </c>
      <c r="R78" s="460" t="s">
        <v>312</v>
      </c>
      <c r="AA78" s="593"/>
      <c r="AB78" s="593"/>
      <c r="AE78" s="289"/>
      <c r="AF78" s="288"/>
      <c r="AG78" s="290"/>
      <c r="AH78" s="290"/>
      <c r="AI78" s="289"/>
      <c r="AJ78" s="288"/>
      <c r="AK78" s="289"/>
      <c r="AL78" s="288"/>
      <c r="BZ78" s="596"/>
      <c r="CA78" s="596"/>
    </row>
    <row r="79" spans="2:79" ht="12" customHeight="1" x14ac:dyDescent="0.25">
      <c r="B79" s="473" t="e">
        <f>$L$38</f>
        <v>#VALUE!</v>
      </c>
      <c r="C79" s="473">
        <f>$O$7</f>
        <v>0</v>
      </c>
      <c r="D79" s="473">
        <f>IF($P$7 = "S", 2,1)</f>
        <v>2</v>
      </c>
      <c r="E79" s="473">
        <f>$Q$7</f>
        <v>0</v>
      </c>
      <c r="F79" s="473">
        <f>IF($R$7 = "W", 2,1)</f>
        <v>2</v>
      </c>
      <c r="G79" s="473">
        <f>'SHL Section'!$S$7</f>
        <v>0</v>
      </c>
      <c r="H79" t="s">
        <v>490</v>
      </c>
      <c r="L79" s="473" t="e">
        <f>$L$38</f>
        <v>#VALUE!</v>
      </c>
      <c r="M79" s="473">
        <f>$O$7</f>
        <v>0</v>
      </c>
      <c r="N79" s="473">
        <f>IF($P$7 = "S", 2,1)</f>
        <v>2</v>
      </c>
      <c r="O79" s="473">
        <f>$Q$7</f>
        <v>0</v>
      </c>
      <c r="P79" s="473">
        <f>IF($R$7 = "W", 2,1)</f>
        <v>2</v>
      </c>
      <c r="Q79" s="473">
        <f>'SHL Section'!$S$7</f>
        <v>0</v>
      </c>
      <c r="R79" s="472" t="s">
        <v>491</v>
      </c>
      <c r="AA79" s="593"/>
      <c r="AB79" s="593"/>
      <c r="AE79" s="761" t="s">
        <v>492</v>
      </c>
      <c r="AF79" s="757"/>
      <c r="AG79" s="767" t="s">
        <v>492</v>
      </c>
      <c r="AH79" s="735"/>
      <c r="AI79" s="761" t="s">
        <v>492</v>
      </c>
      <c r="AJ79" s="757"/>
      <c r="AK79" s="761" t="s">
        <v>492</v>
      </c>
      <c r="AL79" s="757"/>
      <c r="BZ79" s="596"/>
      <c r="CA79" s="596"/>
    </row>
    <row r="80" spans="2:79" ht="12" customHeight="1" x14ac:dyDescent="0.25">
      <c r="B80" s="460" t="s">
        <v>56</v>
      </c>
      <c r="C80" s="460" t="s">
        <v>55</v>
      </c>
      <c r="D80" s="460" t="s">
        <v>57</v>
      </c>
      <c r="E80" s="460" t="s">
        <v>310</v>
      </c>
      <c r="F80" s="460" t="s">
        <v>311</v>
      </c>
      <c r="G80" s="460" t="s">
        <v>157</v>
      </c>
      <c r="H80" s="460" t="s">
        <v>312</v>
      </c>
      <c r="L80" s="460" t="s">
        <v>56</v>
      </c>
      <c r="M80" s="460" t="s">
        <v>55</v>
      </c>
      <c r="N80" s="460" t="s">
        <v>57</v>
      </c>
      <c r="O80" s="460" t="s">
        <v>310</v>
      </c>
      <c r="P80" s="460" t="s">
        <v>311</v>
      </c>
      <c r="Q80" s="460" t="s">
        <v>157</v>
      </c>
      <c r="R80" s="460" t="s">
        <v>312</v>
      </c>
      <c r="AA80" s="593"/>
      <c r="AB80" s="593"/>
      <c r="AE80" s="762" t="str">
        <f>IF($AE$42="","",IF(AND((-$AE$42+$AF$42*$AV$19/$AW$19)&gt;0,-$AE$42&lt;$BZ$19,(-$AF$42+$AE$42*$CA$19/$BZ$19)&gt;0,-$AF$42&lt;$AW$19),1,IF(AND((-$AE$42-$AV$19+($AF$42+$AW$19)*$AX$19/$AY$19)&gt;0,-$AE$42&lt;$BZ$19,-$AF$42&gt;$AW$19,-$AF$42&lt;$AX$22),2,IF(AND(-$AE$42&lt;$BY$22,-$AE$42&gt;$BZ$19,-$AF$42&gt;$AW$19,-$AF$42&lt;$AX$22),3,IF(AND(-$AE$42&lt;$BY$22,-$AE$42&gt;$BZ$19,(-$AF$42-$CA$19-(-$AE$42-$BZ$19)*$BY$19/$BX$19)&gt;0,-$AF$42&lt;$AW$19),4,"")))))</f>
        <v/>
      </c>
      <c r="AF80" s="683"/>
      <c r="AG80" s="762" t="str">
        <f>IF($AG$42="","",IF(AND((-$AG$42+$BB$19+($AH$42-$BC$19)*$AZ$19/$BA$19)&gt;0,-$AG$42&lt;$BD$19,$AH$42&gt;$BC$19,$AH$42&lt;$BB$22),1,IF(AND((-$AG$42+$AH$42*$BB$19/$BC$19)&gt;0,-$AG$42&lt;$BD$19,($AH$42-$AG$42*$BE$19/$BD$19)&gt;0,$AH$42&lt;$BC$19),2,IF(AND(-$AG$42&gt;$BD$19,-$AG$42&lt;$BE$22,($AH$42+$BE$19+(-$AG$42-$BD$19)*$BG$19/$BF$19)&gt;0,$AH$42&lt;$BC$19),3,IF(AND(-$AG$42&gt;$BD$19,-$AG$42&lt;$BE$22,$AH$42&gt;$BC$19,$AH$42&lt;$BB$22),4,"")))))</f>
        <v/>
      </c>
      <c r="AH80" s="683"/>
      <c r="AI80" s="762" t="str">
        <f>IF($AI$42="","",IF(AND($AI$42&gt;$BJ$19,$AI$42&lt;$BI$22,$AJ$42&gt;$BM$19,$AJ$42&lt;$BN$22),1,IF(AND($AI$42&gt;$BJ$19,$AI$42&lt;$BI$22,($AJ$42-$BK$19-($AI$42-$BJ$19)*$BI$19/$BH$19)&gt;0,$AJ$42&lt;$BM$19),2,IF(AND(($AI$42-$AJ$42*$BL$19/$BM$19)&gt;0,$AI$42&lt;$BJ$19,($AJ$42-$AI$42*$BK$19/$BJ$19)&gt;0,$AJ$42&lt;$BM$19),3,IF(AND(($AI$42-$BL$19-($AJ$42-$BM$19)*$BN$19/$BO$19)&gt;0,$AI$42&lt;$BJ$19,$AJ$42&gt;$BM$19,$AJ$42&lt;$BN$22),4,"")))))</f>
        <v/>
      </c>
      <c r="AJ80" s="683"/>
      <c r="AK80" s="762" t="str">
        <f>IF($AK$42="","",IF(AND($AK$42&gt;$BT$19,$AK$42&lt;$BU$22,(-$AL$42+$BU$19+($AK$42-$BT$19)*$BW$19/$BV$19)&gt;0,-$AL$42&lt;$BS$19),1,IF(AND($AK$42&gt;$BT$19,$AK$42&lt;$BU$22,-$AL$42&gt;$BS$19,-$AL$42&lt;$BR$22),2,IF(AND(($AK$42+$BR$19+(-$AL$42-$BS$19)*$BP$19/$BQ$19)&gt;0,$AK$42&lt;$BT$19,-$AL$42&gt;$BS$19,-$AL$42&lt;$BR$22),3,IF(AND(($AK$42-$AL$42*$BR$19/$BS$19)&gt;0,$AK$42&lt;$BT$19,(-$AL$42+$AK$42*$BU$19/$BT$19)&gt;0,-$AL$42&lt;$BS$19),4,"")))))</f>
        <v/>
      </c>
      <c r="AL80" s="683"/>
      <c r="BZ80" s="596"/>
      <c r="CA80" s="596"/>
    </row>
    <row r="81" spans="2:79" ht="12" customHeight="1" x14ac:dyDescent="0.25">
      <c r="B81" s="473" t="e">
        <f>$L$38</f>
        <v>#VALUE!</v>
      </c>
      <c r="C81" s="473">
        <f>$O$7</f>
        <v>0</v>
      </c>
      <c r="D81" s="473">
        <f>IF($P$7 = "S", 2,1)</f>
        <v>2</v>
      </c>
      <c r="E81" s="473">
        <f>$Q$7</f>
        <v>0</v>
      </c>
      <c r="F81" s="473">
        <f>IF($R$7 = "W", 2,1)</f>
        <v>2</v>
      </c>
      <c r="G81" s="473">
        <f>'SHL Section'!$S$7</f>
        <v>0</v>
      </c>
      <c r="H81" t="s">
        <v>493</v>
      </c>
      <c r="L81" s="473" t="e">
        <f>$L$38</f>
        <v>#VALUE!</v>
      </c>
      <c r="M81" s="473">
        <f>$O$7</f>
        <v>0</v>
      </c>
      <c r="N81" s="473">
        <f>IF($P$7 = "S", 2,1)</f>
        <v>2</v>
      </c>
      <c r="O81" s="473">
        <f>$Q$7</f>
        <v>0</v>
      </c>
      <c r="P81" s="473">
        <f>IF($R$7 = "W", 2,1)</f>
        <v>2</v>
      </c>
      <c r="Q81" s="473">
        <f>'SHL Section'!$S$7</f>
        <v>0</v>
      </c>
      <c r="R81" s="472" t="s">
        <v>494</v>
      </c>
      <c r="AA81" s="593"/>
      <c r="AB81" s="593"/>
      <c r="AE81" s="289"/>
      <c r="AF81" s="288"/>
      <c r="AG81" s="290"/>
      <c r="AH81" s="290"/>
      <c r="AI81" s="289"/>
      <c r="AJ81" s="288"/>
      <c r="AK81" s="289"/>
      <c r="AL81" s="288"/>
      <c r="BZ81" s="596"/>
      <c r="CA81" s="596"/>
    </row>
    <row r="82" spans="2:79" ht="12" customHeight="1" x14ac:dyDescent="0.25">
      <c r="B82" s="473"/>
      <c r="C82" s="473"/>
      <c r="D82" s="473"/>
      <c r="E82" s="473"/>
      <c r="F82" s="473"/>
      <c r="G82" s="473"/>
      <c r="L82" s="473"/>
      <c r="M82" s="473"/>
      <c r="N82" s="473"/>
      <c r="O82" s="473"/>
      <c r="P82" s="473"/>
      <c r="Q82" s="473"/>
      <c r="R82" s="472"/>
      <c r="AA82" s="593"/>
      <c r="AB82" s="593"/>
      <c r="AE82" s="761" t="s">
        <v>495</v>
      </c>
      <c r="AF82" s="757"/>
      <c r="AG82" s="761" t="s">
        <v>496</v>
      </c>
      <c r="AH82" s="757"/>
      <c r="AI82" s="761" t="s">
        <v>482</v>
      </c>
      <c r="AJ82" s="757"/>
      <c r="AK82" s="761" t="s">
        <v>497</v>
      </c>
      <c r="AL82" s="757"/>
      <c r="BZ82" s="596"/>
      <c r="CA82" s="596"/>
    </row>
    <row r="83" spans="2:79" ht="12" customHeight="1" x14ac:dyDescent="0.25">
      <c r="AA83" s="593"/>
      <c r="AB83" s="593"/>
      <c r="AD83" s="467" t="s">
        <v>340</v>
      </c>
      <c r="AE83" s="588" t="s">
        <v>186</v>
      </c>
      <c r="AF83" s="588" t="s">
        <v>188</v>
      </c>
      <c r="AG83" s="465" t="s">
        <v>186</v>
      </c>
      <c r="AH83" s="464" t="s">
        <v>189</v>
      </c>
      <c r="AI83" s="588" t="s">
        <v>187</v>
      </c>
      <c r="AJ83" s="588" t="s">
        <v>189</v>
      </c>
      <c r="AK83" s="588" t="s">
        <v>187</v>
      </c>
      <c r="AL83" s="588" t="s">
        <v>188</v>
      </c>
      <c r="AN83" s="596" t="s">
        <v>472</v>
      </c>
      <c r="BZ83" s="596"/>
      <c r="CA83" s="596"/>
    </row>
    <row r="84" spans="2:79" ht="12" customHeight="1" x14ac:dyDescent="0.25">
      <c r="AA84" s="593"/>
      <c r="AB84" s="593"/>
      <c r="AD84" s="317">
        <v>1</v>
      </c>
      <c r="AE84" s="304" t="str">
        <f>IF($AD84=AE$80,(-$AE$42+$AF$42*$AV$19/$AW$19)*$AV$28,"")</f>
        <v/>
      </c>
      <c r="AF84" s="285" t="str">
        <f>IF($AD84=AE$80,(-$AF$42+$AE$42*$CA$19/$BZ$19)*$BZ$28,"")</f>
        <v/>
      </c>
      <c r="AG84" s="304" t="str">
        <f>IF($AD84=AG$80,(-$AG$42+$BB$19+($AH$42-$BC$19)*$AZ$19/$BA$19)*$AZ$28,"")</f>
        <v/>
      </c>
      <c r="AH84" s="285" t="str">
        <f>IF($AD84=AG$80,($AH$42-$AG$42*$BE$19/$BD$19)*$BD$28,"")</f>
        <v/>
      </c>
      <c r="AI84" s="304" t="str">
        <f>IF($AD84=AI$80,($AI$42-$BL$19-($AJ$42-$BM$19)*$BN$19/$BO$19)*$BN$28,"")</f>
        <v/>
      </c>
      <c r="AJ84" s="285" t="str">
        <f>IF($AD84=AI$80,($AJ$42-$BK$19-($AI$42-$BJ$19)*$BI$19/$BH$19)*$BH$28,"")</f>
        <v/>
      </c>
      <c r="AK84" s="304" t="str">
        <f>IF($AD84=AK$80,($AK$42-$AL$42*$BR$19/$BS$19)*$BR$28,"")</f>
        <v/>
      </c>
      <c r="AL84" s="285" t="str">
        <f>IF($AD84=AK$80,(-$AL$42+$BU$19+($AK$42-$BT$19)*$BW$19/$BV$19)*$BV$28,"")</f>
        <v/>
      </c>
      <c r="AN84" s="287" t="str">
        <f>IF(ISNUMBER($AE$42),(-$AE$42+$AF$42*$AV$19/$AW$19),"")</f>
        <v/>
      </c>
      <c r="AO84" s="286" t="str">
        <f>IF(ISNUMBER($AF$42),(-$AF$42+$AE$42*$CA$19/$BZ$19),"")</f>
        <v/>
      </c>
      <c r="AP84" s="287" t="str">
        <f>IF(ISNUMBER($AG$42),(-$AG$42+$BB$19+($AH$42-$BC$19)*$AZ$19/$BA$19),"")</f>
        <v/>
      </c>
      <c r="AQ84" s="286" t="str">
        <f>IF(ISNUMBER($AH$42),($AH$42-$AG$42*$BE$19/$BD$19),"")</f>
        <v/>
      </c>
      <c r="AR84" s="287" t="str">
        <f>IF(ISNUMBER($AI$42),($AI$42-$BL$19-($AJ$42-$BM$19)*$BN$19/$BO$19),"")</f>
        <v/>
      </c>
      <c r="AS84" s="286" t="str">
        <f>IF(ISNUMBER($AJ$42),($AJ$42-$BK$19-($AI$42-$BJ$19)*$BI$19/$BH$19),"")</f>
        <v/>
      </c>
      <c r="AT84" s="287" t="str">
        <f>IF(ISNUMBER($AK$42),($AK$42-$AL$42*$BR$19/$BS$19),"")</f>
        <v/>
      </c>
      <c r="AU84" s="286" t="str">
        <f>IF(ISNUMBER($AL$42),(-$AL$42+$BU$19+($AK$42-$BT$19)*$BW$19/$BV$19),"")</f>
        <v/>
      </c>
      <c r="BZ84" s="596"/>
      <c r="CA84" s="596"/>
    </row>
    <row r="85" spans="2:79" ht="12" customHeight="1" x14ac:dyDescent="0.25">
      <c r="AA85" s="593"/>
      <c r="AB85" s="593"/>
      <c r="AD85" s="317">
        <v>2</v>
      </c>
      <c r="AE85" s="304" t="str">
        <f>IF($AD85=AE$80,(-$AE$42-$AV$19+($AF$42+$AW$19)*$AX$19/$AY$19)*$AX$28,"")</f>
        <v/>
      </c>
      <c r="AF85" s="285" t="str">
        <f>IF($AD85=AE$80,(-$AF$42+$AE$42*$CA$19/$BZ$19)*$BZ$28,"")</f>
        <v/>
      </c>
      <c r="AG85" s="304" t="str">
        <f>IF($AD85=AG$80,(-$AG$42+$AH$42*$BB$19/$BC$19)*$BB$28,"")</f>
        <v/>
      </c>
      <c r="AH85" s="285" t="str">
        <f>IF($AD85=AG$80,($AH$42-$AG$42*$BE$19/$BD$19)*$BD$28,"")</f>
        <v/>
      </c>
      <c r="AI85" s="304" t="str">
        <f>IF($AD85=AI$80,($AI$42-$AJ$42*$BL$19/$BM$19)*$BL$28,"")</f>
        <v/>
      </c>
      <c r="AJ85" s="285" t="str">
        <f>IF($AD85=AI$80,($AJ$42-$BK$19-($AI$42-$BJ$19)*$BI$19/$BH$19)*$BH$28,"")</f>
        <v/>
      </c>
      <c r="AK85" s="304" t="str">
        <f>IF($AD85=AK$80,($AK$42+$BR$19+(-$AL$42-$BS$19)*$BP$19/$BQ$19)*$BP$28,"")</f>
        <v/>
      </c>
      <c r="AL85" s="285" t="str">
        <f>IF($AD85=AK$80,(-$AL$42+$BU$19+($AK$42-$BT$19)*$BW$19/$BV$19)*$BV$28,"")</f>
        <v/>
      </c>
      <c r="AN85" s="304" t="str">
        <f>IF(ISNUMBER($AE$42),(-$AE$42-$AV$19+($AF$42+$AW$19)*$AX$19/$AY$19),"")</f>
        <v/>
      </c>
      <c r="AO85" s="285" t="str">
        <f>IF(ISNUMBER($AF$42),(-$AF$42+$AE$42*$CA$19/$BZ$19),"")</f>
        <v/>
      </c>
      <c r="AP85" s="304" t="str">
        <f>IF(ISNUMBER($AG$42),(-$AG$42+$AH$42*$BB$19/$BC$19),"")</f>
        <v/>
      </c>
      <c r="AQ85" s="285" t="str">
        <f>IF(ISNUMBER($AH$42),($AH$42-$AG$42*$BE$19/$BD$19),"")</f>
        <v/>
      </c>
      <c r="AR85" s="304" t="str">
        <f>IF(ISNUMBER($AI$42),($AI$42-$AJ$42*$BL$19/$BM$19),"")</f>
        <v/>
      </c>
      <c r="AS85" s="285" t="str">
        <f>IF(ISNUMBER($AJ$42),($AJ$42-$BK$19-($AI$42-$BJ$19)*$BI$19/$BH$19),"")</f>
        <v/>
      </c>
      <c r="AT85" s="304" t="str">
        <f>IF(ISNUMBER($AK$42),($AK$42+$BR$19+(-$AL$42-$BS$19)*$BP$19/$BQ$19),"")</f>
        <v/>
      </c>
      <c r="AU85" s="285" t="str">
        <f>IF(ISNUMBER($AL$42),(-$AL$42+$BU$19+($AK$42-$BT$19)*$BW$19/$BV$19),"")</f>
        <v/>
      </c>
      <c r="BZ85" s="596"/>
      <c r="CA85" s="596"/>
    </row>
    <row r="86" spans="2:79" ht="12" customHeight="1" x14ac:dyDescent="0.25">
      <c r="AA86" s="593"/>
      <c r="AB86" s="593"/>
      <c r="AD86" s="317">
        <v>3</v>
      </c>
      <c r="AE86" s="304" t="str">
        <f>IF($AD86=AE$80,(-$AE$42-$AV$19+($AF$42+$AW$19)*$AX$19/$AY$19)*$AX$28,"")</f>
        <v/>
      </c>
      <c r="AF86" s="285" t="str">
        <f>IF($AD86=AE$80,(-$AF$42-$CA$19-(-$AE$42-$BZ$19)*$BY$19/$BX$19)*$BX$28,"")</f>
        <v/>
      </c>
      <c r="AG86" s="304" t="str">
        <f>IF($AD86=AG$80,(-$AG$42+$AH$42*$BB$19/$BC$19)*$BB$28,"")</f>
        <v/>
      </c>
      <c r="AH86" s="285" t="str">
        <f>IF($AD86=AG$80,($AH$42+$BE$19+(-$AG$42-$BD$19)*$BG$19/$BF$19)*$BF$28,"")</f>
        <v/>
      </c>
      <c r="AI86" s="304" t="str">
        <f>IF($AD86=AI$80,($AI$42-$AJ$42*$BL$19/$BM$19)*$BL$28,"")</f>
        <v/>
      </c>
      <c r="AJ86" s="285" t="str">
        <f>IF($AD86=AI$80,($AJ$42-$AI$42*$BK$19/$BJ$19)*$BJ$28,"")</f>
        <v/>
      </c>
      <c r="AK86" s="304" t="str">
        <f>IF($AD86=AK$80,($AK$42+$BR$19+(-$AL$42-$BS$19)*$BP$19/$BQ$19)*$BP$28,"")</f>
        <v/>
      </c>
      <c r="AL86" s="285" t="str">
        <f>IF($AD86=AK$80,(-$AL$42+$AK$42*$BU$19/$BT$19)*$BT$28,"")</f>
        <v/>
      </c>
      <c r="AN86" s="304" t="str">
        <f>IF(ISNUMBER($AE$42),(-$AE$42-$AV$19+($AF$42+$AW$19)*$AX$19/$AY$19),"")</f>
        <v/>
      </c>
      <c r="AO86" s="285" t="str">
        <f>IF(ISNUMBER($AF$42),(-$AF$42-$CA$19-(-$AE$42-$BZ$19)*$BY$19/$BX$19),"")</f>
        <v/>
      </c>
      <c r="AP86" s="304" t="str">
        <f>IF(ISNUMBER($AG$42),(-$AG$42+$AH$42*$BB$19/$BC$19),"")</f>
        <v/>
      </c>
      <c r="AQ86" s="285" t="str">
        <f>IF(ISNUMBER($AH$42),($AH$42+$BE$19+(-$AG$42-$BD$19)*$BG$19/$BF$19),"")</f>
        <v/>
      </c>
      <c r="AR86" s="304" t="str">
        <f>IF(ISNUMBER($AI$42),($AI$42-$AJ$42*$BL$19/$BM$19),"")</f>
        <v/>
      </c>
      <c r="AS86" s="285" t="str">
        <f>IF(ISNUMBER($AJ$42),($AJ$42-$AI$42*$BK$19/$BJ$19),"")</f>
        <v/>
      </c>
      <c r="AT86" s="304" t="str">
        <f>IF(ISNUMBER($AK$42),($AK$42+$BR$19+(-$AL$42-$BS$19)*$BP$19/$BQ$19),"")</f>
        <v/>
      </c>
      <c r="AU86" s="285" t="str">
        <f>IF(ISNUMBER($AL$42),(-$AL$42+$AK$42*$BU$19/$BT$19),"")</f>
        <v/>
      </c>
      <c r="BZ86" s="596"/>
      <c r="CA86" s="596"/>
    </row>
    <row r="87" spans="2:79" ht="12" customHeight="1" x14ac:dyDescent="0.25">
      <c r="B87" s="460"/>
      <c r="C87" s="460"/>
      <c r="D87" s="460"/>
      <c r="E87" s="460"/>
      <c r="F87" s="460"/>
      <c r="G87" s="460"/>
      <c r="H87" s="460"/>
      <c r="L87" s="460"/>
      <c r="M87" s="460"/>
      <c r="N87" s="460"/>
      <c r="O87" s="460"/>
      <c r="P87" s="460"/>
      <c r="Q87" s="460"/>
      <c r="R87" s="460"/>
      <c r="AA87" s="593"/>
      <c r="AB87" s="593"/>
      <c r="AD87" s="317">
        <v>4</v>
      </c>
      <c r="AE87" s="284" t="str">
        <f>IF($AD87=AE$80,(-$AE$42+$AF$42*$AV$19/$AW$19)*$AV$28,"")</f>
        <v/>
      </c>
      <c r="AF87" s="283" t="str">
        <f>IF($AD87=AE$80,(-$AF$42-$CA$19-(-$AE$42-$BZ$19)*$BY$19/$BX$19)*$BX$28,"")</f>
        <v/>
      </c>
      <c r="AG87" s="284" t="str">
        <f>IF($AD87=AG$80,(-$AG$42+$BB$19+($AH$42-$BC$19)*$AZ$19/$BA$19)*$AZ$28,"")</f>
        <v/>
      </c>
      <c r="AH87" s="283" t="str">
        <f>IF($AD87=AG$80,($AH$42+$BE$19+(-$AG$42-$BD$19)*$BG$19/$BF$19)*$BF$28,"")</f>
        <v/>
      </c>
      <c r="AI87" s="284" t="str">
        <f>IF($AD87=AI$80,($AI$42-$BL$19-($AJ$42-$BM$19)*$BN$19/$BO$19)*$BN$28,"")</f>
        <v/>
      </c>
      <c r="AJ87" s="283" t="str">
        <f>IF($AD87=AI$80,($AJ$42-$AI$42*$BK$19/$BJ$19)*$BJ$28,"")</f>
        <v/>
      </c>
      <c r="AK87" s="284" t="str">
        <f>IF($AD87=AK$80,($AK$42-$AL$42*$BR$19/$BS$19)*$BR$28,"")</f>
        <v/>
      </c>
      <c r="AL87" s="283" t="str">
        <f>IF($AD87=AK$80,(-$AL$42+$AK$42*$BU$19/$BT$19)*$BT$28,"")</f>
        <v/>
      </c>
      <c r="AN87" s="284" t="str">
        <f>IF(ISNUMBER($AE$42),(-$AE$42+$AF$42*$AV$19/$AW$19),"")</f>
        <v/>
      </c>
      <c r="AO87" s="283" t="str">
        <f>IF(ISNUMBER($AF$42),(-$AF$42-$CA$19-(-$AE$42-$BZ$19)*$BY$19/$BX$19),"")</f>
        <v/>
      </c>
      <c r="AP87" s="284" t="str">
        <f>IF(ISNUMBER($AG$42),(-$AG$42+$BB$19+($AH$42-$BC$19)*$AZ$19/$BA$19),"")</f>
        <v/>
      </c>
      <c r="AQ87" s="283" t="str">
        <f>IF(ISNUMBER($AH$42),($AH$42+$BE$19+(-$AG$42-$BD$19)*$BG$19/$BF$19),"")</f>
        <v/>
      </c>
      <c r="AR87" s="284" t="str">
        <f>IF(ISNUMBER($AI$42),($AI$42-$BL$19-($AJ$42-$BM$19)*$BN$19/$BO$19),"")</f>
        <v/>
      </c>
      <c r="AS87" s="283" t="str">
        <f>IF(ISNUMBER($AJ$42),($AJ$42-$AI$42*$BK$19/$BJ$19),"")</f>
        <v/>
      </c>
      <c r="AT87" s="284" t="str">
        <f>IF(ISNUMBER($AK$42),($AK$42-$AL$42*$BR$19/$BS$19),"")</f>
        <v/>
      </c>
      <c r="AU87" s="283" t="str">
        <f>IF(ISNUMBER($AL$42),(-$AL$42+$AK$42*$BU$19/$BT$19),"")</f>
        <v/>
      </c>
      <c r="BZ87" s="596"/>
      <c r="CA87" s="596"/>
    </row>
    <row r="88" spans="2:79" ht="12" customHeight="1" x14ac:dyDescent="0.25">
      <c r="B88" s="473"/>
      <c r="C88" s="473"/>
      <c r="D88" s="473"/>
      <c r="E88" s="473"/>
      <c r="F88" s="473"/>
      <c r="G88" s="473"/>
      <c r="H88" s="472"/>
      <c r="L88" s="473"/>
      <c r="M88" s="473"/>
      <c r="N88" s="473"/>
      <c r="O88" s="473"/>
      <c r="P88" s="473"/>
      <c r="Q88" s="473"/>
      <c r="R88" s="472"/>
      <c r="AA88" s="593"/>
      <c r="AB88" s="593"/>
      <c r="AE88" s="282" t="str">
        <f>IF(ISNUMBER($AE$84),AE$84,IF(ISNUMBER($AE$85),AE$85,IF(ISNUMBER($AE$86),AE$86,IF(ISNUMBER($AE$87),AE$87,""))))</f>
        <v/>
      </c>
      <c r="AF88" s="281" t="str">
        <f>IF(ISNUMBER($AF$84),AF$84,IF(ISNUMBER($AF$85),AF$85,IF(ISNUMBER($AF$86),AF$86,IF(ISNUMBER($AF$87),AF$87,""))))</f>
        <v/>
      </c>
      <c r="AG88" s="282" t="str">
        <f>IF(ISNUMBER($AG$84),AG$84,IF(ISNUMBER($AG$85),AG$85,IF(ISNUMBER($AG$86),AG$86,IF(ISNUMBER($AG$87),AG$87,""))))</f>
        <v/>
      </c>
      <c r="AH88" s="281" t="str">
        <f>IF(ISNUMBER($AH$84),AH$84,IF(ISNUMBER($AH$85),AH$85,IF(ISNUMBER($AH$86),AH$86,IF(ISNUMBER($AH$87),AH$87,""))))</f>
        <v/>
      </c>
      <c r="AI88" s="282" t="str">
        <f>IF(ISNUMBER($AI$84),AI$84,IF(ISNUMBER($AI$85),AI$85,IF(ISNUMBER($AI$86),AI$86,IF(ISNUMBER($AI$87),AI$87,""))))</f>
        <v/>
      </c>
      <c r="AJ88" s="281" t="str">
        <f>IF(ISNUMBER($AJ$84),AJ$84,IF(ISNUMBER($AJ$85),AJ$85,IF(ISNUMBER($AJ$86),AJ$86,IF(ISNUMBER($AJ$87),AJ$87,""))))</f>
        <v/>
      </c>
      <c r="AK88" s="282" t="str">
        <f>IF(ISNUMBER($AK$84),AK$84,IF(ISNUMBER($AK$85),AK$85,IF(ISNUMBER($AK$86),AK$86,IF(ISNUMBER($AK$87),AK$87,""))))</f>
        <v/>
      </c>
      <c r="AL88" s="281" t="str">
        <f>IF(ISNUMBER($AL$84),AL$84,IF(ISNUMBER($AL$85),AL$85,IF(ISNUMBER($AL$86),AL$86,IF(ISNUMBER($AL$87),AL$87,""))))</f>
        <v/>
      </c>
      <c r="BZ88" s="596"/>
      <c r="CA88" s="596"/>
    </row>
    <row r="89" spans="2:79" ht="12" customHeight="1" x14ac:dyDescent="0.25">
      <c r="AA89" s="593"/>
      <c r="AB89" s="593"/>
      <c r="BZ89" s="596"/>
      <c r="CA89" s="596"/>
    </row>
    <row r="90" spans="2:79" ht="12" customHeight="1" x14ac:dyDescent="0.25">
      <c r="AA90" s="593"/>
      <c r="AB90" s="593"/>
      <c r="BZ90" s="596"/>
      <c r="CA90" s="596"/>
    </row>
    <row r="91" spans="2:79" ht="12" customHeight="1" x14ac:dyDescent="0.25">
      <c r="AA91" s="593"/>
      <c r="AB91" s="593"/>
      <c r="BZ91" s="596"/>
      <c r="CA91" s="596"/>
    </row>
    <row r="92" spans="2:79" ht="12" customHeight="1" x14ac:dyDescent="0.25">
      <c r="B92" s="460"/>
      <c r="C92" s="460"/>
      <c r="D92" s="460"/>
      <c r="E92" s="460"/>
      <c r="F92" s="460"/>
      <c r="G92" s="460"/>
      <c r="H92" s="460"/>
      <c r="L92" s="460"/>
      <c r="M92" s="460"/>
      <c r="N92" s="460"/>
      <c r="O92" s="460"/>
      <c r="P92" s="460"/>
      <c r="Q92" s="460"/>
      <c r="R92" s="460"/>
      <c r="AA92" s="593"/>
      <c r="AB92" s="593"/>
      <c r="BZ92" s="596"/>
      <c r="CA92" s="596"/>
    </row>
    <row r="93" spans="2:79" x14ac:dyDescent="0.25">
      <c r="B93" s="473"/>
      <c r="C93" s="473"/>
      <c r="D93" s="473"/>
      <c r="E93" s="473"/>
      <c r="F93" s="473"/>
      <c r="G93" s="473"/>
      <c r="L93" s="473"/>
      <c r="M93" s="473"/>
      <c r="N93" s="473"/>
      <c r="O93" s="473"/>
      <c r="P93" s="473"/>
      <c r="Q93" s="473"/>
      <c r="R93" s="472"/>
      <c r="AA93" s="593"/>
      <c r="AB93" s="593"/>
      <c r="BZ93" s="596"/>
      <c r="CA93" s="596"/>
    </row>
    <row r="94" spans="2:79" x14ac:dyDescent="0.25">
      <c r="AA94" s="593"/>
      <c r="AB94" s="593"/>
      <c r="BZ94" s="596"/>
      <c r="CA94" s="596"/>
    </row>
    <row r="95" spans="2:79" x14ac:dyDescent="0.25">
      <c r="AA95" s="593"/>
      <c r="AB95" s="593"/>
      <c r="BZ95" s="596"/>
      <c r="CA95" s="596"/>
    </row>
    <row r="96" spans="2:79" x14ac:dyDescent="0.25">
      <c r="AA96" s="593"/>
      <c r="AB96" s="593"/>
      <c r="BZ96" s="596"/>
      <c r="CA96" s="596"/>
    </row>
    <row r="97" spans="2:79" x14ac:dyDescent="0.25">
      <c r="B97" s="460"/>
      <c r="C97" s="460"/>
      <c r="D97" s="460"/>
      <c r="E97" s="460"/>
      <c r="F97" s="460"/>
      <c r="G97" s="460"/>
      <c r="H97" s="460"/>
      <c r="L97" s="460"/>
      <c r="M97" s="460"/>
      <c r="N97" s="460"/>
      <c r="O97" s="460"/>
      <c r="P97" s="460"/>
      <c r="Q97" s="460"/>
      <c r="R97" s="460"/>
      <c r="AA97" s="593"/>
      <c r="AB97" s="593"/>
      <c r="BZ97" s="596"/>
      <c r="CA97" s="596"/>
    </row>
    <row r="98" spans="2:79" x14ac:dyDescent="0.25">
      <c r="B98" s="473"/>
      <c r="C98" s="473"/>
      <c r="D98" s="473"/>
      <c r="E98" s="473"/>
      <c r="F98" s="473"/>
      <c r="G98" s="473"/>
      <c r="L98" s="473"/>
      <c r="M98" s="473"/>
      <c r="N98" s="473"/>
      <c r="O98" s="473"/>
      <c r="P98" s="473"/>
      <c r="Q98" s="473"/>
      <c r="R98" s="472"/>
      <c r="AA98" s="593"/>
      <c r="AB98" s="593"/>
      <c r="BZ98" s="596"/>
      <c r="CA98" s="596"/>
    </row>
    <row r="99" spans="2:79" x14ac:dyDescent="0.25">
      <c r="AA99" s="593"/>
      <c r="AB99" s="593"/>
      <c r="BZ99" s="596"/>
      <c r="CA99" s="596"/>
    </row>
    <row r="100" spans="2:79" x14ac:dyDescent="0.25">
      <c r="AA100" s="593"/>
      <c r="AB100" s="593"/>
      <c r="BZ100" s="596"/>
      <c r="CA100" s="596"/>
    </row>
    <row r="101" spans="2:79" x14ac:dyDescent="0.25">
      <c r="AA101" s="593"/>
      <c r="AB101" s="593"/>
      <c r="BZ101" s="596"/>
      <c r="CA101" s="596"/>
    </row>
    <row r="102" spans="2:79" x14ac:dyDescent="0.25">
      <c r="B102" s="460"/>
      <c r="C102" s="460"/>
      <c r="D102" s="460"/>
      <c r="E102" s="460"/>
      <c r="F102" s="460"/>
      <c r="G102" s="460"/>
      <c r="H102" s="460"/>
      <c r="L102" s="460"/>
      <c r="M102" s="460"/>
      <c r="N102" s="460"/>
      <c r="O102" s="460"/>
      <c r="P102" s="460"/>
      <c r="Q102" s="460"/>
      <c r="R102" s="460"/>
      <c r="AA102" s="593"/>
      <c r="AB102" s="593"/>
      <c r="BZ102" s="596"/>
      <c r="CA102" s="596"/>
    </row>
    <row r="103" spans="2:79" x14ac:dyDescent="0.25">
      <c r="B103" s="473"/>
      <c r="C103" s="473"/>
      <c r="D103" s="473"/>
      <c r="E103" s="473"/>
      <c r="F103" s="473"/>
      <c r="G103" s="473"/>
      <c r="L103" s="473"/>
      <c r="M103" s="473"/>
      <c r="N103" s="473"/>
      <c r="O103" s="473"/>
      <c r="P103" s="473"/>
      <c r="Q103" s="473"/>
      <c r="R103" s="472"/>
      <c r="AA103" s="593"/>
      <c r="AB103" s="593"/>
      <c r="BZ103" s="596"/>
      <c r="CA103" s="596"/>
    </row>
    <row r="104" spans="2:79" x14ac:dyDescent="0.25">
      <c r="AA104" s="593"/>
      <c r="AB104" s="593"/>
      <c r="BZ104" s="596"/>
      <c r="CA104" s="596"/>
    </row>
    <row r="105" spans="2:79" x14ac:dyDescent="0.25">
      <c r="AA105" s="593"/>
      <c r="AB105" s="593"/>
      <c r="BZ105" s="596"/>
      <c r="CA105" s="596"/>
    </row>
    <row r="106" spans="2:79" x14ac:dyDescent="0.25">
      <c r="AA106" s="593"/>
      <c r="AB106" s="593"/>
      <c r="BZ106" s="596"/>
      <c r="CA106" s="596"/>
    </row>
    <row r="107" spans="2:79" x14ac:dyDescent="0.25">
      <c r="AA107" s="593"/>
      <c r="AB107" s="593"/>
      <c r="BZ107" s="596"/>
      <c r="CA107" s="596"/>
    </row>
    <row r="108" spans="2:79" x14ac:dyDescent="0.25">
      <c r="AA108" s="593"/>
      <c r="AB108" s="593"/>
      <c r="BZ108" s="596"/>
      <c r="CA108" s="596"/>
    </row>
    <row r="109" spans="2:79" x14ac:dyDescent="0.25">
      <c r="AA109" s="593"/>
      <c r="AB109" s="593"/>
      <c r="BZ109" s="596"/>
      <c r="CA109" s="596"/>
    </row>
    <row r="110" spans="2:79" x14ac:dyDescent="0.25">
      <c r="AA110" s="593"/>
      <c r="AB110" s="593"/>
      <c r="BZ110" s="596"/>
      <c r="CA110" s="596"/>
    </row>
    <row r="111" spans="2:79" x14ac:dyDescent="0.25">
      <c r="AA111" s="593"/>
      <c r="AB111" s="593"/>
      <c r="BZ111" s="596"/>
      <c r="CA111" s="596"/>
    </row>
    <row r="112" spans="2:79" x14ac:dyDescent="0.25">
      <c r="AA112" s="593"/>
      <c r="AB112" s="593"/>
      <c r="BZ112" s="596"/>
      <c r="CA112" s="596"/>
    </row>
    <row r="113" spans="27:79" x14ac:dyDescent="0.25">
      <c r="AA113" s="593"/>
      <c r="AB113" s="593"/>
      <c r="BZ113" s="596"/>
      <c r="CA113" s="596"/>
    </row>
    <row r="114" spans="27:79" x14ac:dyDescent="0.25">
      <c r="AA114" s="593"/>
      <c r="AB114" s="593"/>
      <c r="BZ114" s="596"/>
      <c r="CA114" s="596"/>
    </row>
    <row r="115" spans="27:79" x14ac:dyDescent="0.25">
      <c r="AA115" s="593"/>
      <c r="AB115" s="593"/>
      <c r="BZ115" s="596"/>
      <c r="CA115" s="596"/>
    </row>
    <row r="116" spans="27:79" x14ac:dyDescent="0.25">
      <c r="AA116" s="593"/>
      <c r="AB116" s="593"/>
      <c r="BZ116" s="596"/>
      <c r="CA116" s="596"/>
    </row>
    <row r="117" spans="27:79" x14ac:dyDescent="0.25">
      <c r="AA117" s="593"/>
      <c r="AB117" s="593"/>
      <c r="BZ117" s="596"/>
      <c r="CA117" s="596"/>
    </row>
    <row r="118" spans="27:79" x14ac:dyDescent="0.25">
      <c r="AA118" s="593"/>
      <c r="AB118" s="593"/>
      <c r="BZ118" s="596"/>
      <c r="CA118" s="596"/>
    </row>
    <row r="119" spans="27:79" x14ac:dyDescent="0.25">
      <c r="AA119" s="593"/>
      <c r="AB119" s="593"/>
      <c r="BZ119" s="596"/>
      <c r="CA119" s="596"/>
    </row>
    <row r="120" spans="27:79" x14ac:dyDescent="0.25">
      <c r="AA120" s="593"/>
      <c r="AB120" s="593"/>
      <c r="BZ120" s="596"/>
      <c r="CA120" s="596"/>
    </row>
    <row r="121" spans="27:79" x14ac:dyDescent="0.25">
      <c r="AA121" s="593"/>
      <c r="AB121" s="593"/>
      <c r="BZ121" s="596"/>
      <c r="CA121" s="596"/>
    </row>
    <row r="122" spans="27:79" x14ac:dyDescent="0.25">
      <c r="AA122" s="593"/>
      <c r="AB122" s="593"/>
      <c r="BZ122" s="596"/>
      <c r="CA122" s="596"/>
    </row>
    <row r="123" spans="27:79" x14ac:dyDescent="0.25">
      <c r="AA123" s="593"/>
      <c r="AB123" s="593"/>
      <c r="BZ123" s="596"/>
      <c r="CA123" s="596"/>
    </row>
    <row r="124" spans="27:79" x14ac:dyDescent="0.25">
      <c r="AA124" s="593"/>
      <c r="AB124" s="593"/>
      <c r="BZ124" s="596"/>
      <c r="CA124" s="596"/>
    </row>
    <row r="125" spans="27:79" x14ac:dyDescent="0.25">
      <c r="AA125" s="593"/>
      <c r="AB125" s="593"/>
      <c r="BZ125" s="596"/>
      <c r="CA125" s="596"/>
    </row>
    <row r="126" spans="27:79" x14ac:dyDescent="0.25">
      <c r="AA126" s="593"/>
      <c r="AB126" s="593"/>
      <c r="BZ126" s="596"/>
      <c r="CA126" s="596"/>
    </row>
    <row r="127" spans="27:79" x14ac:dyDescent="0.25">
      <c r="AA127" s="593"/>
      <c r="AB127" s="593"/>
      <c r="BZ127" s="596"/>
      <c r="CA127" s="596"/>
    </row>
    <row r="128" spans="27:79" x14ac:dyDescent="0.25">
      <c r="AA128" s="593"/>
      <c r="AB128" s="593"/>
      <c r="BZ128" s="596"/>
      <c r="CA128" s="596"/>
    </row>
    <row r="129" spans="27:79" x14ac:dyDescent="0.25">
      <c r="AA129" s="593"/>
      <c r="AB129" s="593"/>
      <c r="BZ129" s="596"/>
      <c r="CA129" s="596"/>
    </row>
    <row r="130" spans="27:79" x14ac:dyDescent="0.25">
      <c r="AA130" s="593"/>
      <c r="AB130" s="593"/>
      <c r="BZ130" s="596"/>
      <c r="CA130" s="596"/>
    </row>
    <row r="131" spans="27:79" x14ac:dyDescent="0.25">
      <c r="AA131" s="593"/>
      <c r="AB131" s="593"/>
      <c r="BZ131" s="596"/>
      <c r="CA131" s="596"/>
    </row>
    <row r="132" spans="27:79" x14ac:dyDescent="0.25">
      <c r="AA132" s="593"/>
      <c r="AB132" s="593"/>
      <c r="BZ132" s="596"/>
      <c r="CA132" s="596"/>
    </row>
    <row r="133" spans="27:79" x14ac:dyDescent="0.25">
      <c r="AA133" s="593"/>
      <c r="AB133" s="593"/>
      <c r="BZ133" s="596"/>
      <c r="CA133" s="596"/>
    </row>
    <row r="134" spans="27:79" x14ac:dyDescent="0.25">
      <c r="AA134" s="593"/>
      <c r="AB134" s="593"/>
      <c r="BZ134" s="596"/>
      <c r="CA134" s="596"/>
    </row>
    <row r="135" spans="27:79" x14ac:dyDescent="0.25">
      <c r="AA135" s="593"/>
      <c r="AB135" s="593"/>
      <c r="BZ135" s="596"/>
      <c r="CA135" s="596"/>
    </row>
    <row r="136" spans="27:79" x14ac:dyDescent="0.25">
      <c r="AA136" s="593"/>
      <c r="AB136" s="593"/>
      <c r="BZ136" s="596"/>
      <c r="CA136" s="596"/>
    </row>
    <row r="137" spans="27:79" x14ac:dyDescent="0.25">
      <c r="AA137" s="593"/>
      <c r="AB137" s="593"/>
      <c r="BZ137" s="596"/>
      <c r="CA137" s="596"/>
    </row>
    <row r="138" spans="27:79" x14ac:dyDescent="0.25">
      <c r="AA138" s="593"/>
      <c r="AB138" s="593"/>
      <c r="BZ138" s="596"/>
      <c r="CA138" s="596"/>
    </row>
    <row r="139" spans="27:79" x14ac:dyDescent="0.25">
      <c r="AA139" s="593"/>
      <c r="AB139" s="593"/>
      <c r="BZ139" s="596"/>
      <c r="CA139" s="596"/>
    </row>
    <row r="140" spans="27:79" x14ac:dyDescent="0.25">
      <c r="AA140" s="593"/>
      <c r="AB140" s="593"/>
      <c r="BZ140" s="596"/>
      <c r="CA140" s="596"/>
    </row>
    <row r="141" spans="27:79" x14ac:dyDescent="0.25">
      <c r="AA141" s="593"/>
      <c r="AB141" s="593"/>
      <c r="BZ141" s="596"/>
      <c r="CA141" s="596"/>
    </row>
    <row r="142" spans="27:79" x14ac:dyDescent="0.25">
      <c r="AA142" s="593"/>
      <c r="AB142" s="593"/>
      <c r="BZ142" s="596"/>
      <c r="CA142" s="596"/>
    </row>
    <row r="143" spans="27:79" x14ac:dyDescent="0.25">
      <c r="AA143" s="593"/>
      <c r="AB143" s="593"/>
      <c r="BZ143" s="596"/>
      <c r="CA143" s="596"/>
    </row>
    <row r="144" spans="27:79" x14ac:dyDescent="0.25">
      <c r="AA144" s="593"/>
      <c r="AB144" s="593"/>
      <c r="BZ144" s="596"/>
      <c r="CA144" s="596"/>
    </row>
    <row r="145" spans="27:79" x14ac:dyDescent="0.25">
      <c r="AA145" s="593"/>
      <c r="AB145" s="593"/>
      <c r="BZ145" s="596"/>
      <c r="CA145" s="596"/>
    </row>
    <row r="146" spans="27:79" x14ac:dyDescent="0.25">
      <c r="AA146" s="593"/>
      <c r="AB146" s="593"/>
      <c r="BZ146" s="596"/>
      <c r="CA146" s="596"/>
    </row>
    <row r="147" spans="27:79" x14ac:dyDescent="0.25">
      <c r="AA147" s="593"/>
      <c r="AB147" s="593"/>
      <c r="BZ147" s="596"/>
      <c r="CA147" s="596"/>
    </row>
    <row r="148" spans="27:79" x14ac:dyDescent="0.25">
      <c r="AA148" s="593"/>
      <c r="AB148" s="593"/>
      <c r="BZ148" s="596"/>
      <c r="CA148" s="596"/>
    </row>
    <row r="149" spans="27:79" x14ac:dyDescent="0.25">
      <c r="AA149" s="593"/>
      <c r="AB149" s="593"/>
      <c r="BZ149" s="596"/>
      <c r="CA149" s="596"/>
    </row>
    <row r="150" spans="27:79" x14ac:dyDescent="0.25">
      <c r="AA150" s="593"/>
      <c r="AB150" s="593"/>
      <c r="BZ150" s="596"/>
      <c r="CA150" s="596"/>
    </row>
    <row r="151" spans="27:79" x14ac:dyDescent="0.25">
      <c r="AA151" s="593"/>
      <c r="AB151" s="593"/>
      <c r="BZ151" s="596"/>
      <c r="CA151" s="596"/>
    </row>
    <row r="152" spans="27:79" x14ac:dyDescent="0.25">
      <c r="AA152" s="593"/>
      <c r="AB152" s="593"/>
      <c r="BZ152" s="596"/>
      <c r="CA152" s="596"/>
    </row>
    <row r="153" spans="27:79" x14ac:dyDescent="0.25">
      <c r="AA153" s="593"/>
      <c r="AB153" s="593"/>
      <c r="BZ153" s="596"/>
      <c r="CA153" s="596"/>
    </row>
    <row r="154" spans="27:79" x14ac:dyDescent="0.25">
      <c r="AA154" s="593"/>
      <c r="AB154" s="593"/>
      <c r="BZ154" s="596"/>
      <c r="CA154" s="596"/>
    </row>
    <row r="155" spans="27:79" x14ac:dyDescent="0.25">
      <c r="BZ155" s="596"/>
      <c r="CA155" s="596"/>
    </row>
  </sheetData>
  <mergeCells count="124">
    <mergeCell ref="AE82:AF82"/>
    <mergeCell ref="AG82:AH82"/>
    <mergeCell ref="AI82:AJ82"/>
    <mergeCell ref="AK82:AL82"/>
    <mergeCell ref="AE79:AF79"/>
    <mergeCell ref="AG79:AH79"/>
    <mergeCell ref="AI79:AJ79"/>
    <mergeCell ref="AK79:AL79"/>
    <mergeCell ref="AE80:AF80"/>
    <mergeCell ref="AG80:AH80"/>
    <mergeCell ref="AI80:AJ80"/>
    <mergeCell ref="AK80:AL80"/>
    <mergeCell ref="AE69:AF69"/>
    <mergeCell ref="AG69:AH69"/>
    <mergeCell ref="AI69:AJ69"/>
    <mergeCell ref="AK69:AL69"/>
    <mergeCell ref="AE71:AF71"/>
    <mergeCell ref="AG71:AH71"/>
    <mergeCell ref="AI71:AJ71"/>
    <mergeCell ref="AK71:AL71"/>
    <mergeCell ref="AE60:AF60"/>
    <mergeCell ref="AG60:AH60"/>
    <mergeCell ref="AI60:AJ60"/>
    <mergeCell ref="AK60:AL60"/>
    <mergeCell ref="AE68:AF68"/>
    <mergeCell ref="AG68:AH68"/>
    <mergeCell ref="AI68:AJ68"/>
    <mergeCell ref="AK68:AL68"/>
    <mergeCell ref="AE57:AF57"/>
    <mergeCell ref="AG57:AH57"/>
    <mergeCell ref="AI57:AJ57"/>
    <mergeCell ref="AK57:AL57"/>
    <mergeCell ref="AE58:AF58"/>
    <mergeCell ref="AG58:AH58"/>
    <mergeCell ref="AI58:AJ58"/>
    <mergeCell ref="AK58:AL58"/>
    <mergeCell ref="AE50:AF50"/>
    <mergeCell ref="AG50:AH50"/>
    <mergeCell ref="AI50:AJ50"/>
    <mergeCell ref="AK50:AL50"/>
    <mergeCell ref="B56:C56"/>
    <mergeCell ref="L56:M56"/>
    <mergeCell ref="V56:W56"/>
    <mergeCell ref="AE47:AF47"/>
    <mergeCell ref="AG47:AH47"/>
    <mergeCell ref="AI47:AJ47"/>
    <mergeCell ref="AK47:AL47"/>
    <mergeCell ref="AE48:AF48"/>
    <mergeCell ref="AG48:AH48"/>
    <mergeCell ref="AI48:AJ48"/>
    <mergeCell ref="AK48:AL48"/>
    <mergeCell ref="AE45:AF45"/>
    <mergeCell ref="AG45:AH45"/>
    <mergeCell ref="AI45:AJ45"/>
    <mergeCell ref="AK45:AL45"/>
    <mergeCell ref="AE46:AF46"/>
    <mergeCell ref="AG46:AH46"/>
    <mergeCell ref="AI46:AJ46"/>
    <mergeCell ref="AK46:AL46"/>
    <mergeCell ref="AC30:AD30"/>
    <mergeCell ref="AC36:AD36"/>
    <mergeCell ref="L38:M41"/>
    <mergeCell ref="A39:B40"/>
    <mergeCell ref="W39:X40"/>
    <mergeCell ref="G42:H42"/>
    <mergeCell ref="Q42:R42"/>
    <mergeCell ref="AC42:AD42"/>
    <mergeCell ref="AC24:AD24"/>
    <mergeCell ref="AV24:BC24"/>
    <mergeCell ref="BD24:BK24"/>
    <mergeCell ref="BL24:BS24"/>
    <mergeCell ref="BT24:CA24"/>
    <mergeCell ref="G26:H26"/>
    <mergeCell ref="Q26:R26"/>
    <mergeCell ref="BP20:BS20"/>
    <mergeCell ref="BT20:BW20"/>
    <mergeCell ref="BX20:CA20"/>
    <mergeCell ref="B23:C23"/>
    <mergeCell ref="L23:M23"/>
    <mergeCell ref="V23:W23"/>
    <mergeCell ref="AV20:AY20"/>
    <mergeCell ref="AZ20:BC20"/>
    <mergeCell ref="BD20:BG20"/>
    <mergeCell ref="BH20:BK20"/>
    <mergeCell ref="BL20:BO20"/>
    <mergeCell ref="BV17:BW17"/>
    <mergeCell ref="BX17:BY17"/>
    <mergeCell ref="BZ17:CA17"/>
    <mergeCell ref="BN17:BO17"/>
    <mergeCell ref="BP17:BQ17"/>
    <mergeCell ref="BR17:BS17"/>
    <mergeCell ref="BT17:BU17"/>
    <mergeCell ref="AE18:AF18"/>
    <mergeCell ref="AG18:AH18"/>
    <mergeCell ref="AI18:AJ18"/>
    <mergeCell ref="AK18:AL18"/>
    <mergeCell ref="AM18:AN18"/>
    <mergeCell ref="AO18:AP18"/>
    <mergeCell ref="AQ18:AR18"/>
    <mergeCell ref="BJ17:BK17"/>
    <mergeCell ref="BL17:BM17"/>
    <mergeCell ref="AX17:AY17"/>
    <mergeCell ref="AZ17:BA17"/>
    <mergeCell ref="BB17:BC17"/>
    <mergeCell ref="BD17:BE17"/>
    <mergeCell ref="BF17:BG17"/>
    <mergeCell ref="BH17:BI17"/>
    <mergeCell ref="AS18:AT18"/>
    <mergeCell ref="B7:C7"/>
    <mergeCell ref="B8:C8"/>
    <mergeCell ref="B9:C9"/>
    <mergeCell ref="B10:C10"/>
    <mergeCell ref="AC17:AT17"/>
    <mergeCell ref="AV17:AW17"/>
    <mergeCell ref="C2:G2"/>
    <mergeCell ref="C3:G3"/>
    <mergeCell ref="E5:H5"/>
    <mergeCell ref="I5:L5"/>
    <mergeCell ref="T5:V5"/>
    <mergeCell ref="B6:C6"/>
    <mergeCell ref="E6:F6"/>
    <mergeCell ref="G6:H6"/>
    <mergeCell ref="I6:J6"/>
    <mergeCell ref="K6:L6"/>
  </mergeCells>
  <conditionalFormatting sqref="AE48:AF48">
    <cfRule type="cellIs" dxfId="268" priority="175" operator="between">
      <formula>1</formula>
      <formula>4</formula>
    </cfRule>
  </conditionalFormatting>
  <conditionalFormatting sqref="AG48:AH48">
    <cfRule type="cellIs" dxfId="267" priority="174" operator="between">
      <formula>1</formula>
      <formula>4</formula>
    </cfRule>
  </conditionalFormatting>
  <conditionalFormatting sqref="AI48:AJ48">
    <cfRule type="cellIs" dxfId="266" priority="173" operator="between">
      <formula>1</formula>
      <formula>4</formula>
    </cfRule>
  </conditionalFormatting>
  <conditionalFormatting sqref="AK48:AL48">
    <cfRule type="cellIs" dxfId="265" priority="172" operator="between">
      <formula>1</formula>
      <formula>4</formula>
    </cfRule>
  </conditionalFormatting>
  <conditionalFormatting sqref="AE75:AF75">
    <cfRule type="expression" dxfId="264" priority="137">
      <formula>$AE$69=3</formula>
    </cfRule>
  </conditionalFormatting>
  <conditionalFormatting sqref="AE76:AF76">
    <cfRule type="expression" dxfId="263" priority="136">
      <formula>$AE$69=4</formula>
    </cfRule>
  </conditionalFormatting>
  <conditionalFormatting sqref="AG74:AH74">
    <cfRule type="expression" dxfId="262" priority="135">
      <formula>$AG$69=2</formula>
    </cfRule>
  </conditionalFormatting>
  <conditionalFormatting sqref="AG73:AH73">
    <cfRule type="expression" dxfId="261" priority="134">
      <formula>$AG$69=1</formula>
    </cfRule>
  </conditionalFormatting>
  <conditionalFormatting sqref="AG75:AH75">
    <cfRule type="expression" dxfId="260" priority="133">
      <formula>$AG$69=3</formula>
    </cfRule>
  </conditionalFormatting>
  <conditionalFormatting sqref="AG76:AH76">
    <cfRule type="expression" dxfId="259" priority="132">
      <formula>$AG$69=4</formula>
    </cfRule>
  </conditionalFormatting>
  <conditionalFormatting sqref="AI74:AJ74">
    <cfRule type="expression" dxfId="258" priority="131">
      <formula>$AI$69=2</formula>
    </cfRule>
  </conditionalFormatting>
  <conditionalFormatting sqref="AI73:AJ73">
    <cfRule type="expression" dxfId="257" priority="130">
      <formula>$AI$69=1</formula>
    </cfRule>
  </conditionalFormatting>
  <conditionalFormatting sqref="AI75:AJ75">
    <cfRule type="expression" dxfId="256" priority="129">
      <formula>$AI$69=3</formula>
    </cfRule>
  </conditionalFormatting>
  <conditionalFormatting sqref="AI76:AJ76">
    <cfRule type="expression" dxfId="255" priority="128">
      <formula>$AI$69=4</formula>
    </cfRule>
  </conditionalFormatting>
  <conditionalFormatting sqref="AK74:AL74">
    <cfRule type="expression" dxfId="254" priority="127">
      <formula>$AK$69=2</formula>
    </cfRule>
  </conditionalFormatting>
  <conditionalFormatting sqref="AK73:AL73">
    <cfRule type="expression" dxfId="253" priority="126">
      <formula>$AK$69=1</formula>
    </cfRule>
  </conditionalFormatting>
  <conditionalFormatting sqref="AK75:AL75">
    <cfRule type="expression" dxfId="252" priority="125">
      <formula>$AK$69=3</formula>
    </cfRule>
  </conditionalFormatting>
  <conditionalFormatting sqref="AK76:AL76">
    <cfRule type="expression" dxfId="251" priority="124">
      <formula>$AK$69=4</formula>
    </cfRule>
  </conditionalFormatting>
  <conditionalFormatting sqref="AE52:AF52">
    <cfRule type="expression" dxfId="250" priority="171">
      <formula>$AE48=1</formula>
    </cfRule>
  </conditionalFormatting>
  <conditionalFormatting sqref="AG52:AH52">
    <cfRule type="expression" dxfId="249" priority="170">
      <formula>$AG48=1</formula>
    </cfRule>
  </conditionalFormatting>
  <conditionalFormatting sqref="AI52:AJ52">
    <cfRule type="expression" dxfId="248" priority="169">
      <formula>$AI48=1</formula>
    </cfRule>
  </conditionalFormatting>
  <conditionalFormatting sqref="AK52:AL52">
    <cfRule type="expression" dxfId="247" priority="168">
      <formula>$AK48=1</formula>
    </cfRule>
  </conditionalFormatting>
  <conditionalFormatting sqref="AE53:AF53">
    <cfRule type="expression" dxfId="246" priority="167">
      <formula>$AE48=2</formula>
    </cfRule>
  </conditionalFormatting>
  <conditionalFormatting sqref="AG53:AH53">
    <cfRule type="expression" dxfId="245" priority="166">
      <formula>$AG48=2</formula>
    </cfRule>
  </conditionalFormatting>
  <conditionalFormatting sqref="AI53:AJ53">
    <cfRule type="expression" dxfId="244" priority="165">
      <formula>$AI48=2</formula>
    </cfRule>
  </conditionalFormatting>
  <conditionalFormatting sqref="AK53:AL53">
    <cfRule type="expression" dxfId="243" priority="164">
      <formula>$AK48=2</formula>
    </cfRule>
  </conditionalFormatting>
  <conditionalFormatting sqref="AE54:AF54">
    <cfRule type="expression" dxfId="242" priority="163">
      <formula>$AE48=3</formula>
    </cfRule>
  </conditionalFormatting>
  <conditionalFormatting sqref="AG54:AH54">
    <cfRule type="expression" dxfId="241" priority="162">
      <formula>$AG48=3</formula>
    </cfRule>
  </conditionalFormatting>
  <conditionalFormatting sqref="AI54:AJ54">
    <cfRule type="expression" dxfId="240" priority="161">
      <formula>$AI48=3</formula>
    </cfRule>
  </conditionalFormatting>
  <conditionalFormatting sqref="AK54:AL54">
    <cfRule type="expression" dxfId="239" priority="160">
      <formula>$AK48=3</formula>
    </cfRule>
  </conditionalFormatting>
  <conditionalFormatting sqref="AE55:AF55">
    <cfRule type="expression" dxfId="238" priority="159">
      <formula>$AE48=4</formula>
    </cfRule>
  </conditionalFormatting>
  <conditionalFormatting sqref="AG55:AH55">
    <cfRule type="expression" dxfId="237" priority="158">
      <formula>$AG48=4</formula>
    </cfRule>
  </conditionalFormatting>
  <conditionalFormatting sqref="AI55:AJ55">
    <cfRule type="expression" dxfId="236" priority="157">
      <formula>$AI48=4</formula>
    </cfRule>
  </conditionalFormatting>
  <conditionalFormatting sqref="AK55:AL55">
    <cfRule type="expression" dxfId="235" priority="156">
      <formula>$AK48=4</formula>
    </cfRule>
  </conditionalFormatting>
  <conditionalFormatting sqref="AE65:AF65">
    <cfRule type="expression" dxfId="234" priority="155">
      <formula>$AE$58=4</formula>
    </cfRule>
  </conditionalFormatting>
  <conditionalFormatting sqref="AG65:AH65">
    <cfRule type="expression" dxfId="233" priority="154">
      <formula>$AG$58=4</formula>
    </cfRule>
  </conditionalFormatting>
  <conditionalFormatting sqref="AI65:AJ65">
    <cfRule type="expression" dxfId="232" priority="153">
      <formula>$AI$58=4</formula>
    </cfRule>
  </conditionalFormatting>
  <conditionalFormatting sqref="AK65:AL65">
    <cfRule type="expression" dxfId="231" priority="152">
      <formula>$AK$58=4</formula>
    </cfRule>
  </conditionalFormatting>
  <conditionalFormatting sqref="AE64:AF64">
    <cfRule type="expression" dxfId="230" priority="151">
      <formula>$AE$58=3</formula>
    </cfRule>
  </conditionalFormatting>
  <conditionalFormatting sqref="AG64:AH64">
    <cfRule type="expression" dxfId="229" priority="150">
      <formula>$AG$58=3</formula>
    </cfRule>
  </conditionalFormatting>
  <conditionalFormatting sqref="AI64:AJ64">
    <cfRule type="expression" dxfId="228" priority="149">
      <formula>$AI$58=3</formula>
    </cfRule>
  </conditionalFormatting>
  <conditionalFormatting sqref="AK64:AL64">
    <cfRule type="expression" dxfId="227" priority="148">
      <formula>$AK$58=3</formula>
    </cfRule>
  </conditionalFormatting>
  <conditionalFormatting sqref="AE63:AF63">
    <cfRule type="expression" dxfId="226" priority="147">
      <formula>$AE$58=2</formula>
    </cfRule>
  </conditionalFormatting>
  <conditionalFormatting sqref="AG63:AH63">
    <cfRule type="expression" dxfId="225" priority="146">
      <formula>$AG$58=2</formula>
    </cfRule>
  </conditionalFormatting>
  <conditionalFormatting sqref="AI63:AJ63">
    <cfRule type="expression" dxfId="224" priority="145">
      <formula>$AI$58=2</formula>
    </cfRule>
  </conditionalFormatting>
  <conditionalFormatting sqref="AK63:AL63">
    <cfRule type="expression" dxfId="223" priority="144">
      <formula>$AK$58=2</formula>
    </cfRule>
  </conditionalFormatting>
  <conditionalFormatting sqref="AE62:AF62">
    <cfRule type="expression" dxfId="222" priority="143">
      <formula>$AE$58=1</formula>
    </cfRule>
  </conditionalFormatting>
  <conditionalFormatting sqref="AG62:AH62">
    <cfRule type="expression" dxfId="221" priority="142">
      <formula>$AG$58=1</formula>
    </cfRule>
  </conditionalFormatting>
  <conditionalFormatting sqref="AI62:AJ62">
    <cfRule type="expression" dxfId="220" priority="141">
      <formula>$AI$58=1</formula>
    </cfRule>
  </conditionalFormatting>
  <conditionalFormatting sqref="AK62:AL62">
    <cfRule type="expression" dxfId="219" priority="140">
      <formula>$AK$58=1</formula>
    </cfRule>
  </conditionalFormatting>
  <conditionalFormatting sqref="AE74:AF74">
    <cfRule type="expression" dxfId="218" priority="139">
      <formula>$AE$69=2</formula>
    </cfRule>
  </conditionalFormatting>
  <conditionalFormatting sqref="AE73:AF73">
    <cfRule type="expression" dxfId="217" priority="138">
      <formula>$AE$69=1</formula>
    </cfRule>
  </conditionalFormatting>
  <conditionalFormatting sqref="AE87:AF87">
    <cfRule type="expression" dxfId="216" priority="123">
      <formula>$AE$80=4</formula>
    </cfRule>
  </conditionalFormatting>
  <conditionalFormatting sqref="AG87:AH87">
    <cfRule type="expression" dxfId="215" priority="122">
      <formula>$AG$80=4</formula>
    </cfRule>
  </conditionalFormatting>
  <conditionalFormatting sqref="AI87:AJ87">
    <cfRule type="expression" dxfId="214" priority="121">
      <formula>$AI$80=4</formula>
    </cfRule>
  </conditionalFormatting>
  <conditionalFormatting sqref="AK87:AL87">
    <cfRule type="expression" dxfId="213" priority="120">
      <formula>$AK$80=4</formula>
    </cfRule>
  </conditionalFormatting>
  <conditionalFormatting sqref="AE86:AF86">
    <cfRule type="expression" dxfId="212" priority="119">
      <formula>$AE$80=3</formula>
    </cfRule>
  </conditionalFormatting>
  <conditionalFormatting sqref="AG86:AH86">
    <cfRule type="expression" dxfId="211" priority="118">
      <formula>$AG$80=3</formula>
    </cfRule>
  </conditionalFormatting>
  <conditionalFormatting sqref="AI86:AJ86">
    <cfRule type="expression" dxfId="210" priority="117">
      <formula>$AI$80=3</formula>
    </cfRule>
  </conditionalFormatting>
  <conditionalFormatting sqref="AK86:AL86">
    <cfRule type="expression" dxfId="209" priority="116">
      <formula>$AK$80=3</formula>
    </cfRule>
  </conditionalFormatting>
  <conditionalFormatting sqref="AE85:AF85">
    <cfRule type="expression" dxfId="208" priority="115">
      <formula>$AE$80=2</formula>
    </cfRule>
  </conditionalFormatting>
  <conditionalFormatting sqref="AG85:AH85">
    <cfRule type="expression" dxfId="207" priority="114">
      <formula>$AG$80=2</formula>
    </cfRule>
  </conditionalFormatting>
  <conditionalFormatting sqref="AI85:AJ85">
    <cfRule type="expression" dxfId="206" priority="113">
      <formula>$AI$80=2</formula>
    </cfRule>
  </conditionalFormatting>
  <conditionalFormatting sqref="AK85:AL85">
    <cfRule type="expression" dxfId="205" priority="112">
      <formula>$AK$80=2</formula>
    </cfRule>
  </conditionalFormatting>
  <conditionalFormatting sqref="AE84:AF84">
    <cfRule type="expression" dxfId="204" priority="111">
      <formula>$AE$80=1</formula>
    </cfRule>
  </conditionalFormatting>
  <conditionalFormatting sqref="AG84:AH84">
    <cfRule type="expression" dxfId="203" priority="110">
      <formula>$AG$80=1</formula>
    </cfRule>
  </conditionalFormatting>
  <conditionalFormatting sqref="AI84:AJ84">
    <cfRule type="expression" dxfId="202" priority="109">
      <formula>$AI$80=1</formula>
    </cfRule>
  </conditionalFormatting>
  <conditionalFormatting sqref="AK84:AL84">
    <cfRule type="expression" dxfId="201" priority="108">
      <formula>$AK$80=1</formula>
    </cfRule>
  </conditionalFormatting>
  <conditionalFormatting sqref="AI58:AJ58">
    <cfRule type="cellIs" dxfId="200" priority="107" operator="between">
      <formula>1</formula>
      <formula>4</formula>
    </cfRule>
  </conditionalFormatting>
  <conditionalFormatting sqref="AE58:AH58">
    <cfRule type="cellIs" dxfId="199" priority="106" operator="between">
      <formula>1</formula>
      <formula>4</formula>
    </cfRule>
  </conditionalFormatting>
  <conditionalFormatting sqref="AK58:AL58">
    <cfRule type="cellIs" dxfId="198" priority="105" operator="between">
      <formula>1</formula>
      <formula>4</formula>
    </cfRule>
  </conditionalFormatting>
  <conditionalFormatting sqref="AI69:AJ69">
    <cfRule type="cellIs" dxfId="197" priority="104" operator="between">
      <formula>1</formula>
      <formula>4</formula>
    </cfRule>
  </conditionalFormatting>
  <conditionalFormatting sqref="AE69:AH69">
    <cfRule type="cellIs" dxfId="196" priority="103" operator="between">
      <formula>1</formula>
      <formula>4</formula>
    </cfRule>
  </conditionalFormatting>
  <conditionalFormatting sqref="AK69:AL69">
    <cfRule type="cellIs" dxfId="195" priority="102" operator="between">
      <formula>1</formula>
      <formula>4</formula>
    </cfRule>
  </conditionalFormatting>
  <conditionalFormatting sqref="AI80:AJ80">
    <cfRule type="cellIs" dxfId="194" priority="101" operator="between">
      <formula>1</formula>
      <formula>4</formula>
    </cfRule>
  </conditionalFormatting>
  <conditionalFormatting sqref="AE80:AH80">
    <cfRule type="cellIs" dxfId="193" priority="100" operator="between">
      <formula>1</formula>
      <formula>4</formula>
    </cfRule>
  </conditionalFormatting>
  <conditionalFormatting sqref="AK80:AL80">
    <cfRule type="cellIs" dxfId="192" priority="99" operator="between">
      <formula>1</formula>
      <formula>4</formula>
    </cfRule>
  </conditionalFormatting>
  <conditionalFormatting sqref="AN65:AO65">
    <cfRule type="expression" dxfId="191" priority="50">
      <formula>$AE$58=4</formula>
    </cfRule>
  </conditionalFormatting>
  <conditionalFormatting sqref="AP65:AQ65">
    <cfRule type="expression" dxfId="190" priority="49">
      <formula>$AG$58=4</formula>
    </cfRule>
  </conditionalFormatting>
  <conditionalFormatting sqref="AR65:AS65">
    <cfRule type="expression" dxfId="189" priority="48">
      <formula>$AI$58=4</formula>
    </cfRule>
  </conditionalFormatting>
  <conditionalFormatting sqref="AT65:AU65">
    <cfRule type="expression" dxfId="188" priority="47">
      <formula>$AK$58=4</formula>
    </cfRule>
  </conditionalFormatting>
  <conditionalFormatting sqref="AN64:AO64">
    <cfRule type="expression" dxfId="187" priority="46">
      <formula>$AE$58=3</formula>
    </cfRule>
  </conditionalFormatting>
  <conditionalFormatting sqref="AP64:AQ64">
    <cfRule type="expression" dxfId="186" priority="45">
      <formula>$AG$58=3</formula>
    </cfRule>
  </conditionalFormatting>
  <conditionalFormatting sqref="AR64:AS64">
    <cfRule type="expression" dxfId="185" priority="44">
      <formula>$AI$58=3</formula>
    </cfRule>
  </conditionalFormatting>
  <conditionalFormatting sqref="AT64:AU64">
    <cfRule type="expression" dxfId="184" priority="43">
      <formula>$AK$58=3</formula>
    </cfRule>
  </conditionalFormatting>
  <conditionalFormatting sqref="AN63:AO63">
    <cfRule type="expression" dxfId="183" priority="42">
      <formula>$AE$58=2</formula>
    </cfRule>
  </conditionalFormatting>
  <conditionalFormatting sqref="AP63:AQ63">
    <cfRule type="expression" dxfId="182" priority="41">
      <formula>$AG$58=2</formula>
    </cfRule>
  </conditionalFormatting>
  <conditionalFormatting sqref="AR63:AS63">
    <cfRule type="expression" dxfId="181" priority="40">
      <formula>$AI$58=2</formula>
    </cfRule>
  </conditionalFormatting>
  <conditionalFormatting sqref="AT63:AU63">
    <cfRule type="expression" dxfId="180" priority="39">
      <formula>$AK$58=2</formula>
    </cfRule>
  </conditionalFormatting>
  <conditionalFormatting sqref="AN62:AO62">
    <cfRule type="expression" dxfId="179" priority="38">
      <formula>$AE$58=1</formula>
    </cfRule>
  </conditionalFormatting>
  <conditionalFormatting sqref="AP62:AQ62">
    <cfRule type="expression" dxfId="178" priority="37">
      <formula>$AG$58=1</formula>
    </cfRule>
  </conditionalFormatting>
  <conditionalFormatting sqref="AR62:AS62">
    <cfRule type="expression" dxfId="177" priority="36">
      <formula>$AI$58=1</formula>
    </cfRule>
  </conditionalFormatting>
  <conditionalFormatting sqref="AT62:AU62">
    <cfRule type="expression" dxfId="176" priority="35">
      <formula>$AK$58=1</formula>
    </cfRule>
  </conditionalFormatting>
  <conditionalFormatting sqref="AN74:AO74">
    <cfRule type="expression" dxfId="175" priority="34">
      <formula>$AE$69=2</formula>
    </cfRule>
  </conditionalFormatting>
  <conditionalFormatting sqref="AN73:AO73">
    <cfRule type="expression" dxfId="174" priority="33">
      <formula>$AE$69=1</formula>
    </cfRule>
  </conditionalFormatting>
  <conditionalFormatting sqref="AN75:AO75">
    <cfRule type="expression" dxfId="173" priority="32">
      <formula>$AE$69=3</formula>
    </cfRule>
  </conditionalFormatting>
  <conditionalFormatting sqref="AN76:AO76">
    <cfRule type="expression" dxfId="172" priority="31">
      <formula>$AE$69=4</formula>
    </cfRule>
  </conditionalFormatting>
  <conditionalFormatting sqref="AP74:AQ74">
    <cfRule type="expression" dxfId="171" priority="30">
      <formula>$AG$69=2</formula>
    </cfRule>
  </conditionalFormatting>
  <conditionalFormatting sqref="AP73:AQ73">
    <cfRule type="expression" dxfId="170" priority="29">
      <formula>$AG$69=1</formula>
    </cfRule>
  </conditionalFormatting>
  <conditionalFormatting sqref="AP75:AQ75">
    <cfRule type="expression" dxfId="169" priority="28">
      <formula>$AG$69=3</formula>
    </cfRule>
  </conditionalFormatting>
  <conditionalFormatting sqref="AP76:AQ76">
    <cfRule type="expression" dxfId="168" priority="27">
      <formula>$AG$69=4</formula>
    </cfRule>
  </conditionalFormatting>
  <conditionalFormatting sqref="AR74:AS74">
    <cfRule type="expression" dxfId="167" priority="26">
      <formula>$AI$69=2</formula>
    </cfRule>
  </conditionalFormatting>
  <conditionalFormatting sqref="AR73:AS73">
    <cfRule type="expression" dxfId="166" priority="25">
      <formula>$AI$69=1</formula>
    </cfRule>
  </conditionalFormatting>
  <conditionalFormatting sqref="AR75:AS75">
    <cfRule type="expression" dxfId="165" priority="24">
      <formula>$AI$69=3</formula>
    </cfRule>
  </conditionalFormatting>
  <conditionalFormatting sqref="AR76:AS76">
    <cfRule type="expression" dxfId="164" priority="23">
      <formula>$AI$69=4</formula>
    </cfRule>
  </conditionalFormatting>
  <conditionalFormatting sqref="AT74:AU74">
    <cfRule type="expression" dxfId="163" priority="22">
      <formula>$AK$69=2</formula>
    </cfRule>
  </conditionalFormatting>
  <conditionalFormatting sqref="AT73:AU73">
    <cfRule type="expression" dxfId="162" priority="21">
      <formula>$AK$69=1</formula>
    </cfRule>
  </conditionalFormatting>
  <conditionalFormatting sqref="AT75:AU75">
    <cfRule type="expression" dxfId="161" priority="20">
      <formula>$AK$69=3</formula>
    </cfRule>
  </conditionalFormatting>
  <conditionalFormatting sqref="AT76:AU76">
    <cfRule type="expression" dxfId="160" priority="19">
      <formula>$AK$69=4</formula>
    </cfRule>
  </conditionalFormatting>
  <conditionalFormatting sqref="AN85:AO85">
    <cfRule type="expression" dxfId="159" priority="18">
      <formula>$AE$80=2</formula>
    </cfRule>
  </conditionalFormatting>
  <conditionalFormatting sqref="AN84:AO84">
    <cfRule type="expression" dxfId="158" priority="17">
      <formula>$AE$80=1</formula>
    </cfRule>
  </conditionalFormatting>
  <conditionalFormatting sqref="AN86:AO86">
    <cfRule type="expression" dxfId="157" priority="16">
      <formula>$AE$80=3</formula>
    </cfRule>
  </conditionalFormatting>
  <conditionalFormatting sqref="AN87:AO87">
    <cfRule type="expression" dxfId="156" priority="15">
      <formula>$AE$80=4</formula>
    </cfRule>
  </conditionalFormatting>
  <conditionalFormatting sqref="AP85:AQ85">
    <cfRule type="expression" dxfId="155" priority="14">
      <formula>$AG$80=2</formula>
    </cfRule>
  </conditionalFormatting>
  <conditionalFormatting sqref="AP84:AQ84">
    <cfRule type="expression" dxfId="154" priority="13">
      <formula>$AG$80=1</formula>
    </cfRule>
  </conditionalFormatting>
  <conditionalFormatting sqref="AP86:AQ86">
    <cfRule type="expression" dxfId="153" priority="12">
      <formula>$AG$80=3</formula>
    </cfRule>
  </conditionalFormatting>
  <conditionalFormatting sqref="AP87:AQ87">
    <cfRule type="expression" dxfId="152" priority="11">
      <formula>$AG$80=4</formula>
    </cfRule>
  </conditionalFormatting>
  <conditionalFormatting sqref="AR85:AS85">
    <cfRule type="expression" dxfId="151" priority="10">
      <formula>$AI$80=2</formula>
    </cfRule>
  </conditionalFormatting>
  <conditionalFormatting sqref="AR84:AS84">
    <cfRule type="expression" dxfId="150" priority="9">
      <formula>$AI$80=1</formula>
    </cfRule>
  </conditionalFormatting>
  <conditionalFormatting sqref="AR86:AS86">
    <cfRule type="expression" dxfId="149" priority="8">
      <formula>$AI$80=3</formula>
    </cfRule>
  </conditionalFormatting>
  <conditionalFormatting sqref="AR87:AS87">
    <cfRule type="expression" dxfId="148" priority="7">
      <formula>$AI$80=4</formula>
    </cfRule>
  </conditionalFormatting>
  <conditionalFormatting sqref="AT85:AU85">
    <cfRule type="expression" dxfId="147" priority="6">
      <formula>$AK$80=2</formula>
    </cfRule>
  </conditionalFormatting>
  <conditionalFormatting sqref="AT84:AU84">
    <cfRule type="expression" dxfId="146" priority="5">
      <formula>$AK$80=1</formula>
    </cfRule>
  </conditionalFormatting>
  <conditionalFormatting sqref="AT86:AU86">
    <cfRule type="expression" dxfId="145" priority="4">
      <formula>$AK$80=3</formula>
    </cfRule>
  </conditionalFormatting>
  <conditionalFormatting sqref="AT87:AU87">
    <cfRule type="expression" dxfId="144" priority="3">
      <formula>$AK$80=4</formula>
    </cfRule>
  </conditionalFormatting>
  <conditionalFormatting sqref="L38:M41">
    <cfRule type="expression" dxfId="143" priority="1">
      <formula>$CD$20&gt;3</formula>
    </cfRule>
    <cfRule type="expression" dxfId="142" priority="2">
      <formula>$CD$20&lt;0.1</formula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C75"/>
  <sheetViews>
    <sheetView topLeftCell="A48" workbookViewId="0">
      <selection activeCell="L59" sqref="L59"/>
    </sheetView>
  </sheetViews>
  <sheetFormatPr defaultRowHeight="15" x14ac:dyDescent="0.25"/>
  <cols>
    <col min="2" max="2" width="10.7109375" style="569" bestFit="1" customWidth="1"/>
    <col min="3" max="3" width="70" style="569" customWidth="1"/>
  </cols>
  <sheetData>
    <row r="2" spans="1:3" x14ac:dyDescent="0.25">
      <c r="A2" s="240" t="s">
        <v>0</v>
      </c>
      <c r="B2" s="241" t="s">
        <v>501</v>
      </c>
      <c r="C2" s="594" t="s">
        <v>502</v>
      </c>
    </row>
    <row r="3" spans="1:3" x14ac:dyDescent="0.25">
      <c r="A3" s="649">
        <v>2</v>
      </c>
      <c r="B3" s="261">
        <v>42068</v>
      </c>
      <c r="C3" s="578" t="s">
        <v>503</v>
      </c>
    </row>
    <row r="4" spans="1:3" x14ac:dyDescent="0.25">
      <c r="A4" s="649">
        <v>2.1</v>
      </c>
      <c r="B4" s="261">
        <v>42072</v>
      </c>
      <c r="C4" s="578" t="s">
        <v>504</v>
      </c>
    </row>
    <row r="5" spans="1:3" x14ac:dyDescent="0.25">
      <c r="A5" s="649">
        <v>2.2000000000000002</v>
      </c>
      <c r="B5" s="261">
        <v>42072</v>
      </c>
      <c r="C5" s="578" t="s">
        <v>505</v>
      </c>
    </row>
    <row r="6" spans="1:3" x14ac:dyDescent="0.25">
      <c r="A6" s="649">
        <v>2.2999999999999998</v>
      </c>
      <c r="B6" s="261">
        <v>42074</v>
      </c>
      <c r="C6" s="578" t="s">
        <v>506</v>
      </c>
    </row>
    <row r="7" spans="1:3" x14ac:dyDescent="0.25">
      <c r="A7" s="649">
        <v>2.4</v>
      </c>
      <c r="B7" s="261">
        <v>42082</v>
      </c>
      <c r="C7" s="578" t="s">
        <v>507</v>
      </c>
    </row>
    <row r="8" spans="1:3" x14ac:dyDescent="0.25">
      <c r="A8" s="649">
        <v>2.5</v>
      </c>
      <c r="B8" s="261">
        <v>42083</v>
      </c>
      <c r="C8" s="578" t="s">
        <v>508</v>
      </c>
    </row>
    <row r="9" spans="1:3" x14ac:dyDescent="0.25">
      <c r="A9" s="649">
        <v>2.6</v>
      </c>
      <c r="B9" s="261">
        <v>42093</v>
      </c>
      <c r="C9" s="578" t="s">
        <v>509</v>
      </c>
    </row>
    <row r="10" spans="1:3" x14ac:dyDescent="0.25">
      <c r="A10" s="649">
        <v>2.7</v>
      </c>
      <c r="B10" s="261">
        <v>42093</v>
      </c>
      <c r="C10" s="578" t="s">
        <v>510</v>
      </c>
    </row>
    <row r="11" spans="1:3" x14ac:dyDescent="0.25">
      <c r="A11" s="649">
        <v>2.8</v>
      </c>
      <c r="B11" s="261">
        <v>42094</v>
      </c>
      <c r="C11" s="578" t="s">
        <v>511</v>
      </c>
    </row>
    <row r="12" spans="1:3" x14ac:dyDescent="0.25">
      <c r="A12" s="649">
        <v>2.9</v>
      </c>
      <c r="B12" s="261">
        <v>42094</v>
      </c>
      <c r="C12" s="578" t="s">
        <v>512</v>
      </c>
    </row>
    <row r="13" spans="1:3" x14ac:dyDescent="0.25">
      <c r="A13" s="649">
        <v>3</v>
      </c>
      <c r="B13" s="261">
        <v>42095</v>
      </c>
      <c r="C13" s="578" t="s">
        <v>513</v>
      </c>
    </row>
    <row r="14" spans="1:3" x14ac:dyDescent="0.25">
      <c r="A14" s="649">
        <v>3.1</v>
      </c>
      <c r="B14" s="261">
        <v>42100</v>
      </c>
      <c r="C14" s="578" t="s">
        <v>514</v>
      </c>
    </row>
    <row r="15" spans="1:3" x14ac:dyDescent="0.25">
      <c r="A15" s="649">
        <v>3.2</v>
      </c>
      <c r="B15" s="261"/>
      <c r="C15" s="578" t="s">
        <v>515</v>
      </c>
    </row>
    <row r="16" spans="1:3" x14ac:dyDescent="0.25">
      <c r="A16" s="649">
        <v>3.3</v>
      </c>
      <c r="B16" s="261">
        <v>42104</v>
      </c>
      <c r="C16" s="578" t="s">
        <v>516</v>
      </c>
    </row>
    <row r="17" spans="1:3" x14ac:dyDescent="0.25">
      <c r="A17" s="649">
        <v>3.4</v>
      </c>
      <c r="B17" s="261">
        <v>42107</v>
      </c>
      <c r="C17" s="578" t="s">
        <v>517</v>
      </c>
    </row>
    <row r="18" spans="1:3" x14ac:dyDescent="0.25">
      <c r="A18" s="649">
        <v>3.5</v>
      </c>
      <c r="B18" s="261">
        <v>42108</v>
      </c>
      <c r="C18" s="578" t="s">
        <v>518</v>
      </c>
    </row>
    <row r="19" spans="1:3" x14ac:dyDescent="0.25">
      <c r="A19" s="649">
        <v>3.6</v>
      </c>
      <c r="B19" s="261">
        <v>42109</v>
      </c>
      <c r="C19" s="578" t="s">
        <v>519</v>
      </c>
    </row>
    <row r="20" spans="1:3" x14ac:dyDescent="0.25">
      <c r="A20" s="649">
        <v>3.7</v>
      </c>
      <c r="B20" s="261">
        <v>42114</v>
      </c>
      <c r="C20" s="578" t="s">
        <v>520</v>
      </c>
    </row>
    <row r="21" spans="1:3" x14ac:dyDescent="0.25">
      <c r="A21" s="649">
        <v>3.8</v>
      </c>
      <c r="B21" s="261">
        <v>42115</v>
      </c>
      <c r="C21" s="578" t="s">
        <v>521</v>
      </c>
    </row>
    <row r="22" spans="1:3" x14ac:dyDescent="0.25">
      <c r="A22" s="649">
        <v>3.9</v>
      </c>
      <c r="B22" s="261">
        <v>42116</v>
      </c>
      <c r="C22" s="578" t="s">
        <v>522</v>
      </c>
    </row>
    <row r="23" spans="1:3" x14ac:dyDescent="0.25">
      <c r="A23" s="649">
        <v>4</v>
      </c>
      <c r="B23" s="261">
        <v>42122</v>
      </c>
      <c r="C23" s="578" t="s">
        <v>523</v>
      </c>
    </row>
    <row r="24" spans="1:3" x14ac:dyDescent="0.25">
      <c r="A24" s="649">
        <v>4.0999999999999996</v>
      </c>
      <c r="B24" s="261">
        <v>42122</v>
      </c>
      <c r="C24" s="578" t="s">
        <v>524</v>
      </c>
    </row>
    <row r="25" spans="1:3" x14ac:dyDescent="0.25">
      <c r="A25" s="649">
        <v>4.2</v>
      </c>
      <c r="B25" s="261">
        <v>42122</v>
      </c>
      <c r="C25" s="578" t="s">
        <v>525</v>
      </c>
    </row>
    <row r="26" spans="1:3" x14ac:dyDescent="0.25">
      <c r="A26" s="649">
        <v>4.3</v>
      </c>
      <c r="B26" s="261">
        <v>42132</v>
      </c>
      <c r="C26" s="578" t="s">
        <v>526</v>
      </c>
    </row>
    <row r="27" spans="1:3" x14ac:dyDescent="0.25">
      <c r="A27" s="649">
        <v>4.4000000000000004</v>
      </c>
      <c r="B27" s="261">
        <v>42137</v>
      </c>
      <c r="C27" s="578" t="s">
        <v>527</v>
      </c>
    </row>
    <row r="28" spans="1:3" x14ac:dyDescent="0.25">
      <c r="A28" s="243">
        <v>4.5</v>
      </c>
      <c r="B28" s="261">
        <v>42139</v>
      </c>
      <c r="C28" s="578" t="s">
        <v>528</v>
      </c>
    </row>
    <row r="29" spans="1:3" x14ac:dyDescent="0.25">
      <c r="A29" s="243">
        <v>4.5999999999999996</v>
      </c>
      <c r="B29" s="261">
        <v>42160</v>
      </c>
      <c r="C29" s="578" t="s">
        <v>529</v>
      </c>
    </row>
    <row r="30" spans="1:3" x14ac:dyDescent="0.25">
      <c r="A30" s="243">
        <v>4.7</v>
      </c>
      <c r="B30" s="261">
        <v>42165</v>
      </c>
      <c r="C30" s="578" t="s">
        <v>530</v>
      </c>
    </row>
    <row r="31" spans="1:3" x14ac:dyDescent="0.25">
      <c r="A31" s="243">
        <v>4.8</v>
      </c>
      <c r="B31" s="261">
        <v>42235</v>
      </c>
      <c r="C31" s="578" t="s">
        <v>531</v>
      </c>
    </row>
    <row r="32" spans="1:3" x14ac:dyDescent="0.25">
      <c r="A32" s="243">
        <v>4.9000000000000004</v>
      </c>
      <c r="B32" s="261">
        <v>42241</v>
      </c>
      <c r="C32" s="578" t="s">
        <v>532</v>
      </c>
    </row>
    <row r="33" spans="1:3" x14ac:dyDescent="0.25">
      <c r="A33" s="649">
        <v>5</v>
      </c>
      <c r="B33" s="261">
        <v>42241</v>
      </c>
      <c r="C33" s="578" t="s">
        <v>533</v>
      </c>
    </row>
    <row r="34" spans="1:3" x14ac:dyDescent="0.25">
      <c r="A34" s="243">
        <v>5.0999999999999996</v>
      </c>
      <c r="B34" s="261">
        <v>42297</v>
      </c>
      <c r="C34" s="578" t="s">
        <v>534</v>
      </c>
    </row>
    <row r="35" spans="1:3" x14ac:dyDescent="0.25">
      <c r="A35" s="243">
        <v>5.2</v>
      </c>
      <c r="B35" s="261">
        <v>42325</v>
      </c>
      <c r="C35" s="578" t="s">
        <v>535</v>
      </c>
    </row>
    <row r="36" spans="1:3" x14ac:dyDescent="0.25">
      <c r="A36" s="243">
        <v>5.3</v>
      </c>
      <c r="B36" s="261">
        <v>42328</v>
      </c>
      <c r="C36" s="578" t="s">
        <v>536</v>
      </c>
    </row>
    <row r="37" spans="1:3" x14ac:dyDescent="0.25">
      <c r="A37" s="243">
        <v>5.4</v>
      </c>
      <c r="B37" s="261">
        <v>42335</v>
      </c>
      <c r="C37" s="578" t="s">
        <v>537</v>
      </c>
    </row>
    <row r="38" spans="1:3" x14ac:dyDescent="0.25">
      <c r="A38" s="243">
        <v>5.5</v>
      </c>
      <c r="B38" s="261">
        <v>42345</v>
      </c>
      <c r="C38" s="578" t="s">
        <v>538</v>
      </c>
    </row>
    <row r="39" spans="1:3" x14ac:dyDescent="0.25">
      <c r="A39" s="243">
        <v>5.6</v>
      </c>
      <c r="B39" s="261">
        <v>42355</v>
      </c>
      <c r="C39" s="578" t="s">
        <v>539</v>
      </c>
    </row>
    <row r="40" spans="1:3" x14ac:dyDescent="0.25">
      <c r="A40" s="243">
        <v>5.7</v>
      </c>
      <c r="B40" s="261">
        <v>42369</v>
      </c>
      <c r="C40" s="578" t="s">
        <v>540</v>
      </c>
    </row>
    <row r="41" spans="1:3" x14ac:dyDescent="0.25">
      <c r="A41" s="243">
        <v>5.8</v>
      </c>
      <c r="B41" s="261">
        <v>42515</v>
      </c>
      <c r="C41" s="578" t="s">
        <v>532</v>
      </c>
    </row>
    <row r="42" spans="1:3" x14ac:dyDescent="0.25">
      <c r="A42" s="243">
        <v>5.9</v>
      </c>
      <c r="B42" s="261">
        <v>42545</v>
      </c>
      <c r="C42" s="578" t="s">
        <v>532</v>
      </c>
    </row>
    <row r="43" spans="1:3" x14ac:dyDescent="0.25">
      <c r="A43" s="649">
        <v>6</v>
      </c>
      <c r="B43" s="261">
        <v>42580</v>
      </c>
      <c r="C43" s="578" t="s">
        <v>532</v>
      </c>
    </row>
    <row r="44" spans="1:3" x14ac:dyDescent="0.25">
      <c r="A44" s="243">
        <v>6.1</v>
      </c>
      <c r="B44" s="261">
        <v>42622</v>
      </c>
      <c r="C44" s="578" t="s">
        <v>541</v>
      </c>
    </row>
    <row r="45" spans="1:3" x14ac:dyDescent="0.25">
      <c r="A45" s="243">
        <v>6.2</v>
      </c>
      <c r="B45" s="261">
        <v>42625</v>
      </c>
      <c r="C45" s="578" t="s">
        <v>542</v>
      </c>
    </row>
    <row r="46" spans="1:3" x14ac:dyDescent="0.25">
      <c r="A46" s="243">
        <v>6.3</v>
      </c>
      <c r="B46" s="261">
        <v>42648</v>
      </c>
      <c r="C46" s="578" t="s">
        <v>543</v>
      </c>
    </row>
    <row r="47" spans="1:3" x14ac:dyDescent="0.25">
      <c r="A47" s="243">
        <v>6.4</v>
      </c>
      <c r="B47" s="261">
        <v>42675</v>
      </c>
      <c r="C47" s="578" t="s">
        <v>544</v>
      </c>
    </row>
    <row r="48" spans="1:3" x14ac:dyDescent="0.25">
      <c r="A48" s="243">
        <v>6.5</v>
      </c>
      <c r="B48" s="261">
        <v>42713</v>
      </c>
      <c r="C48" s="578" t="s">
        <v>545</v>
      </c>
    </row>
    <row r="49" spans="1:3" x14ac:dyDescent="0.25">
      <c r="A49" s="243">
        <v>6.6</v>
      </c>
      <c r="B49" s="261">
        <v>42748</v>
      </c>
      <c r="C49" s="578" t="s">
        <v>546</v>
      </c>
    </row>
    <row r="50" spans="1:3" x14ac:dyDescent="0.25">
      <c r="A50" s="597">
        <v>6.7</v>
      </c>
      <c r="B50" s="255">
        <v>42781</v>
      </c>
      <c r="C50" s="590" t="s">
        <v>547</v>
      </c>
    </row>
    <row r="51" spans="1:3" x14ac:dyDescent="0.25">
      <c r="A51" s="256">
        <v>6.8</v>
      </c>
      <c r="B51" s="257">
        <v>42800</v>
      </c>
      <c r="C51" s="594" t="s">
        <v>548</v>
      </c>
    </row>
    <row r="52" spans="1:3" x14ac:dyDescent="0.25">
      <c r="A52" s="243">
        <v>6.9</v>
      </c>
      <c r="B52" s="261">
        <v>42818</v>
      </c>
      <c r="C52" s="578" t="s">
        <v>549</v>
      </c>
    </row>
    <row r="53" spans="1:3" x14ac:dyDescent="0.25">
      <c r="A53" s="649">
        <v>7</v>
      </c>
      <c r="B53" s="261">
        <v>42852</v>
      </c>
      <c r="C53" s="578" t="s">
        <v>550</v>
      </c>
    </row>
    <row r="54" spans="1:3" x14ac:dyDescent="0.25">
      <c r="A54" s="243">
        <v>7.1</v>
      </c>
      <c r="B54" s="261">
        <v>42863</v>
      </c>
      <c r="C54" s="578" t="s">
        <v>551</v>
      </c>
    </row>
    <row r="55" spans="1:3" x14ac:dyDescent="0.25">
      <c r="A55" s="243">
        <v>7.2</v>
      </c>
      <c r="B55" s="261">
        <v>42866</v>
      </c>
      <c r="C55" s="578" t="s">
        <v>552</v>
      </c>
    </row>
    <row r="56" spans="1:3" x14ac:dyDescent="0.25">
      <c r="A56" s="243">
        <v>7.3</v>
      </c>
      <c r="B56" s="261">
        <v>42867</v>
      </c>
      <c r="C56" s="578" t="s">
        <v>553</v>
      </c>
    </row>
    <row r="57" spans="1:3" x14ac:dyDescent="0.25">
      <c r="A57" s="243">
        <v>7.4</v>
      </c>
      <c r="B57" s="261">
        <v>42873</v>
      </c>
      <c r="C57" s="578" t="s">
        <v>554</v>
      </c>
    </row>
    <row r="58" spans="1:3" x14ac:dyDescent="0.25">
      <c r="A58" s="243">
        <v>7.5</v>
      </c>
      <c r="B58" s="261">
        <v>42961</v>
      </c>
      <c r="C58" s="578" t="s">
        <v>555</v>
      </c>
    </row>
    <row r="59" spans="1:3" x14ac:dyDescent="0.25">
      <c r="A59" s="243">
        <v>7.6</v>
      </c>
      <c r="B59" s="261">
        <v>43021</v>
      </c>
      <c r="C59" s="578" t="s">
        <v>556</v>
      </c>
    </row>
    <row r="60" spans="1:3" x14ac:dyDescent="0.25">
      <c r="A60" s="243">
        <v>7.7</v>
      </c>
      <c r="B60" s="261">
        <v>43122</v>
      </c>
      <c r="C60" s="578" t="s">
        <v>557</v>
      </c>
    </row>
    <row r="61" spans="1:3" x14ac:dyDescent="0.25">
      <c r="A61" s="243">
        <v>7.8</v>
      </c>
      <c r="B61" s="261">
        <v>43124</v>
      </c>
      <c r="C61" s="578" t="s">
        <v>558</v>
      </c>
    </row>
    <row r="62" spans="1:3" x14ac:dyDescent="0.25">
      <c r="A62" s="243">
        <v>7.9</v>
      </c>
      <c r="B62" s="261">
        <v>43130</v>
      </c>
      <c r="C62" s="578" t="s">
        <v>559</v>
      </c>
    </row>
    <row r="63" spans="1:3" x14ac:dyDescent="0.25">
      <c r="A63" s="649">
        <v>8</v>
      </c>
      <c r="B63" s="261">
        <v>43138</v>
      </c>
      <c r="C63" s="578" t="s">
        <v>560</v>
      </c>
    </row>
    <row r="64" spans="1:3" x14ac:dyDescent="0.25">
      <c r="A64" s="243">
        <v>8.1</v>
      </c>
      <c r="B64" s="261">
        <v>43210</v>
      </c>
      <c r="C64" s="578" t="s">
        <v>561</v>
      </c>
    </row>
    <row r="65" spans="1:3" x14ac:dyDescent="0.25">
      <c r="A65" s="243">
        <v>8.1999999999999993</v>
      </c>
      <c r="C65" s="578"/>
    </row>
    <row r="66" spans="1:3" x14ac:dyDescent="0.25">
      <c r="A66" s="243">
        <v>8.3000000000000007</v>
      </c>
      <c r="B66" s="261">
        <v>43606</v>
      </c>
      <c r="C66" s="578" t="s">
        <v>562</v>
      </c>
    </row>
    <row r="67" spans="1:3" x14ac:dyDescent="0.25">
      <c r="A67" s="243">
        <v>8.3000000000000007</v>
      </c>
      <c r="B67" s="261">
        <v>43788</v>
      </c>
      <c r="C67" s="578" t="s">
        <v>563</v>
      </c>
    </row>
    <row r="68" spans="1:3" x14ac:dyDescent="0.25">
      <c r="A68" s="243">
        <v>8.4</v>
      </c>
      <c r="C68" s="578"/>
    </row>
    <row r="69" spans="1:3" x14ac:dyDescent="0.25">
      <c r="A69" s="243">
        <v>8.5</v>
      </c>
      <c r="C69" s="578"/>
    </row>
    <row r="70" spans="1:3" x14ac:dyDescent="0.25">
      <c r="A70" s="243">
        <v>8.6</v>
      </c>
      <c r="B70" s="261">
        <v>43985</v>
      </c>
      <c r="C70" s="578" t="s">
        <v>564</v>
      </c>
    </row>
    <row r="71" spans="1:3" x14ac:dyDescent="0.25">
      <c r="A71" s="243" t="s">
        <v>565</v>
      </c>
      <c r="B71" s="492">
        <v>44013</v>
      </c>
      <c r="C71" s="578" t="s">
        <v>566</v>
      </c>
    </row>
    <row r="72" spans="1:3" x14ac:dyDescent="0.25">
      <c r="A72" s="243"/>
      <c r="C72" s="578"/>
    </row>
    <row r="73" spans="1:3" x14ac:dyDescent="0.25">
      <c r="A73" s="243"/>
      <c r="C73" s="578"/>
    </row>
    <row r="74" spans="1:3" x14ac:dyDescent="0.25">
      <c r="A74" s="243"/>
      <c r="C74" s="578"/>
    </row>
    <row r="75" spans="1:3" x14ac:dyDescent="0.25">
      <c r="A75" s="597"/>
      <c r="B75" s="592"/>
      <c r="C75" s="59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3890"/>
  <sheetViews>
    <sheetView workbookViewId="0">
      <pane ySplit="1" topLeftCell="A3851" activePane="bottomLeft" state="frozen"/>
      <selection pane="bottomLeft" activeCell="M3866" sqref="M3866"/>
    </sheetView>
  </sheetViews>
  <sheetFormatPr defaultRowHeight="15" x14ac:dyDescent="0.25"/>
  <cols>
    <col min="1" max="6" width="9.140625" style="493" customWidth="1"/>
    <col min="7" max="7" width="19.42578125" style="493" customWidth="1"/>
    <col min="8" max="12" width="9.140625" style="493" customWidth="1"/>
    <col min="13" max="13" width="18.28515625" style="566" customWidth="1"/>
    <col min="14" max="14" width="24" style="496" customWidth="1"/>
    <col min="15" max="15" width="18.140625" style="493" customWidth="1"/>
    <col min="16" max="16" width="16.5703125" style="493" customWidth="1"/>
    <col min="17" max="34" width="9.140625" style="493" customWidth="1"/>
    <col min="35" max="16384" width="9.140625" style="493"/>
  </cols>
  <sheetData>
    <row r="1" spans="1:18" ht="76.5" customHeight="1" x14ac:dyDescent="0.25">
      <c r="A1" s="503" t="s">
        <v>171</v>
      </c>
      <c r="B1" s="503" t="s">
        <v>341</v>
      </c>
      <c r="C1" s="503" t="s">
        <v>567</v>
      </c>
      <c r="D1" s="503" t="s">
        <v>343</v>
      </c>
      <c r="E1" s="503" t="s">
        <v>568</v>
      </c>
      <c r="F1" s="503" t="s">
        <v>569</v>
      </c>
      <c r="G1" s="503" t="s">
        <v>570</v>
      </c>
      <c r="H1" s="503" t="s">
        <v>571</v>
      </c>
      <c r="I1" s="503" t="s">
        <v>572</v>
      </c>
      <c r="J1" s="503" t="s">
        <v>573</v>
      </c>
      <c r="K1" s="503" t="s">
        <v>574</v>
      </c>
      <c r="L1" s="503" t="s">
        <v>575</v>
      </c>
      <c r="M1" s="503" t="s">
        <v>576</v>
      </c>
      <c r="N1" s="504" t="s">
        <v>9</v>
      </c>
      <c r="O1" s="505" t="s">
        <v>577</v>
      </c>
      <c r="P1" s="506" t="s">
        <v>578</v>
      </c>
      <c r="Q1" s="550" t="s">
        <v>579</v>
      </c>
      <c r="R1" s="564"/>
    </row>
    <row r="2" spans="1:18" ht="15" customHeight="1" x14ac:dyDescent="0.25">
      <c r="A2" s="553" t="s">
        <v>56</v>
      </c>
      <c r="B2" s="553" t="s">
        <v>55</v>
      </c>
      <c r="C2" s="553" t="s">
        <v>57</v>
      </c>
      <c r="D2" s="553" t="s">
        <v>310</v>
      </c>
      <c r="E2" s="553" t="s">
        <v>311</v>
      </c>
      <c r="F2" s="553" t="s">
        <v>157</v>
      </c>
      <c r="G2" s="553" t="s">
        <v>312</v>
      </c>
      <c r="H2" s="553" t="s">
        <v>313</v>
      </c>
      <c r="I2" s="553" t="s">
        <v>58</v>
      </c>
      <c r="J2" s="553" t="s">
        <v>314</v>
      </c>
      <c r="K2" s="553" t="s">
        <v>315</v>
      </c>
      <c r="L2" s="553" t="s">
        <v>316</v>
      </c>
      <c r="M2" s="505" t="s">
        <v>317</v>
      </c>
      <c r="N2" s="500" t="s">
        <v>12</v>
      </c>
      <c r="O2" s="553" t="s">
        <v>318</v>
      </c>
      <c r="P2" s="507" t="s">
        <v>319</v>
      </c>
      <c r="Q2" s="564" t="s">
        <v>580</v>
      </c>
      <c r="R2" s="564"/>
    </row>
    <row r="3" spans="1:18" s="565" customFormat="1" ht="15" customHeight="1" x14ac:dyDescent="0.25">
      <c r="A3" s="553">
        <v>1</v>
      </c>
      <c r="B3" s="553">
        <v>7</v>
      </c>
      <c r="C3" s="553">
        <v>2</v>
      </c>
      <c r="D3" s="553">
        <v>19</v>
      </c>
      <c r="E3" s="553">
        <v>1</v>
      </c>
      <c r="F3" s="553">
        <v>1</v>
      </c>
      <c r="G3" s="553" t="s">
        <v>473</v>
      </c>
      <c r="H3" s="553">
        <v>1401.165</v>
      </c>
      <c r="I3" s="553">
        <v>2</v>
      </c>
      <c r="J3" s="553">
        <v>24</v>
      </c>
      <c r="K3" s="553">
        <v>4</v>
      </c>
      <c r="L3" s="553">
        <v>1</v>
      </c>
      <c r="M3" s="505" t="s">
        <v>312</v>
      </c>
      <c r="N3" s="500">
        <v>43047562420000</v>
      </c>
      <c r="O3" s="553" t="s">
        <v>581</v>
      </c>
      <c r="P3" s="650" t="s">
        <v>582</v>
      </c>
      <c r="Q3" s="564" t="s">
        <v>583</v>
      </c>
      <c r="R3" s="564">
        <v>1</v>
      </c>
    </row>
    <row r="4" spans="1:18" s="565" customFormat="1" ht="15" customHeight="1" x14ac:dyDescent="0.25">
      <c r="A4" s="553">
        <v>1</v>
      </c>
      <c r="B4" s="553">
        <v>7</v>
      </c>
      <c r="C4" s="553">
        <v>2</v>
      </c>
      <c r="D4" s="553">
        <v>19</v>
      </c>
      <c r="E4" s="553">
        <v>1</v>
      </c>
      <c r="F4" s="553">
        <v>1</v>
      </c>
      <c r="G4" s="502" t="s">
        <v>476</v>
      </c>
      <c r="H4" s="553">
        <v>1401.165</v>
      </c>
      <c r="I4" s="553">
        <v>2</v>
      </c>
      <c r="J4" s="553">
        <v>24</v>
      </c>
      <c r="K4" s="553">
        <v>4</v>
      </c>
      <c r="L4" s="553">
        <v>1</v>
      </c>
      <c r="M4" s="505" t="s">
        <v>312</v>
      </c>
      <c r="N4" s="500">
        <v>43047562420000</v>
      </c>
      <c r="O4" s="553" t="s">
        <v>581</v>
      </c>
      <c r="P4" s="650" t="s">
        <v>584</v>
      </c>
      <c r="Q4" s="564" t="s">
        <v>583</v>
      </c>
      <c r="R4" s="564">
        <v>1</v>
      </c>
    </row>
    <row r="5" spans="1:18" s="565" customFormat="1" ht="15" customHeight="1" x14ac:dyDescent="0.25">
      <c r="A5" s="553">
        <v>1</v>
      </c>
      <c r="B5" s="553">
        <v>7</v>
      </c>
      <c r="C5" s="553">
        <v>2</v>
      </c>
      <c r="D5" s="553">
        <v>19</v>
      </c>
      <c r="E5" s="553">
        <v>1</v>
      </c>
      <c r="F5" s="553">
        <v>1</v>
      </c>
      <c r="G5" s="553" t="s">
        <v>478</v>
      </c>
      <c r="H5" s="553">
        <v>1368.595</v>
      </c>
      <c r="I5" s="553">
        <v>2</v>
      </c>
      <c r="J5" s="553">
        <v>24</v>
      </c>
      <c r="K5" s="553">
        <v>25</v>
      </c>
      <c r="L5" s="553">
        <v>1</v>
      </c>
      <c r="M5" s="505" t="s">
        <v>312</v>
      </c>
      <c r="N5" s="500">
        <v>43047562420000</v>
      </c>
      <c r="O5" s="553" t="s">
        <v>581</v>
      </c>
      <c r="P5" s="650" t="s">
        <v>585</v>
      </c>
      <c r="Q5" s="564" t="s">
        <v>583</v>
      </c>
      <c r="R5" s="564">
        <v>1</v>
      </c>
    </row>
    <row r="6" spans="1:18" s="565" customFormat="1" ht="15" customHeight="1" x14ac:dyDescent="0.25">
      <c r="A6" s="553">
        <v>1</v>
      </c>
      <c r="B6" s="553">
        <v>7</v>
      </c>
      <c r="C6" s="553">
        <v>2</v>
      </c>
      <c r="D6" s="553">
        <v>19</v>
      </c>
      <c r="E6" s="553">
        <v>1</v>
      </c>
      <c r="F6" s="553">
        <v>1</v>
      </c>
      <c r="G6" s="553" t="s">
        <v>484</v>
      </c>
      <c r="H6" s="553">
        <v>1368.595</v>
      </c>
      <c r="I6" s="553">
        <v>2</v>
      </c>
      <c r="J6" s="553">
        <v>24</v>
      </c>
      <c r="K6" s="553">
        <v>25</v>
      </c>
      <c r="L6" s="553">
        <v>1</v>
      </c>
      <c r="M6" s="505" t="s">
        <v>312</v>
      </c>
      <c r="N6" s="500">
        <v>43047562420000</v>
      </c>
      <c r="O6" s="553" t="s">
        <v>581</v>
      </c>
      <c r="P6" s="650" t="s">
        <v>586</v>
      </c>
      <c r="Q6" s="564" t="s">
        <v>583</v>
      </c>
      <c r="R6" s="564">
        <v>1</v>
      </c>
    </row>
    <row r="7" spans="1:18" s="565" customFormat="1" ht="15" customHeight="1" x14ac:dyDescent="0.25">
      <c r="A7" s="553">
        <v>1</v>
      </c>
      <c r="B7" s="553">
        <v>7</v>
      </c>
      <c r="C7" s="553">
        <v>2</v>
      </c>
      <c r="D7" s="553">
        <v>19</v>
      </c>
      <c r="E7" s="553">
        <v>1</v>
      </c>
      <c r="F7" s="553">
        <v>1</v>
      </c>
      <c r="G7" s="553" t="s">
        <v>486</v>
      </c>
      <c r="H7" s="553">
        <v>1387.21</v>
      </c>
      <c r="I7" s="553">
        <v>1</v>
      </c>
      <c r="J7" s="553">
        <v>47</v>
      </c>
      <c r="K7" s="553">
        <v>26</v>
      </c>
      <c r="L7" s="553">
        <v>1</v>
      </c>
      <c r="M7" s="505" t="s">
        <v>312</v>
      </c>
      <c r="N7" s="500">
        <v>43047562420000</v>
      </c>
      <c r="O7" s="553" t="s">
        <v>581</v>
      </c>
      <c r="P7" s="650" t="s">
        <v>587</v>
      </c>
      <c r="Q7" s="564" t="s">
        <v>583</v>
      </c>
      <c r="R7" s="564">
        <v>1</v>
      </c>
    </row>
    <row r="8" spans="1:18" s="565" customFormat="1" ht="15" customHeight="1" x14ac:dyDescent="0.25">
      <c r="A8" s="553">
        <v>1</v>
      </c>
      <c r="B8" s="553">
        <v>7</v>
      </c>
      <c r="C8" s="553">
        <v>2</v>
      </c>
      <c r="D8" s="553">
        <v>19</v>
      </c>
      <c r="E8" s="553">
        <v>1</v>
      </c>
      <c r="F8" s="553">
        <v>1</v>
      </c>
      <c r="G8" s="502" t="s">
        <v>488</v>
      </c>
      <c r="H8" s="553">
        <v>1387.21</v>
      </c>
      <c r="I8" s="517">
        <v>1</v>
      </c>
      <c r="J8" s="553">
        <v>47</v>
      </c>
      <c r="K8" s="553">
        <v>26</v>
      </c>
      <c r="L8" s="553">
        <v>1</v>
      </c>
      <c r="M8" s="561" t="s">
        <v>312</v>
      </c>
      <c r="N8" s="500">
        <v>43047562420000</v>
      </c>
      <c r="O8" s="657" t="s">
        <v>581</v>
      </c>
      <c r="P8" s="564" t="s">
        <v>588</v>
      </c>
      <c r="Q8" s="564" t="s">
        <v>583</v>
      </c>
      <c r="R8" s="564">
        <v>1</v>
      </c>
    </row>
    <row r="9" spans="1:18" s="565" customFormat="1" ht="15" customHeight="1" x14ac:dyDescent="0.25">
      <c r="A9" s="553">
        <v>1</v>
      </c>
      <c r="B9" s="553">
        <v>7</v>
      </c>
      <c r="C9" s="553">
        <v>2</v>
      </c>
      <c r="D9" s="553">
        <v>19</v>
      </c>
      <c r="E9" s="553">
        <v>1</v>
      </c>
      <c r="F9" s="553">
        <v>1</v>
      </c>
      <c r="G9" s="553" t="s">
        <v>490</v>
      </c>
      <c r="H9" s="553">
        <v>1342</v>
      </c>
      <c r="I9" s="553">
        <v>1</v>
      </c>
      <c r="J9" s="553">
        <v>18</v>
      </c>
      <c r="K9" s="553">
        <v>36</v>
      </c>
      <c r="L9" s="553">
        <v>1</v>
      </c>
      <c r="M9" s="505" t="s">
        <v>312</v>
      </c>
      <c r="N9" s="500">
        <v>43047562420000</v>
      </c>
      <c r="O9" s="553" t="s">
        <v>581</v>
      </c>
      <c r="P9" s="650" t="s">
        <v>589</v>
      </c>
      <c r="Q9" s="564" t="s">
        <v>583</v>
      </c>
      <c r="R9" s="564">
        <v>1</v>
      </c>
    </row>
    <row r="10" spans="1:18" s="565" customFormat="1" ht="15" customHeight="1" x14ac:dyDescent="0.25">
      <c r="A10" s="553">
        <v>1</v>
      </c>
      <c r="B10" s="553">
        <v>7</v>
      </c>
      <c r="C10" s="553">
        <v>2</v>
      </c>
      <c r="D10" s="553">
        <v>19</v>
      </c>
      <c r="E10" s="553">
        <v>1</v>
      </c>
      <c r="F10" s="553">
        <v>1</v>
      </c>
      <c r="G10" s="553" t="s">
        <v>493</v>
      </c>
      <c r="H10" s="553">
        <v>1342</v>
      </c>
      <c r="I10" s="553">
        <v>1</v>
      </c>
      <c r="J10" s="553">
        <v>18</v>
      </c>
      <c r="K10" s="553">
        <v>36</v>
      </c>
      <c r="L10" s="553">
        <v>1</v>
      </c>
      <c r="M10" s="505" t="s">
        <v>312</v>
      </c>
      <c r="N10" s="500">
        <v>43047562420000</v>
      </c>
      <c r="O10" s="553" t="s">
        <v>581</v>
      </c>
      <c r="P10" s="650" t="s">
        <v>590</v>
      </c>
      <c r="Q10" s="564" t="s">
        <v>583</v>
      </c>
      <c r="R10" s="564">
        <v>1</v>
      </c>
    </row>
    <row r="11" spans="1:18" s="565" customFormat="1" ht="15" customHeight="1" x14ac:dyDescent="0.25">
      <c r="A11" s="553">
        <v>1</v>
      </c>
      <c r="B11" s="553">
        <v>7</v>
      </c>
      <c r="C11" s="553">
        <v>2</v>
      </c>
      <c r="D11" s="553">
        <v>19</v>
      </c>
      <c r="E11" s="553">
        <v>1</v>
      </c>
      <c r="F11" s="553">
        <v>1</v>
      </c>
      <c r="G11" s="553" t="s">
        <v>474</v>
      </c>
      <c r="H11" s="553">
        <v>1343.9449999999999</v>
      </c>
      <c r="I11" s="553">
        <v>88</v>
      </c>
      <c r="J11" s="553">
        <v>50</v>
      </c>
      <c r="K11" s="553">
        <v>57</v>
      </c>
      <c r="L11" s="553">
        <v>2</v>
      </c>
      <c r="M11" s="505" t="s">
        <v>312</v>
      </c>
      <c r="N11" s="500">
        <v>43047562420000</v>
      </c>
      <c r="O11" s="553" t="s">
        <v>581</v>
      </c>
      <c r="P11" s="650" t="s">
        <v>591</v>
      </c>
      <c r="Q11" s="564" t="s">
        <v>583</v>
      </c>
      <c r="R11" s="564">
        <v>1</v>
      </c>
    </row>
    <row r="12" spans="1:18" s="565" customFormat="1" ht="15" customHeight="1" x14ac:dyDescent="0.25">
      <c r="A12" s="553">
        <v>1</v>
      </c>
      <c r="B12" s="553">
        <v>7</v>
      </c>
      <c r="C12" s="553">
        <v>2</v>
      </c>
      <c r="D12" s="553">
        <v>19</v>
      </c>
      <c r="E12" s="553">
        <v>1</v>
      </c>
      <c r="F12" s="553">
        <v>1</v>
      </c>
      <c r="G12" s="502" t="s">
        <v>477</v>
      </c>
      <c r="H12" s="553">
        <v>1343.9449999999999</v>
      </c>
      <c r="I12" s="553">
        <v>88</v>
      </c>
      <c r="J12" s="553">
        <v>50</v>
      </c>
      <c r="K12" s="553">
        <v>57</v>
      </c>
      <c r="L12" s="553">
        <v>2</v>
      </c>
      <c r="M12" s="505" t="s">
        <v>312</v>
      </c>
      <c r="N12" s="500">
        <v>43047562420000</v>
      </c>
      <c r="O12" s="553" t="s">
        <v>581</v>
      </c>
      <c r="P12" s="650" t="s">
        <v>592</v>
      </c>
      <c r="Q12" s="564" t="s">
        <v>583</v>
      </c>
      <c r="R12" s="564">
        <v>1</v>
      </c>
    </row>
    <row r="13" spans="1:18" s="565" customFormat="1" ht="15" customHeight="1" x14ac:dyDescent="0.25">
      <c r="A13" s="553">
        <v>1</v>
      </c>
      <c r="B13" s="553">
        <v>7</v>
      </c>
      <c r="C13" s="553">
        <v>2</v>
      </c>
      <c r="D13" s="553">
        <v>19</v>
      </c>
      <c r="E13" s="553">
        <v>1</v>
      </c>
      <c r="F13" s="553">
        <v>1</v>
      </c>
      <c r="G13" s="553" t="s">
        <v>479</v>
      </c>
      <c r="H13" s="553">
        <v>1343.9</v>
      </c>
      <c r="I13" s="553">
        <v>88</v>
      </c>
      <c r="J13" s="553">
        <v>52</v>
      </c>
      <c r="K13" s="553">
        <v>3</v>
      </c>
      <c r="L13" s="553">
        <v>2</v>
      </c>
      <c r="M13" s="505" t="s">
        <v>312</v>
      </c>
      <c r="N13" s="500">
        <v>43047562420000</v>
      </c>
      <c r="O13" s="553" t="s">
        <v>581</v>
      </c>
      <c r="P13" s="650" t="s">
        <v>593</v>
      </c>
      <c r="Q13" s="564" t="s">
        <v>583</v>
      </c>
      <c r="R13" s="564">
        <v>1</v>
      </c>
    </row>
    <row r="14" spans="1:18" s="565" customFormat="1" ht="15" customHeight="1" x14ac:dyDescent="0.25">
      <c r="A14" s="553">
        <v>1</v>
      </c>
      <c r="B14" s="553">
        <v>7</v>
      </c>
      <c r="C14" s="553">
        <v>2</v>
      </c>
      <c r="D14" s="553">
        <v>19</v>
      </c>
      <c r="E14" s="553">
        <v>1</v>
      </c>
      <c r="F14" s="553">
        <v>1</v>
      </c>
      <c r="G14" s="553" t="s">
        <v>485</v>
      </c>
      <c r="H14" s="553">
        <v>1344.08</v>
      </c>
      <c r="I14" s="553">
        <v>88</v>
      </c>
      <c r="J14" s="553">
        <v>51</v>
      </c>
      <c r="K14" s="553">
        <v>9</v>
      </c>
      <c r="L14" s="553">
        <v>2</v>
      </c>
      <c r="M14" s="505" t="s">
        <v>312</v>
      </c>
      <c r="N14" s="500">
        <v>43047562420000</v>
      </c>
      <c r="O14" s="553" t="s">
        <v>581</v>
      </c>
      <c r="P14" s="650" t="s">
        <v>594</v>
      </c>
      <c r="Q14" s="564" t="s">
        <v>583</v>
      </c>
      <c r="R14" s="564">
        <v>1</v>
      </c>
    </row>
    <row r="15" spans="1:18" s="565" customFormat="1" ht="15" customHeight="1" x14ac:dyDescent="0.25">
      <c r="A15" s="553">
        <v>1</v>
      </c>
      <c r="B15" s="553">
        <v>7</v>
      </c>
      <c r="C15" s="553">
        <v>2</v>
      </c>
      <c r="D15" s="553">
        <v>19</v>
      </c>
      <c r="E15" s="553">
        <v>1</v>
      </c>
      <c r="F15" s="553">
        <v>1</v>
      </c>
      <c r="G15" s="553" t="s">
        <v>487</v>
      </c>
      <c r="H15" s="553">
        <v>1326.06</v>
      </c>
      <c r="I15" s="553">
        <v>88</v>
      </c>
      <c r="J15" s="553">
        <v>0</v>
      </c>
      <c r="K15" s="553">
        <v>35</v>
      </c>
      <c r="L15" s="553">
        <v>3</v>
      </c>
      <c r="M15" s="505" t="s">
        <v>312</v>
      </c>
      <c r="N15" s="500">
        <v>43047562420000</v>
      </c>
      <c r="O15" s="553" t="s">
        <v>581</v>
      </c>
      <c r="P15" s="650" t="s">
        <v>595</v>
      </c>
      <c r="Q15" s="564" t="s">
        <v>583</v>
      </c>
      <c r="R15" s="564">
        <v>1</v>
      </c>
    </row>
    <row r="16" spans="1:18" s="565" customFormat="1" ht="15" customHeight="1" x14ac:dyDescent="0.25">
      <c r="A16" s="553">
        <v>1</v>
      </c>
      <c r="B16" s="553">
        <v>7</v>
      </c>
      <c r="C16" s="553">
        <v>2</v>
      </c>
      <c r="D16" s="553">
        <v>19</v>
      </c>
      <c r="E16" s="553">
        <v>1</v>
      </c>
      <c r="F16" s="553">
        <v>1</v>
      </c>
      <c r="G16" s="502" t="s">
        <v>489</v>
      </c>
      <c r="H16" s="553">
        <v>1326.74</v>
      </c>
      <c r="I16" s="553">
        <v>87</v>
      </c>
      <c r="J16" s="553">
        <v>58</v>
      </c>
      <c r="K16" s="553">
        <v>16</v>
      </c>
      <c r="L16" s="553">
        <v>3</v>
      </c>
      <c r="M16" s="505" t="s">
        <v>312</v>
      </c>
      <c r="N16" s="500">
        <v>43047562420000</v>
      </c>
      <c r="O16" s="553" t="s">
        <v>581</v>
      </c>
      <c r="P16" s="650" t="s">
        <v>596</v>
      </c>
      <c r="Q16" s="564" t="s">
        <v>583</v>
      </c>
      <c r="R16" s="564">
        <v>1</v>
      </c>
    </row>
    <row r="17" spans="1:18" s="565" customFormat="1" ht="15" customHeight="1" x14ac:dyDescent="0.25">
      <c r="A17" s="553">
        <v>1</v>
      </c>
      <c r="B17" s="553">
        <v>7</v>
      </c>
      <c r="C17" s="553">
        <v>2</v>
      </c>
      <c r="D17" s="553">
        <v>19</v>
      </c>
      <c r="E17" s="553">
        <v>1</v>
      </c>
      <c r="F17" s="553">
        <v>1</v>
      </c>
      <c r="G17" s="553" t="s">
        <v>491</v>
      </c>
      <c r="H17" s="553">
        <v>1325.35</v>
      </c>
      <c r="I17" s="553">
        <v>88</v>
      </c>
      <c r="J17" s="553">
        <v>1</v>
      </c>
      <c r="K17" s="553">
        <v>7</v>
      </c>
      <c r="L17" s="553">
        <v>3</v>
      </c>
      <c r="M17" s="505" t="s">
        <v>312</v>
      </c>
      <c r="N17" s="500">
        <v>43047562420000</v>
      </c>
      <c r="O17" s="553" t="s">
        <v>581</v>
      </c>
      <c r="P17" s="650" t="s">
        <v>597</v>
      </c>
      <c r="Q17" s="564" t="s">
        <v>583</v>
      </c>
      <c r="R17" s="564">
        <v>1</v>
      </c>
    </row>
    <row r="18" spans="1:18" s="565" customFormat="1" ht="15" customHeight="1" x14ac:dyDescent="0.25">
      <c r="A18" s="553">
        <v>1</v>
      </c>
      <c r="B18" s="553">
        <v>7</v>
      </c>
      <c r="C18" s="553">
        <v>2</v>
      </c>
      <c r="D18" s="553">
        <v>19</v>
      </c>
      <c r="E18" s="553">
        <v>1</v>
      </c>
      <c r="F18" s="553">
        <v>1</v>
      </c>
      <c r="G18" s="553" t="s">
        <v>494</v>
      </c>
      <c r="H18" s="553">
        <v>1315.62</v>
      </c>
      <c r="I18" s="553">
        <v>87</v>
      </c>
      <c r="J18" s="553">
        <v>57</v>
      </c>
      <c r="K18" s="553">
        <v>25</v>
      </c>
      <c r="L18" s="553">
        <v>3</v>
      </c>
      <c r="M18" s="505" t="s">
        <v>312</v>
      </c>
      <c r="N18" s="500">
        <v>43047562420000</v>
      </c>
      <c r="O18" s="553" t="s">
        <v>581</v>
      </c>
      <c r="P18" s="650" t="s">
        <v>598</v>
      </c>
      <c r="Q18" s="564" t="s">
        <v>583</v>
      </c>
      <c r="R18" s="564">
        <v>1</v>
      </c>
    </row>
    <row r="19" spans="1:18" s="564" customFormat="1" ht="15" customHeight="1" x14ac:dyDescent="0.25">
      <c r="A19" s="553">
        <v>1</v>
      </c>
      <c r="B19" s="553">
        <v>2</v>
      </c>
      <c r="C19" s="553">
        <v>2</v>
      </c>
      <c r="D19" s="553">
        <v>3</v>
      </c>
      <c r="E19" s="553">
        <v>2</v>
      </c>
      <c r="F19" s="553">
        <v>2</v>
      </c>
      <c r="G19" s="553" t="s">
        <v>473</v>
      </c>
      <c r="H19" s="553">
        <v>1332.97</v>
      </c>
      <c r="I19" s="553">
        <v>0</v>
      </c>
      <c r="J19" s="553">
        <v>15</v>
      </c>
      <c r="K19" s="553">
        <v>37</v>
      </c>
      <c r="L19" s="553">
        <v>2</v>
      </c>
      <c r="M19" s="505" t="s">
        <v>137</v>
      </c>
      <c r="N19" s="500">
        <v>43013538670000</v>
      </c>
      <c r="O19" s="553" t="s">
        <v>599</v>
      </c>
      <c r="P19" s="650" t="s">
        <v>600</v>
      </c>
      <c r="Q19" s="564" t="s">
        <v>583</v>
      </c>
      <c r="R19" s="564">
        <v>2</v>
      </c>
    </row>
    <row r="20" spans="1:18" s="564" customFormat="1" ht="15" customHeight="1" x14ac:dyDescent="0.25">
      <c r="A20" s="553">
        <v>1</v>
      </c>
      <c r="B20" s="553">
        <v>2</v>
      </c>
      <c r="C20" s="553">
        <v>2</v>
      </c>
      <c r="D20" s="553">
        <v>3</v>
      </c>
      <c r="E20" s="553">
        <v>2</v>
      </c>
      <c r="F20" s="553">
        <v>2</v>
      </c>
      <c r="G20" s="502" t="s">
        <v>476</v>
      </c>
      <c r="H20" s="553">
        <v>1332.97</v>
      </c>
      <c r="I20" s="553">
        <v>0</v>
      </c>
      <c r="J20" s="553">
        <v>15</v>
      </c>
      <c r="K20" s="553">
        <v>37</v>
      </c>
      <c r="L20" s="553">
        <v>2</v>
      </c>
      <c r="M20" s="505" t="s">
        <v>137</v>
      </c>
      <c r="N20" s="500">
        <v>43013538670000</v>
      </c>
      <c r="O20" s="553" t="s">
        <v>599</v>
      </c>
      <c r="P20" s="650" t="s">
        <v>601</v>
      </c>
      <c r="Q20" s="564" t="s">
        <v>583</v>
      </c>
      <c r="R20" s="564">
        <v>2</v>
      </c>
    </row>
    <row r="21" spans="1:18" s="564" customFormat="1" ht="15" customHeight="1" x14ac:dyDescent="0.25">
      <c r="A21" s="553">
        <v>1</v>
      </c>
      <c r="B21" s="553">
        <v>2</v>
      </c>
      <c r="C21" s="553">
        <v>2</v>
      </c>
      <c r="D21" s="553">
        <v>3</v>
      </c>
      <c r="E21" s="553">
        <v>2</v>
      </c>
      <c r="F21" s="553">
        <v>2</v>
      </c>
      <c r="G21" s="553" t="s">
        <v>478</v>
      </c>
      <c r="H21" s="553">
        <v>1332.97</v>
      </c>
      <c r="I21" s="553">
        <v>0</v>
      </c>
      <c r="J21" s="553">
        <v>15</v>
      </c>
      <c r="K21" s="553">
        <v>37</v>
      </c>
      <c r="L21" s="553">
        <v>2</v>
      </c>
      <c r="M21" s="505" t="s">
        <v>137</v>
      </c>
      <c r="N21" s="500">
        <v>43013538670000</v>
      </c>
      <c r="O21" s="553" t="s">
        <v>599</v>
      </c>
      <c r="P21" s="650" t="s">
        <v>602</v>
      </c>
      <c r="Q21" s="564" t="s">
        <v>583</v>
      </c>
      <c r="R21" s="564">
        <v>2</v>
      </c>
    </row>
    <row r="22" spans="1:18" s="564" customFormat="1" ht="15" customHeight="1" x14ac:dyDescent="0.25">
      <c r="A22" s="553">
        <v>1</v>
      </c>
      <c r="B22" s="553">
        <v>2</v>
      </c>
      <c r="C22" s="553">
        <v>2</v>
      </c>
      <c r="D22" s="553">
        <v>3</v>
      </c>
      <c r="E22" s="553">
        <v>2</v>
      </c>
      <c r="F22" s="553">
        <v>2</v>
      </c>
      <c r="G22" s="553" t="s">
        <v>484</v>
      </c>
      <c r="H22" s="553">
        <v>1332.97</v>
      </c>
      <c r="I22" s="553">
        <v>0</v>
      </c>
      <c r="J22" s="553">
        <v>15</v>
      </c>
      <c r="K22" s="553">
        <v>37</v>
      </c>
      <c r="L22" s="553">
        <v>2</v>
      </c>
      <c r="M22" s="505" t="s">
        <v>137</v>
      </c>
      <c r="N22" s="500">
        <v>43013538670000</v>
      </c>
      <c r="O22" s="553" t="s">
        <v>599</v>
      </c>
      <c r="P22" s="650" t="s">
        <v>603</v>
      </c>
      <c r="Q22" s="564" t="s">
        <v>583</v>
      </c>
      <c r="R22" s="564">
        <v>2</v>
      </c>
    </row>
    <row r="23" spans="1:18" s="564" customFormat="1" ht="15" customHeight="1" x14ac:dyDescent="0.25">
      <c r="A23" s="553">
        <v>1</v>
      </c>
      <c r="B23" s="553">
        <v>2</v>
      </c>
      <c r="C23" s="553">
        <v>2</v>
      </c>
      <c r="D23" s="553">
        <v>3</v>
      </c>
      <c r="E23" s="553">
        <v>2</v>
      </c>
      <c r="F23" s="553">
        <v>2</v>
      </c>
      <c r="G23" s="553" t="s">
        <v>486</v>
      </c>
      <c r="H23" s="553">
        <v>1306.69</v>
      </c>
      <c r="I23" s="553">
        <v>0</v>
      </c>
      <c r="J23" s="553">
        <v>4</v>
      </c>
      <c r="K23" s="553">
        <v>25</v>
      </c>
      <c r="L23" s="553">
        <v>4</v>
      </c>
      <c r="M23" s="505" t="s">
        <v>137</v>
      </c>
      <c r="N23" s="500">
        <v>43013538670000</v>
      </c>
      <c r="O23" s="553" t="s">
        <v>599</v>
      </c>
      <c r="P23" s="650" t="s">
        <v>604</v>
      </c>
      <c r="Q23" s="564" t="s">
        <v>583</v>
      </c>
      <c r="R23" s="564">
        <v>2</v>
      </c>
    </row>
    <row r="24" spans="1:18" s="564" customFormat="1" ht="15" customHeight="1" x14ac:dyDescent="0.25">
      <c r="A24" s="553">
        <v>1</v>
      </c>
      <c r="B24" s="553">
        <v>2</v>
      </c>
      <c r="C24" s="553">
        <v>2</v>
      </c>
      <c r="D24" s="553">
        <v>3</v>
      </c>
      <c r="E24" s="553">
        <v>2</v>
      </c>
      <c r="F24" s="553">
        <v>2</v>
      </c>
      <c r="G24" s="502" t="s">
        <v>488</v>
      </c>
      <c r="H24" s="553">
        <v>1313.37</v>
      </c>
      <c r="I24" s="553">
        <v>0</v>
      </c>
      <c r="J24" s="553">
        <v>5</v>
      </c>
      <c r="K24" s="553">
        <v>13</v>
      </c>
      <c r="L24" s="553">
        <v>4</v>
      </c>
      <c r="M24" s="505" t="s">
        <v>137</v>
      </c>
      <c r="N24" s="500">
        <v>43013538670000</v>
      </c>
      <c r="O24" s="553" t="s">
        <v>599</v>
      </c>
      <c r="P24" s="650" t="s">
        <v>605</v>
      </c>
      <c r="Q24" s="564" t="s">
        <v>583</v>
      </c>
      <c r="R24" s="564">
        <v>2</v>
      </c>
    </row>
    <row r="25" spans="1:18" s="564" customFormat="1" ht="15" customHeight="1" x14ac:dyDescent="0.25">
      <c r="A25" s="553">
        <v>1</v>
      </c>
      <c r="B25" s="553">
        <v>2</v>
      </c>
      <c r="C25" s="553">
        <v>2</v>
      </c>
      <c r="D25" s="553">
        <v>3</v>
      </c>
      <c r="E25" s="553">
        <v>2</v>
      </c>
      <c r="F25" s="553">
        <v>2</v>
      </c>
      <c r="G25" s="553" t="s">
        <v>490</v>
      </c>
      <c r="H25" s="553">
        <v>1313.43</v>
      </c>
      <c r="I25" s="553">
        <v>0</v>
      </c>
      <c r="J25" s="553">
        <v>4</v>
      </c>
      <c r="K25" s="553">
        <v>11</v>
      </c>
      <c r="L25" s="553">
        <v>4</v>
      </c>
      <c r="M25" s="505" t="s">
        <v>137</v>
      </c>
      <c r="N25" s="500">
        <v>43013538670000</v>
      </c>
      <c r="O25" s="553" t="s">
        <v>599</v>
      </c>
      <c r="P25" s="650" t="s">
        <v>606</v>
      </c>
      <c r="Q25" s="564" t="s">
        <v>583</v>
      </c>
      <c r="R25" s="564">
        <v>2</v>
      </c>
    </row>
    <row r="26" spans="1:18" s="564" customFormat="1" ht="15" customHeight="1" x14ac:dyDescent="0.25">
      <c r="A26" s="553">
        <v>1</v>
      </c>
      <c r="B26" s="553">
        <v>2</v>
      </c>
      <c r="C26" s="553">
        <v>2</v>
      </c>
      <c r="D26" s="553">
        <v>3</v>
      </c>
      <c r="E26" s="553">
        <v>2</v>
      </c>
      <c r="F26" s="553">
        <v>2</v>
      </c>
      <c r="G26" s="553" t="s">
        <v>493</v>
      </c>
      <c r="H26" s="553">
        <v>1313.18</v>
      </c>
      <c r="I26" s="553">
        <v>0</v>
      </c>
      <c r="J26" s="553">
        <v>4</v>
      </c>
      <c r="K26" s="553">
        <v>25</v>
      </c>
      <c r="L26" s="553">
        <v>4</v>
      </c>
      <c r="M26" s="505" t="s">
        <v>137</v>
      </c>
      <c r="N26" s="500">
        <v>43013538670000</v>
      </c>
      <c r="O26" s="553" t="s">
        <v>599</v>
      </c>
      <c r="P26" s="650" t="s">
        <v>607</v>
      </c>
      <c r="Q26" s="564" t="s">
        <v>583</v>
      </c>
      <c r="R26" s="564">
        <v>2</v>
      </c>
    </row>
    <row r="27" spans="1:18" s="564" customFormat="1" ht="15" customHeight="1" x14ac:dyDescent="0.25">
      <c r="A27" s="553">
        <v>1</v>
      </c>
      <c r="B27" s="553">
        <v>2</v>
      </c>
      <c r="C27" s="553">
        <v>2</v>
      </c>
      <c r="D27" s="553">
        <v>3</v>
      </c>
      <c r="E27" s="553">
        <v>2</v>
      </c>
      <c r="F27" s="553">
        <v>2</v>
      </c>
      <c r="G27" s="553" t="s">
        <v>474</v>
      </c>
      <c r="H27" s="553">
        <v>1309.07</v>
      </c>
      <c r="I27" s="553">
        <v>89</v>
      </c>
      <c r="J27" s="553">
        <v>46</v>
      </c>
      <c r="K27" s="553">
        <v>47</v>
      </c>
      <c r="L27" s="553">
        <v>4</v>
      </c>
      <c r="M27" s="505" t="s">
        <v>137</v>
      </c>
      <c r="N27" s="500">
        <v>43013538670000</v>
      </c>
      <c r="O27" s="553" t="s">
        <v>599</v>
      </c>
      <c r="P27" s="650" t="s">
        <v>608</v>
      </c>
      <c r="Q27" s="564" t="s">
        <v>583</v>
      </c>
      <c r="R27" s="564">
        <v>2</v>
      </c>
    </row>
    <row r="28" spans="1:18" s="564" customFormat="1" ht="15" customHeight="1" x14ac:dyDescent="0.25">
      <c r="A28" s="553">
        <v>1</v>
      </c>
      <c r="B28" s="553">
        <v>2</v>
      </c>
      <c r="C28" s="553">
        <v>2</v>
      </c>
      <c r="D28" s="553">
        <v>3</v>
      </c>
      <c r="E28" s="553">
        <v>2</v>
      </c>
      <c r="F28" s="553">
        <v>2</v>
      </c>
      <c r="G28" s="502" t="s">
        <v>477</v>
      </c>
      <c r="H28" s="553">
        <v>1313.24</v>
      </c>
      <c r="I28" s="553">
        <v>89</v>
      </c>
      <c r="J28" s="553">
        <v>50</v>
      </c>
      <c r="K28" s="553">
        <v>29</v>
      </c>
      <c r="L28" s="553">
        <v>3</v>
      </c>
      <c r="M28" s="505" t="s">
        <v>137</v>
      </c>
      <c r="N28" s="500">
        <v>43013538670000</v>
      </c>
      <c r="O28" s="553" t="s">
        <v>599</v>
      </c>
      <c r="P28" s="650" t="s">
        <v>609</v>
      </c>
      <c r="Q28" s="564" t="s">
        <v>583</v>
      </c>
      <c r="R28" s="564">
        <v>2</v>
      </c>
    </row>
    <row r="29" spans="1:18" s="564" customFormat="1" ht="15" customHeight="1" x14ac:dyDescent="0.25">
      <c r="A29" s="553">
        <v>1</v>
      </c>
      <c r="B29" s="553">
        <v>2</v>
      </c>
      <c r="C29" s="553">
        <v>2</v>
      </c>
      <c r="D29" s="553">
        <v>3</v>
      </c>
      <c r="E29" s="553">
        <v>2</v>
      </c>
      <c r="F29" s="553">
        <v>2</v>
      </c>
      <c r="G29" s="553" t="s">
        <v>479</v>
      </c>
      <c r="H29" s="553">
        <v>1320.43</v>
      </c>
      <c r="I29" s="553">
        <v>89</v>
      </c>
      <c r="J29" s="553">
        <v>48</v>
      </c>
      <c r="K29" s="553">
        <v>18</v>
      </c>
      <c r="L29" s="553">
        <v>4</v>
      </c>
      <c r="M29" s="505" t="s">
        <v>137</v>
      </c>
      <c r="N29" s="500">
        <v>43013538670000</v>
      </c>
      <c r="O29" s="553" t="s">
        <v>599</v>
      </c>
      <c r="P29" s="650" t="s">
        <v>610</v>
      </c>
      <c r="Q29" s="564" t="s">
        <v>583</v>
      </c>
      <c r="R29" s="564">
        <v>2</v>
      </c>
    </row>
    <row r="30" spans="1:18" s="564" customFormat="1" ht="15" customHeight="1" x14ac:dyDescent="0.25">
      <c r="A30" s="553">
        <v>1</v>
      </c>
      <c r="B30" s="553">
        <v>2</v>
      </c>
      <c r="C30" s="553">
        <v>2</v>
      </c>
      <c r="D30" s="553">
        <v>3</v>
      </c>
      <c r="E30" s="553">
        <v>2</v>
      </c>
      <c r="F30" s="553">
        <v>2</v>
      </c>
      <c r="G30" s="553" t="s">
        <v>485</v>
      </c>
      <c r="H30" s="553">
        <v>1320.77</v>
      </c>
      <c r="I30" s="553">
        <v>89</v>
      </c>
      <c r="J30" s="553">
        <v>47</v>
      </c>
      <c r="K30" s="553">
        <v>13</v>
      </c>
      <c r="L30" s="553">
        <v>4</v>
      </c>
      <c r="M30" s="505" t="s">
        <v>137</v>
      </c>
      <c r="N30" s="500">
        <v>43013538670000</v>
      </c>
      <c r="O30" s="553" t="s">
        <v>599</v>
      </c>
      <c r="P30" s="650" t="s">
        <v>611</v>
      </c>
      <c r="Q30" s="564" t="s">
        <v>583</v>
      </c>
      <c r="R30" s="564">
        <v>2</v>
      </c>
    </row>
    <row r="31" spans="1:18" s="564" customFormat="1" ht="15" customHeight="1" x14ac:dyDescent="0.25">
      <c r="A31" s="553">
        <v>1</v>
      </c>
      <c r="B31" s="553">
        <v>2</v>
      </c>
      <c r="C31" s="553">
        <v>2</v>
      </c>
      <c r="D31" s="553">
        <v>3</v>
      </c>
      <c r="E31" s="553">
        <v>2</v>
      </c>
      <c r="F31" s="553">
        <v>2</v>
      </c>
      <c r="G31" s="553" t="s">
        <v>487</v>
      </c>
      <c r="H31" s="553">
        <v>1311.17</v>
      </c>
      <c r="I31" s="553">
        <v>89</v>
      </c>
      <c r="J31" s="553">
        <v>50</v>
      </c>
      <c r="K31" s="553">
        <v>10</v>
      </c>
      <c r="L31" s="553">
        <v>3</v>
      </c>
      <c r="M31" s="505" t="s">
        <v>137</v>
      </c>
      <c r="N31" s="500">
        <v>43013538670000</v>
      </c>
      <c r="O31" s="553" t="s">
        <v>599</v>
      </c>
      <c r="P31" s="650" t="s">
        <v>612</v>
      </c>
      <c r="Q31" s="564" t="s">
        <v>583</v>
      </c>
      <c r="R31" s="564">
        <v>2</v>
      </c>
    </row>
    <row r="32" spans="1:18" s="564" customFormat="1" ht="15" customHeight="1" x14ac:dyDescent="0.25">
      <c r="A32" s="553">
        <v>1</v>
      </c>
      <c r="B32" s="553">
        <v>2</v>
      </c>
      <c r="C32" s="553">
        <v>2</v>
      </c>
      <c r="D32" s="553">
        <v>3</v>
      </c>
      <c r="E32" s="553">
        <v>2</v>
      </c>
      <c r="F32" s="553">
        <v>2</v>
      </c>
      <c r="G32" s="502" t="s">
        <v>489</v>
      </c>
      <c r="H32" s="553">
        <v>1335.22</v>
      </c>
      <c r="I32" s="553">
        <v>88</v>
      </c>
      <c r="J32" s="553">
        <v>26</v>
      </c>
      <c r="K32" s="553">
        <v>15</v>
      </c>
      <c r="L32" s="553">
        <v>3</v>
      </c>
      <c r="M32" s="505" t="s">
        <v>137</v>
      </c>
      <c r="N32" s="500">
        <v>43013538670000</v>
      </c>
      <c r="O32" s="553" t="s">
        <v>599</v>
      </c>
      <c r="P32" s="650" t="s">
        <v>613</v>
      </c>
      <c r="Q32" s="564" t="s">
        <v>583</v>
      </c>
      <c r="R32" s="564">
        <v>2</v>
      </c>
    </row>
    <row r="33" spans="1:18" s="564" customFormat="1" ht="15" customHeight="1" x14ac:dyDescent="0.25">
      <c r="A33" s="553">
        <v>1</v>
      </c>
      <c r="B33" s="553">
        <v>2</v>
      </c>
      <c r="C33" s="553">
        <v>2</v>
      </c>
      <c r="D33" s="553">
        <v>3</v>
      </c>
      <c r="E33" s="553">
        <v>2</v>
      </c>
      <c r="F33" s="553">
        <v>2</v>
      </c>
      <c r="G33" s="553" t="s">
        <v>491</v>
      </c>
      <c r="H33" s="553">
        <v>1336.09</v>
      </c>
      <c r="I33" s="553">
        <v>88</v>
      </c>
      <c r="J33" s="553">
        <v>25</v>
      </c>
      <c r="K33" s="553">
        <v>40</v>
      </c>
      <c r="L33" s="553">
        <v>3</v>
      </c>
      <c r="M33" s="505" t="s">
        <v>137</v>
      </c>
      <c r="N33" s="500">
        <v>43013538670000</v>
      </c>
      <c r="O33" s="553" t="s">
        <v>599</v>
      </c>
      <c r="P33" s="650" t="s">
        <v>614</v>
      </c>
      <c r="Q33" s="564" t="s">
        <v>583</v>
      </c>
      <c r="R33" s="564">
        <v>2</v>
      </c>
    </row>
    <row r="34" spans="1:18" s="564" customFormat="1" ht="15" customHeight="1" x14ac:dyDescent="0.25">
      <c r="A34" s="553">
        <v>1</v>
      </c>
      <c r="B34" s="553">
        <v>2</v>
      </c>
      <c r="C34" s="553">
        <v>2</v>
      </c>
      <c r="D34" s="553">
        <v>3</v>
      </c>
      <c r="E34" s="553">
        <v>2</v>
      </c>
      <c r="F34" s="553">
        <v>2</v>
      </c>
      <c r="G34" s="553" t="s">
        <v>494</v>
      </c>
      <c r="H34" s="553">
        <v>1313.17</v>
      </c>
      <c r="I34" s="553">
        <v>89</v>
      </c>
      <c r="J34" s="553">
        <v>53</v>
      </c>
      <c r="K34" s="553">
        <v>36</v>
      </c>
      <c r="L34" s="553">
        <v>4</v>
      </c>
      <c r="M34" s="505" t="s">
        <v>137</v>
      </c>
      <c r="N34" s="500">
        <v>43013538670000</v>
      </c>
      <c r="O34" s="553" t="s">
        <v>599</v>
      </c>
      <c r="P34" s="650" t="s">
        <v>615</v>
      </c>
      <c r="Q34" s="564" t="s">
        <v>583</v>
      </c>
      <c r="R34" s="564">
        <v>2</v>
      </c>
    </row>
    <row r="35" spans="1:18" s="484" customFormat="1" ht="15" customHeight="1" x14ac:dyDescent="0.25">
      <c r="A35" s="553">
        <v>1</v>
      </c>
      <c r="B35" s="553">
        <v>3</v>
      </c>
      <c r="C35" s="553">
        <v>2</v>
      </c>
      <c r="D35" s="553">
        <v>1</v>
      </c>
      <c r="E35" s="553">
        <v>2</v>
      </c>
      <c r="F35" s="553">
        <v>2</v>
      </c>
      <c r="G35" s="553" t="s">
        <v>473</v>
      </c>
      <c r="H35" s="553">
        <v>1309.3800000000001</v>
      </c>
      <c r="I35" s="553">
        <v>1</v>
      </c>
      <c r="J35" s="553">
        <v>8</v>
      </c>
      <c r="K35" s="553">
        <v>8</v>
      </c>
      <c r="L35" s="553">
        <v>4</v>
      </c>
      <c r="M35" s="505" t="s">
        <v>137</v>
      </c>
      <c r="N35" s="500">
        <v>43047536330000</v>
      </c>
      <c r="O35" s="553" t="s">
        <v>616</v>
      </c>
      <c r="P35" s="650" t="s">
        <v>617</v>
      </c>
      <c r="Q35" s="564" t="s">
        <v>583</v>
      </c>
      <c r="R35" s="564">
        <v>1</v>
      </c>
    </row>
    <row r="36" spans="1:18" s="484" customFormat="1" ht="15" customHeight="1" x14ac:dyDescent="0.25">
      <c r="A36" s="553">
        <v>1</v>
      </c>
      <c r="B36" s="553">
        <v>3</v>
      </c>
      <c r="C36" s="553">
        <v>2</v>
      </c>
      <c r="D36" s="553">
        <v>1</v>
      </c>
      <c r="E36" s="553">
        <v>2</v>
      </c>
      <c r="F36" s="553">
        <v>2</v>
      </c>
      <c r="G36" s="502" t="s">
        <v>476</v>
      </c>
      <c r="H36" s="553">
        <v>1309.3800000000001</v>
      </c>
      <c r="I36" s="553">
        <v>1</v>
      </c>
      <c r="J36" s="553">
        <v>8</v>
      </c>
      <c r="K36" s="553">
        <v>8</v>
      </c>
      <c r="L36" s="553">
        <v>4</v>
      </c>
      <c r="M36" s="505" t="s">
        <v>137</v>
      </c>
      <c r="N36" s="500">
        <v>43047536330000</v>
      </c>
      <c r="O36" s="553" t="s">
        <v>616</v>
      </c>
      <c r="P36" s="650" t="s">
        <v>618</v>
      </c>
      <c r="Q36" s="564" t="s">
        <v>583</v>
      </c>
      <c r="R36" s="564">
        <v>1</v>
      </c>
    </row>
    <row r="37" spans="1:18" s="484" customFormat="1" ht="15" customHeight="1" x14ac:dyDescent="0.25">
      <c r="A37" s="553">
        <v>1</v>
      </c>
      <c r="B37" s="553">
        <v>3</v>
      </c>
      <c r="C37" s="553">
        <v>2</v>
      </c>
      <c r="D37" s="553">
        <v>1</v>
      </c>
      <c r="E37" s="553">
        <v>2</v>
      </c>
      <c r="F37" s="553">
        <v>2</v>
      </c>
      <c r="G37" s="553" t="s">
        <v>478</v>
      </c>
      <c r="H37" s="553">
        <v>1315.09</v>
      </c>
      <c r="I37" s="553">
        <v>0</v>
      </c>
      <c r="J37" s="553">
        <v>46</v>
      </c>
      <c r="K37" s="553">
        <v>3</v>
      </c>
      <c r="L37" s="553">
        <v>4</v>
      </c>
      <c r="M37" s="505" t="s">
        <v>137</v>
      </c>
      <c r="N37" s="500">
        <v>43047536330000</v>
      </c>
      <c r="O37" s="553" t="s">
        <v>616</v>
      </c>
      <c r="P37" s="650" t="s">
        <v>619</v>
      </c>
      <c r="Q37" s="564" t="s">
        <v>583</v>
      </c>
      <c r="R37" s="564">
        <v>1</v>
      </c>
    </row>
    <row r="38" spans="1:18" s="484" customFormat="1" ht="15" customHeight="1" x14ac:dyDescent="0.25">
      <c r="A38" s="553">
        <v>1</v>
      </c>
      <c r="B38" s="553">
        <v>3</v>
      </c>
      <c r="C38" s="553">
        <v>2</v>
      </c>
      <c r="D38" s="553">
        <v>1</v>
      </c>
      <c r="E38" s="553">
        <v>2</v>
      </c>
      <c r="F38" s="553">
        <v>2</v>
      </c>
      <c r="G38" s="553" t="s">
        <v>484</v>
      </c>
      <c r="H38" s="553">
        <v>1314.94</v>
      </c>
      <c r="I38" s="553">
        <v>0</v>
      </c>
      <c r="J38" s="553">
        <v>45</v>
      </c>
      <c r="K38" s="553">
        <v>32</v>
      </c>
      <c r="L38" s="553">
        <v>4</v>
      </c>
      <c r="M38" s="505" t="s">
        <v>137</v>
      </c>
      <c r="N38" s="500">
        <v>43047536330000</v>
      </c>
      <c r="O38" s="553" t="s">
        <v>616</v>
      </c>
      <c r="P38" s="650" t="s">
        <v>620</v>
      </c>
      <c r="Q38" s="564" t="s">
        <v>583</v>
      </c>
      <c r="R38" s="564">
        <v>1</v>
      </c>
    </row>
    <row r="39" spans="1:18" s="484" customFormat="1" ht="15" customHeight="1" x14ac:dyDescent="0.25">
      <c r="A39" s="553">
        <v>1</v>
      </c>
      <c r="B39" s="553">
        <v>3</v>
      </c>
      <c r="C39" s="553">
        <v>2</v>
      </c>
      <c r="D39" s="553">
        <v>1</v>
      </c>
      <c r="E39" s="553">
        <v>2</v>
      </c>
      <c r="F39" s="553">
        <v>2</v>
      </c>
      <c r="G39" s="553" t="s">
        <v>486</v>
      </c>
      <c r="H39" s="553">
        <v>1303</v>
      </c>
      <c r="I39" s="553">
        <v>0</v>
      </c>
      <c r="J39" s="553">
        <v>19</v>
      </c>
      <c r="K39" s="553">
        <v>48</v>
      </c>
      <c r="L39" s="553">
        <v>4</v>
      </c>
      <c r="M39" s="505" t="s">
        <v>137</v>
      </c>
      <c r="N39" s="500">
        <v>43047561770000</v>
      </c>
      <c r="O39" s="553" t="s">
        <v>621</v>
      </c>
      <c r="P39" s="650" t="s">
        <v>622</v>
      </c>
      <c r="Q39" s="564" t="s">
        <v>583</v>
      </c>
      <c r="R39" s="564">
        <v>1</v>
      </c>
    </row>
    <row r="40" spans="1:18" s="484" customFormat="1" ht="15" customHeight="1" x14ac:dyDescent="0.25">
      <c r="A40" s="553">
        <v>1</v>
      </c>
      <c r="B40" s="553">
        <v>3</v>
      </c>
      <c r="C40" s="553">
        <v>2</v>
      </c>
      <c r="D40" s="553">
        <v>1</v>
      </c>
      <c r="E40" s="553">
        <v>2</v>
      </c>
      <c r="F40" s="553">
        <v>2</v>
      </c>
      <c r="G40" s="502" t="s">
        <v>488</v>
      </c>
      <c r="H40" s="553">
        <v>1303</v>
      </c>
      <c r="I40" s="553">
        <v>0</v>
      </c>
      <c r="J40" s="553">
        <v>19</v>
      </c>
      <c r="K40" s="553">
        <v>48</v>
      </c>
      <c r="L40" s="553">
        <v>4</v>
      </c>
      <c r="M40" s="505" t="s">
        <v>137</v>
      </c>
      <c r="N40" s="500">
        <v>43047561770000</v>
      </c>
      <c r="O40" s="553" t="s">
        <v>621</v>
      </c>
      <c r="P40" s="650" t="s">
        <v>623</v>
      </c>
      <c r="Q40" s="564" t="s">
        <v>583</v>
      </c>
      <c r="R40" s="564">
        <v>1</v>
      </c>
    </row>
    <row r="41" spans="1:18" s="484" customFormat="1" ht="15" customHeight="1" x14ac:dyDescent="0.25">
      <c r="A41" s="553">
        <v>1</v>
      </c>
      <c r="B41" s="553">
        <v>3</v>
      </c>
      <c r="C41" s="553">
        <v>2</v>
      </c>
      <c r="D41" s="553">
        <v>1</v>
      </c>
      <c r="E41" s="553">
        <v>2</v>
      </c>
      <c r="F41" s="553">
        <v>2</v>
      </c>
      <c r="G41" s="553" t="s">
        <v>490</v>
      </c>
      <c r="H41" s="553">
        <v>1321.5</v>
      </c>
      <c r="I41" s="553">
        <v>0</v>
      </c>
      <c r="J41" s="553">
        <v>8</v>
      </c>
      <c r="K41" s="553">
        <v>8.3699999999999992</v>
      </c>
      <c r="L41" s="553">
        <v>4</v>
      </c>
      <c r="M41" s="505" t="s">
        <v>137</v>
      </c>
      <c r="N41" s="500">
        <v>43047561770000</v>
      </c>
      <c r="O41" s="553" t="s">
        <v>621</v>
      </c>
      <c r="P41" s="650" t="s">
        <v>624</v>
      </c>
      <c r="Q41" s="564" t="s">
        <v>583</v>
      </c>
      <c r="R41" s="564">
        <v>1</v>
      </c>
    </row>
    <row r="42" spans="1:18" s="484" customFormat="1" ht="15" customHeight="1" x14ac:dyDescent="0.25">
      <c r="A42" s="553">
        <v>1</v>
      </c>
      <c r="B42" s="553">
        <v>3</v>
      </c>
      <c r="C42" s="553">
        <v>2</v>
      </c>
      <c r="D42" s="553">
        <v>1</v>
      </c>
      <c r="E42" s="553">
        <v>2</v>
      </c>
      <c r="F42" s="553">
        <v>2</v>
      </c>
      <c r="G42" s="553" t="s">
        <v>493</v>
      </c>
      <c r="H42" s="553">
        <v>1321.5</v>
      </c>
      <c r="I42" s="553">
        <v>0</v>
      </c>
      <c r="J42" s="553">
        <v>8</v>
      </c>
      <c r="K42" s="553">
        <v>8.3699999999999992</v>
      </c>
      <c r="L42" s="553">
        <v>4</v>
      </c>
      <c r="M42" s="505" t="s">
        <v>137</v>
      </c>
      <c r="N42" s="500">
        <v>43047561770000</v>
      </c>
      <c r="O42" s="553" t="s">
        <v>621</v>
      </c>
      <c r="P42" s="650" t="s">
        <v>625</v>
      </c>
      <c r="Q42" s="564" t="s">
        <v>583</v>
      </c>
      <c r="R42" s="564">
        <v>1</v>
      </c>
    </row>
    <row r="43" spans="1:18" s="484" customFormat="1" ht="15" customHeight="1" x14ac:dyDescent="0.25">
      <c r="A43" s="553">
        <v>1</v>
      </c>
      <c r="B43" s="553">
        <v>3</v>
      </c>
      <c r="C43" s="553">
        <v>2</v>
      </c>
      <c r="D43" s="553">
        <v>1</v>
      </c>
      <c r="E43" s="553">
        <v>2</v>
      </c>
      <c r="F43" s="553">
        <v>2</v>
      </c>
      <c r="G43" s="553" t="s">
        <v>474</v>
      </c>
      <c r="H43" s="553">
        <v>1322.21</v>
      </c>
      <c r="I43" s="553">
        <v>89</v>
      </c>
      <c r="J43" s="553">
        <v>54</v>
      </c>
      <c r="K43" s="553">
        <v>24</v>
      </c>
      <c r="L43" s="553">
        <v>1</v>
      </c>
      <c r="M43" s="505" t="s">
        <v>137</v>
      </c>
      <c r="N43" s="500">
        <v>43047561770000</v>
      </c>
      <c r="O43" s="553" t="s">
        <v>621</v>
      </c>
      <c r="P43" s="650" t="s">
        <v>626</v>
      </c>
      <c r="Q43" s="564" t="s">
        <v>583</v>
      </c>
      <c r="R43" s="564">
        <v>1</v>
      </c>
    </row>
    <row r="44" spans="1:18" s="484" customFormat="1" ht="15" customHeight="1" x14ac:dyDescent="0.25">
      <c r="A44" s="553">
        <v>1</v>
      </c>
      <c r="B44" s="553">
        <v>3</v>
      </c>
      <c r="C44" s="553">
        <v>2</v>
      </c>
      <c r="D44" s="553">
        <v>1</v>
      </c>
      <c r="E44" s="553">
        <v>2</v>
      </c>
      <c r="F44" s="553">
        <v>2</v>
      </c>
      <c r="G44" s="502" t="s">
        <v>477</v>
      </c>
      <c r="H44" s="553">
        <v>1321.57</v>
      </c>
      <c r="I44" s="553">
        <v>89</v>
      </c>
      <c r="J44" s="553">
        <v>54</v>
      </c>
      <c r="K44" s="553">
        <v>21</v>
      </c>
      <c r="L44" s="553">
        <v>1</v>
      </c>
      <c r="M44" s="505" t="s">
        <v>137</v>
      </c>
      <c r="N44" s="500">
        <v>43047561770000</v>
      </c>
      <c r="O44" s="553" t="s">
        <v>621</v>
      </c>
      <c r="P44" s="650" t="s">
        <v>627</v>
      </c>
      <c r="Q44" s="564" t="s">
        <v>583</v>
      </c>
      <c r="R44" s="564">
        <v>1</v>
      </c>
    </row>
    <row r="45" spans="1:18" s="484" customFormat="1" ht="15" customHeight="1" x14ac:dyDescent="0.25">
      <c r="A45" s="553">
        <v>1</v>
      </c>
      <c r="B45" s="553">
        <v>3</v>
      </c>
      <c r="C45" s="553">
        <v>2</v>
      </c>
      <c r="D45" s="553">
        <v>1</v>
      </c>
      <c r="E45" s="553">
        <v>2</v>
      </c>
      <c r="F45" s="553">
        <v>2</v>
      </c>
      <c r="G45" s="553" t="s">
        <v>479</v>
      </c>
      <c r="H45" s="553">
        <v>1321.93</v>
      </c>
      <c r="I45" s="553">
        <v>89</v>
      </c>
      <c r="J45" s="553">
        <v>55</v>
      </c>
      <c r="K45" s="553">
        <v>6</v>
      </c>
      <c r="L45" s="553">
        <v>1</v>
      </c>
      <c r="M45" s="505" t="s">
        <v>137</v>
      </c>
      <c r="N45" s="500">
        <v>43047561770000</v>
      </c>
      <c r="O45" s="553" t="s">
        <v>621</v>
      </c>
      <c r="P45" s="650" t="s">
        <v>628</v>
      </c>
      <c r="Q45" s="564" t="s">
        <v>583</v>
      </c>
      <c r="R45" s="564">
        <v>1</v>
      </c>
    </row>
    <row r="46" spans="1:18" s="484" customFormat="1" ht="15" customHeight="1" x14ac:dyDescent="0.25">
      <c r="A46" s="553">
        <v>1</v>
      </c>
      <c r="B46" s="553">
        <v>3</v>
      </c>
      <c r="C46" s="553">
        <v>2</v>
      </c>
      <c r="D46" s="553">
        <v>1</v>
      </c>
      <c r="E46" s="553">
        <v>2</v>
      </c>
      <c r="F46" s="553">
        <v>2</v>
      </c>
      <c r="G46" s="553" t="s">
        <v>485</v>
      </c>
      <c r="H46" s="553">
        <v>1321.96</v>
      </c>
      <c r="I46" s="553">
        <v>89</v>
      </c>
      <c r="J46" s="553">
        <v>55</v>
      </c>
      <c r="K46" s="553">
        <v>6</v>
      </c>
      <c r="L46" s="553">
        <v>1</v>
      </c>
      <c r="M46" s="505" t="s">
        <v>137</v>
      </c>
      <c r="N46" s="500">
        <v>43047561770000</v>
      </c>
      <c r="O46" s="553" t="s">
        <v>621</v>
      </c>
      <c r="P46" s="650" t="s">
        <v>629</v>
      </c>
      <c r="Q46" s="564" t="s">
        <v>583</v>
      </c>
      <c r="R46" s="564">
        <v>1</v>
      </c>
    </row>
    <row r="47" spans="1:18" s="484" customFormat="1" ht="15" customHeight="1" x14ac:dyDescent="0.25">
      <c r="A47" s="553">
        <v>1</v>
      </c>
      <c r="B47" s="553">
        <v>3</v>
      </c>
      <c r="C47" s="553">
        <v>2</v>
      </c>
      <c r="D47" s="553">
        <v>1</v>
      </c>
      <c r="E47" s="553">
        <v>2</v>
      </c>
      <c r="F47" s="553">
        <v>2</v>
      </c>
      <c r="G47" s="553" t="s">
        <v>487</v>
      </c>
      <c r="H47" s="553">
        <v>1317.2</v>
      </c>
      <c r="I47" s="553">
        <v>89</v>
      </c>
      <c r="J47" s="553">
        <v>40</v>
      </c>
      <c r="K47" s="553">
        <v>12</v>
      </c>
      <c r="L47" s="553">
        <v>2</v>
      </c>
      <c r="M47" s="505" t="s">
        <v>137</v>
      </c>
      <c r="N47" s="500">
        <v>43047561770000</v>
      </c>
      <c r="O47" s="553" t="s">
        <v>621</v>
      </c>
      <c r="P47" s="650" t="s">
        <v>630</v>
      </c>
      <c r="Q47" s="564" t="s">
        <v>583</v>
      </c>
      <c r="R47" s="564">
        <v>1</v>
      </c>
    </row>
    <row r="48" spans="1:18" s="484" customFormat="1" ht="15" customHeight="1" x14ac:dyDescent="0.25">
      <c r="A48" s="553">
        <v>1</v>
      </c>
      <c r="B48" s="553">
        <v>3</v>
      </c>
      <c r="C48" s="553">
        <v>2</v>
      </c>
      <c r="D48" s="553">
        <v>1</v>
      </c>
      <c r="E48" s="553">
        <v>2</v>
      </c>
      <c r="F48" s="553">
        <v>2</v>
      </c>
      <c r="G48" s="502" t="s">
        <v>489</v>
      </c>
      <c r="H48" s="553">
        <v>1317.2</v>
      </c>
      <c r="I48" s="553">
        <v>89</v>
      </c>
      <c r="J48" s="553">
        <v>40</v>
      </c>
      <c r="K48" s="553">
        <v>12</v>
      </c>
      <c r="L48" s="553">
        <v>2</v>
      </c>
      <c r="M48" s="505" t="s">
        <v>137</v>
      </c>
      <c r="N48" s="500">
        <v>43047561770000</v>
      </c>
      <c r="O48" s="553" t="s">
        <v>621</v>
      </c>
      <c r="P48" s="650" t="s">
        <v>631</v>
      </c>
      <c r="Q48" s="564" t="s">
        <v>583</v>
      </c>
      <c r="R48" s="564">
        <v>1</v>
      </c>
    </row>
    <row r="49" spans="1:18" s="484" customFormat="1" ht="15" customHeight="1" x14ac:dyDescent="0.25">
      <c r="A49" s="553">
        <v>1</v>
      </c>
      <c r="B49" s="553">
        <v>3</v>
      </c>
      <c r="C49" s="553">
        <v>2</v>
      </c>
      <c r="D49" s="553">
        <v>1</v>
      </c>
      <c r="E49" s="553">
        <v>2</v>
      </c>
      <c r="F49" s="553">
        <v>2</v>
      </c>
      <c r="G49" s="553" t="s">
        <v>491</v>
      </c>
      <c r="H49" s="553">
        <v>1319.8</v>
      </c>
      <c r="I49" s="553">
        <v>89</v>
      </c>
      <c r="J49" s="553">
        <v>12</v>
      </c>
      <c r="K49" s="553">
        <v>0</v>
      </c>
      <c r="L49" s="553">
        <v>2</v>
      </c>
      <c r="M49" s="505" t="s">
        <v>137</v>
      </c>
      <c r="N49" s="500">
        <v>43047561770000</v>
      </c>
      <c r="O49" s="553" t="s">
        <v>621</v>
      </c>
      <c r="P49" s="650" t="s">
        <v>632</v>
      </c>
      <c r="Q49" s="564" t="s">
        <v>583</v>
      </c>
      <c r="R49" s="564">
        <v>1</v>
      </c>
    </row>
    <row r="50" spans="1:18" s="484" customFormat="1" ht="15" customHeight="1" x14ac:dyDescent="0.25">
      <c r="A50" s="553">
        <v>1</v>
      </c>
      <c r="B50" s="553">
        <v>3</v>
      </c>
      <c r="C50" s="553">
        <v>2</v>
      </c>
      <c r="D50" s="553">
        <v>1</v>
      </c>
      <c r="E50" s="553">
        <v>2</v>
      </c>
      <c r="F50" s="553">
        <v>2</v>
      </c>
      <c r="G50" s="553" t="s">
        <v>494</v>
      </c>
      <c r="H50" s="553">
        <v>1319.8</v>
      </c>
      <c r="I50" s="553">
        <v>89</v>
      </c>
      <c r="J50" s="553">
        <v>12</v>
      </c>
      <c r="K50" s="553">
        <v>0</v>
      </c>
      <c r="L50" s="553">
        <v>2</v>
      </c>
      <c r="M50" s="505" t="s">
        <v>137</v>
      </c>
      <c r="N50" s="500">
        <v>43047561770000</v>
      </c>
      <c r="O50" s="553" t="s">
        <v>621</v>
      </c>
      <c r="P50" s="650" t="s">
        <v>633</v>
      </c>
      <c r="Q50" s="564" t="s">
        <v>583</v>
      </c>
      <c r="R50" s="564">
        <v>1</v>
      </c>
    </row>
    <row r="51" spans="1:18" ht="15" customHeight="1" x14ac:dyDescent="0.25">
      <c r="A51" s="553">
        <v>1</v>
      </c>
      <c r="B51" s="553">
        <v>3</v>
      </c>
      <c r="C51" s="553">
        <v>2</v>
      </c>
      <c r="D51" s="553">
        <v>5</v>
      </c>
      <c r="E51" s="553">
        <v>2</v>
      </c>
      <c r="F51" s="553">
        <v>2</v>
      </c>
      <c r="G51" s="553" t="s">
        <v>473</v>
      </c>
      <c r="H51" s="553">
        <v>1317.49</v>
      </c>
      <c r="I51" s="553">
        <v>0</v>
      </c>
      <c r="J51" s="553">
        <v>4</v>
      </c>
      <c r="K51" s="553">
        <v>6</v>
      </c>
      <c r="L51" s="553">
        <v>4</v>
      </c>
      <c r="M51" s="505" t="s">
        <v>137</v>
      </c>
      <c r="N51" s="500">
        <v>43013532790000</v>
      </c>
      <c r="O51" s="553" t="s">
        <v>634</v>
      </c>
      <c r="P51" s="650" t="s">
        <v>635</v>
      </c>
      <c r="Q51" s="564" t="s">
        <v>583</v>
      </c>
      <c r="R51" s="564">
        <v>2</v>
      </c>
    </row>
    <row r="52" spans="1:18" ht="15" customHeight="1" x14ac:dyDescent="0.25">
      <c r="A52" s="553">
        <v>1</v>
      </c>
      <c r="B52" s="553">
        <v>3</v>
      </c>
      <c r="C52" s="553">
        <v>2</v>
      </c>
      <c r="D52" s="553">
        <v>5</v>
      </c>
      <c r="E52" s="553">
        <v>2</v>
      </c>
      <c r="F52" s="553">
        <v>2</v>
      </c>
      <c r="G52" s="502" t="s">
        <v>476</v>
      </c>
      <c r="H52" s="553">
        <v>1317.49</v>
      </c>
      <c r="I52" s="553">
        <v>0</v>
      </c>
      <c r="J52" s="553">
        <v>4</v>
      </c>
      <c r="K52" s="553">
        <v>6</v>
      </c>
      <c r="L52" s="553">
        <v>4</v>
      </c>
      <c r="M52" s="505" t="s">
        <v>137</v>
      </c>
      <c r="N52" s="500">
        <v>43013532790000</v>
      </c>
      <c r="O52" s="553" t="s">
        <v>634</v>
      </c>
      <c r="P52" s="650" t="s">
        <v>636</v>
      </c>
      <c r="Q52" s="564" t="s">
        <v>583</v>
      </c>
      <c r="R52" s="564">
        <v>2</v>
      </c>
    </row>
    <row r="53" spans="1:18" ht="15" customHeight="1" x14ac:dyDescent="0.25">
      <c r="A53" s="553">
        <v>1</v>
      </c>
      <c r="B53" s="553">
        <v>3</v>
      </c>
      <c r="C53" s="553">
        <v>2</v>
      </c>
      <c r="D53" s="553">
        <v>5</v>
      </c>
      <c r="E53" s="553">
        <v>2</v>
      </c>
      <c r="F53" s="553">
        <v>2</v>
      </c>
      <c r="G53" s="553" t="s">
        <v>478</v>
      </c>
      <c r="H53" s="553">
        <v>1317.385</v>
      </c>
      <c r="I53" s="553">
        <v>0</v>
      </c>
      <c r="J53" s="553">
        <v>0</v>
      </c>
      <c r="K53" s="553">
        <v>39</v>
      </c>
      <c r="L53" s="553">
        <v>4</v>
      </c>
      <c r="M53" s="505" t="s">
        <v>137</v>
      </c>
      <c r="N53" s="500">
        <v>43013532790000</v>
      </c>
      <c r="O53" s="553" t="s">
        <v>634</v>
      </c>
      <c r="P53" s="650" t="s">
        <v>637</v>
      </c>
      <c r="Q53" s="564" t="s">
        <v>583</v>
      </c>
      <c r="R53" s="564">
        <v>2</v>
      </c>
    </row>
    <row r="54" spans="1:18" ht="15" customHeight="1" x14ac:dyDescent="0.25">
      <c r="A54" s="553">
        <v>1</v>
      </c>
      <c r="B54" s="553">
        <v>3</v>
      </c>
      <c r="C54" s="553">
        <v>2</v>
      </c>
      <c r="D54" s="553">
        <v>5</v>
      </c>
      <c r="E54" s="553">
        <v>2</v>
      </c>
      <c r="F54" s="553">
        <v>2</v>
      </c>
      <c r="G54" s="553" t="s">
        <v>484</v>
      </c>
      <c r="H54" s="553">
        <v>1317.385</v>
      </c>
      <c r="I54" s="553">
        <v>0</v>
      </c>
      <c r="J54" s="553">
        <v>0</v>
      </c>
      <c r="K54" s="553">
        <v>39</v>
      </c>
      <c r="L54" s="553">
        <v>4</v>
      </c>
      <c r="M54" s="505" t="s">
        <v>137</v>
      </c>
      <c r="N54" s="500">
        <v>43013532790000</v>
      </c>
      <c r="O54" s="553" t="s">
        <v>634</v>
      </c>
      <c r="P54" s="650" t="s">
        <v>638</v>
      </c>
      <c r="Q54" s="564" t="s">
        <v>583</v>
      </c>
      <c r="R54" s="564">
        <v>2</v>
      </c>
    </row>
    <row r="55" spans="1:18" ht="15" customHeight="1" x14ac:dyDescent="0.25">
      <c r="A55" s="553">
        <v>1</v>
      </c>
      <c r="B55" s="553">
        <v>3</v>
      </c>
      <c r="C55" s="553">
        <v>2</v>
      </c>
      <c r="D55" s="553">
        <v>5</v>
      </c>
      <c r="E55" s="553">
        <v>2</v>
      </c>
      <c r="F55" s="553">
        <v>2</v>
      </c>
      <c r="G55" s="553" t="s">
        <v>486</v>
      </c>
      <c r="H55" s="553">
        <v>1338.7449999999999</v>
      </c>
      <c r="I55" s="553">
        <v>0</v>
      </c>
      <c r="J55" s="553">
        <v>6</v>
      </c>
      <c r="K55" s="553">
        <v>15</v>
      </c>
      <c r="L55" s="553">
        <v>3</v>
      </c>
      <c r="M55" s="505" t="s">
        <v>137</v>
      </c>
      <c r="N55" s="500">
        <v>43013532790000</v>
      </c>
      <c r="O55" s="553" t="s">
        <v>634</v>
      </c>
      <c r="P55" s="650" t="s">
        <v>639</v>
      </c>
      <c r="Q55" s="564" t="s">
        <v>583</v>
      </c>
      <c r="R55" s="564">
        <v>2</v>
      </c>
    </row>
    <row r="56" spans="1:18" ht="15" customHeight="1" x14ac:dyDescent="0.25">
      <c r="A56" s="553">
        <v>1</v>
      </c>
      <c r="B56" s="553">
        <v>3</v>
      </c>
      <c r="C56" s="553">
        <v>2</v>
      </c>
      <c r="D56" s="553">
        <v>5</v>
      </c>
      <c r="E56" s="553">
        <v>2</v>
      </c>
      <c r="F56" s="553">
        <v>2</v>
      </c>
      <c r="G56" s="502" t="s">
        <v>488</v>
      </c>
      <c r="H56" s="553">
        <v>1338.7449999999999</v>
      </c>
      <c r="I56" s="553">
        <v>0</v>
      </c>
      <c r="J56" s="553">
        <v>6</v>
      </c>
      <c r="K56" s="553">
        <v>15</v>
      </c>
      <c r="L56" s="553">
        <v>3</v>
      </c>
      <c r="M56" s="505" t="s">
        <v>137</v>
      </c>
      <c r="N56" s="500">
        <v>43013532790000</v>
      </c>
      <c r="O56" s="553" t="s">
        <v>634</v>
      </c>
      <c r="P56" s="650" t="s">
        <v>640</v>
      </c>
      <c r="Q56" s="564" t="s">
        <v>583</v>
      </c>
      <c r="R56" s="564">
        <v>2</v>
      </c>
    </row>
    <row r="57" spans="1:18" ht="15" customHeight="1" x14ac:dyDescent="0.25">
      <c r="A57" s="553">
        <v>1</v>
      </c>
      <c r="B57" s="553">
        <v>3</v>
      </c>
      <c r="C57" s="553">
        <v>2</v>
      </c>
      <c r="D57" s="553">
        <v>5</v>
      </c>
      <c r="E57" s="553">
        <v>2</v>
      </c>
      <c r="F57" s="553">
        <v>2</v>
      </c>
      <c r="G57" s="553" t="s">
        <v>490</v>
      </c>
      <c r="H57" s="553">
        <v>1316.3150000000001</v>
      </c>
      <c r="I57" s="553">
        <v>0</v>
      </c>
      <c r="J57" s="553">
        <v>6</v>
      </c>
      <c r="K57" s="553">
        <v>20</v>
      </c>
      <c r="L57" s="553">
        <v>3</v>
      </c>
      <c r="M57" s="505" t="s">
        <v>137</v>
      </c>
      <c r="N57" s="500">
        <v>43013532790000</v>
      </c>
      <c r="O57" s="553" t="s">
        <v>634</v>
      </c>
      <c r="P57" s="650" t="s">
        <v>641</v>
      </c>
      <c r="Q57" s="564" t="s">
        <v>583</v>
      </c>
      <c r="R57" s="564">
        <v>2</v>
      </c>
    </row>
    <row r="58" spans="1:18" ht="15" customHeight="1" x14ac:dyDescent="0.25">
      <c r="A58" s="553">
        <v>1</v>
      </c>
      <c r="B58" s="553">
        <v>3</v>
      </c>
      <c r="C58" s="553">
        <v>2</v>
      </c>
      <c r="D58" s="553">
        <v>5</v>
      </c>
      <c r="E58" s="553">
        <v>2</v>
      </c>
      <c r="F58" s="553">
        <v>2</v>
      </c>
      <c r="G58" s="553" t="s">
        <v>493</v>
      </c>
      <c r="H58" s="553">
        <v>1316.3150000000001</v>
      </c>
      <c r="I58" s="553">
        <v>0</v>
      </c>
      <c r="J58" s="553">
        <v>6</v>
      </c>
      <c r="K58" s="553">
        <v>20</v>
      </c>
      <c r="L58" s="553">
        <v>3</v>
      </c>
      <c r="M58" s="505" t="s">
        <v>137</v>
      </c>
      <c r="N58" s="500">
        <v>43013532790000</v>
      </c>
      <c r="O58" s="553" t="s">
        <v>634</v>
      </c>
      <c r="P58" s="650" t="s">
        <v>642</v>
      </c>
      <c r="Q58" s="564" t="s">
        <v>583</v>
      </c>
      <c r="R58" s="564">
        <v>2</v>
      </c>
    </row>
    <row r="59" spans="1:18" ht="15" customHeight="1" x14ac:dyDescent="0.25">
      <c r="A59" s="553">
        <v>1</v>
      </c>
      <c r="B59" s="553">
        <v>3</v>
      </c>
      <c r="C59" s="553">
        <v>2</v>
      </c>
      <c r="D59" s="553">
        <v>5</v>
      </c>
      <c r="E59" s="553">
        <v>2</v>
      </c>
      <c r="F59" s="553">
        <v>2</v>
      </c>
      <c r="G59" s="553" t="s">
        <v>474</v>
      </c>
      <c r="H59" s="553">
        <v>1323.54</v>
      </c>
      <c r="I59" s="553">
        <v>89</v>
      </c>
      <c r="J59" s="553">
        <v>56</v>
      </c>
      <c r="K59" s="553">
        <v>0</v>
      </c>
      <c r="L59" s="553">
        <v>1</v>
      </c>
      <c r="M59" s="505" t="s">
        <v>137</v>
      </c>
      <c r="N59" s="500">
        <v>43013532790000</v>
      </c>
      <c r="O59" s="553" t="s">
        <v>634</v>
      </c>
      <c r="P59" s="650" t="s">
        <v>643</v>
      </c>
      <c r="Q59" s="564" t="s">
        <v>583</v>
      </c>
      <c r="R59" s="564">
        <v>2</v>
      </c>
    </row>
    <row r="60" spans="1:18" ht="15" customHeight="1" x14ac:dyDescent="0.25">
      <c r="A60" s="553">
        <v>1</v>
      </c>
      <c r="B60" s="553">
        <v>3</v>
      </c>
      <c r="C60" s="553">
        <v>2</v>
      </c>
      <c r="D60" s="553">
        <v>5</v>
      </c>
      <c r="E60" s="553">
        <v>2</v>
      </c>
      <c r="F60" s="553">
        <v>2</v>
      </c>
      <c r="G60" s="502" t="s">
        <v>477</v>
      </c>
      <c r="H60" s="553">
        <v>1323.54</v>
      </c>
      <c r="I60" s="553">
        <v>89</v>
      </c>
      <c r="J60" s="553">
        <v>56</v>
      </c>
      <c r="K60" s="553">
        <v>0</v>
      </c>
      <c r="L60" s="553">
        <v>1</v>
      </c>
      <c r="M60" s="505" t="s">
        <v>137</v>
      </c>
      <c r="N60" s="500">
        <v>43013532790000</v>
      </c>
      <c r="O60" s="553" t="s">
        <v>634</v>
      </c>
      <c r="P60" s="650" t="s">
        <v>644</v>
      </c>
      <c r="Q60" s="564" t="s">
        <v>583</v>
      </c>
      <c r="R60" s="564">
        <v>2</v>
      </c>
    </row>
    <row r="61" spans="1:18" ht="15" customHeight="1" x14ac:dyDescent="0.25">
      <c r="A61" s="553">
        <v>1</v>
      </c>
      <c r="B61" s="553">
        <v>3</v>
      </c>
      <c r="C61" s="553">
        <v>2</v>
      </c>
      <c r="D61" s="553">
        <v>5</v>
      </c>
      <c r="E61" s="553">
        <v>2</v>
      </c>
      <c r="F61" s="553">
        <v>2</v>
      </c>
      <c r="G61" s="553" t="s">
        <v>479</v>
      </c>
      <c r="H61" s="553">
        <v>1325.23</v>
      </c>
      <c r="I61" s="553">
        <v>89</v>
      </c>
      <c r="J61" s="553">
        <v>58</v>
      </c>
      <c r="K61" s="553">
        <v>16</v>
      </c>
      <c r="L61" s="553">
        <v>2</v>
      </c>
      <c r="M61" s="505" t="s">
        <v>137</v>
      </c>
      <c r="N61" s="500">
        <v>43013532790000</v>
      </c>
      <c r="O61" s="553" t="s">
        <v>634</v>
      </c>
      <c r="P61" s="650" t="s">
        <v>645</v>
      </c>
      <c r="Q61" s="564" t="s">
        <v>583</v>
      </c>
      <c r="R61" s="564">
        <v>2</v>
      </c>
    </row>
    <row r="62" spans="1:18" ht="15" customHeight="1" x14ac:dyDescent="0.25">
      <c r="A62" s="553">
        <v>1</v>
      </c>
      <c r="B62" s="553">
        <v>3</v>
      </c>
      <c r="C62" s="553">
        <v>2</v>
      </c>
      <c r="D62" s="553">
        <v>5</v>
      </c>
      <c r="E62" s="553">
        <v>2</v>
      </c>
      <c r="F62" s="553">
        <v>2</v>
      </c>
      <c r="G62" s="553" t="s">
        <v>485</v>
      </c>
      <c r="H62" s="553">
        <v>1325.23</v>
      </c>
      <c r="I62" s="553">
        <v>89</v>
      </c>
      <c r="J62" s="553">
        <v>58</v>
      </c>
      <c r="K62" s="553">
        <v>16</v>
      </c>
      <c r="L62" s="553">
        <v>2</v>
      </c>
      <c r="M62" s="505" t="s">
        <v>137</v>
      </c>
      <c r="N62" s="500">
        <v>43013532790000</v>
      </c>
      <c r="O62" s="553" t="s">
        <v>634</v>
      </c>
      <c r="P62" s="650" t="s">
        <v>646</v>
      </c>
      <c r="Q62" s="564" t="s">
        <v>583</v>
      </c>
      <c r="R62" s="564">
        <v>2</v>
      </c>
    </row>
    <row r="63" spans="1:18" ht="15" customHeight="1" x14ac:dyDescent="0.25">
      <c r="A63" s="553">
        <v>1</v>
      </c>
      <c r="B63" s="553">
        <v>3</v>
      </c>
      <c r="C63" s="553">
        <v>2</v>
      </c>
      <c r="D63" s="553">
        <v>5</v>
      </c>
      <c r="E63" s="553">
        <v>2</v>
      </c>
      <c r="F63" s="553">
        <v>2</v>
      </c>
      <c r="G63" s="553" t="s">
        <v>487</v>
      </c>
      <c r="H63" s="553">
        <v>1321.29</v>
      </c>
      <c r="I63" s="553">
        <v>89</v>
      </c>
      <c r="J63" s="553">
        <v>54</v>
      </c>
      <c r="K63" s="553">
        <v>49</v>
      </c>
      <c r="L63" s="553">
        <v>3</v>
      </c>
      <c r="M63" s="505" t="s">
        <v>137</v>
      </c>
      <c r="N63" s="500">
        <v>43013532790000</v>
      </c>
      <c r="O63" s="553" t="s">
        <v>634</v>
      </c>
      <c r="P63" s="650" t="s">
        <v>647</v>
      </c>
      <c r="Q63" s="564" t="s">
        <v>583</v>
      </c>
      <c r="R63" s="564">
        <v>2</v>
      </c>
    </row>
    <row r="64" spans="1:18" ht="15" customHeight="1" x14ac:dyDescent="0.25">
      <c r="A64" s="508">
        <v>1</v>
      </c>
      <c r="B64" s="508">
        <v>3</v>
      </c>
      <c r="C64" s="508">
        <v>2</v>
      </c>
      <c r="D64" s="508">
        <v>5</v>
      </c>
      <c r="E64" s="508">
        <v>2</v>
      </c>
      <c r="F64" s="508">
        <v>2</v>
      </c>
      <c r="G64" s="509" t="s">
        <v>489</v>
      </c>
      <c r="H64" s="553">
        <v>1321.29</v>
      </c>
      <c r="I64" s="553">
        <v>89</v>
      </c>
      <c r="J64" s="553">
        <v>54</v>
      </c>
      <c r="K64" s="553">
        <v>49</v>
      </c>
      <c r="L64" s="553">
        <v>3</v>
      </c>
      <c r="M64" s="505" t="s">
        <v>137</v>
      </c>
      <c r="N64" s="510">
        <v>43013532790000</v>
      </c>
      <c r="O64" s="553" t="s">
        <v>634</v>
      </c>
      <c r="P64" s="650" t="s">
        <v>648</v>
      </c>
      <c r="Q64" s="564" t="s">
        <v>583</v>
      </c>
      <c r="R64" s="564">
        <v>2</v>
      </c>
    </row>
    <row r="65" spans="1:18" ht="15" customHeight="1" x14ac:dyDescent="0.25">
      <c r="A65" s="508">
        <v>1</v>
      </c>
      <c r="B65" s="508">
        <v>3</v>
      </c>
      <c r="C65" s="508">
        <v>2</v>
      </c>
      <c r="D65" s="508">
        <v>5</v>
      </c>
      <c r="E65" s="508">
        <v>2</v>
      </c>
      <c r="F65" s="508">
        <v>2</v>
      </c>
      <c r="G65" s="508" t="s">
        <v>491</v>
      </c>
      <c r="H65" s="553">
        <v>1321.29</v>
      </c>
      <c r="I65" s="553">
        <v>89</v>
      </c>
      <c r="J65" s="553">
        <v>54</v>
      </c>
      <c r="K65" s="553">
        <v>49</v>
      </c>
      <c r="L65" s="553">
        <v>3</v>
      </c>
      <c r="M65" s="505" t="s">
        <v>137</v>
      </c>
      <c r="N65" s="510">
        <v>43013532790000</v>
      </c>
      <c r="O65" s="553" t="s">
        <v>634</v>
      </c>
      <c r="P65" s="650" t="s">
        <v>649</v>
      </c>
      <c r="Q65" s="564" t="s">
        <v>583</v>
      </c>
      <c r="R65" s="564">
        <v>2</v>
      </c>
    </row>
    <row r="66" spans="1:18" ht="15" customHeight="1" x14ac:dyDescent="0.25">
      <c r="A66" s="508">
        <v>1</v>
      </c>
      <c r="B66" s="508">
        <v>3</v>
      </c>
      <c r="C66" s="508">
        <v>2</v>
      </c>
      <c r="D66" s="508">
        <v>5</v>
      </c>
      <c r="E66" s="508">
        <v>2</v>
      </c>
      <c r="F66" s="508">
        <v>2</v>
      </c>
      <c r="G66" s="508" t="s">
        <v>494</v>
      </c>
      <c r="H66" s="508">
        <v>1321.4</v>
      </c>
      <c r="I66" s="508">
        <v>89</v>
      </c>
      <c r="J66" s="508">
        <v>54</v>
      </c>
      <c r="K66" s="508">
        <v>58</v>
      </c>
      <c r="L66" s="508">
        <v>2</v>
      </c>
      <c r="M66" s="505" t="s">
        <v>137</v>
      </c>
      <c r="N66" s="510">
        <v>43013532790000</v>
      </c>
      <c r="O66" s="553" t="s">
        <v>634</v>
      </c>
      <c r="P66" s="650" t="s">
        <v>650</v>
      </c>
      <c r="Q66" s="564" t="s">
        <v>583</v>
      </c>
      <c r="R66" s="564">
        <v>2</v>
      </c>
    </row>
    <row r="67" spans="1:18" s="484" customFormat="1" ht="15" customHeight="1" x14ac:dyDescent="0.25">
      <c r="A67" s="508">
        <v>1</v>
      </c>
      <c r="B67" s="508">
        <v>3</v>
      </c>
      <c r="C67" s="508">
        <v>2</v>
      </c>
      <c r="D67" s="508">
        <v>2</v>
      </c>
      <c r="E67" s="508">
        <v>2</v>
      </c>
      <c r="F67" s="508">
        <v>2</v>
      </c>
      <c r="G67" s="508" t="s">
        <v>473</v>
      </c>
      <c r="H67" s="508">
        <v>1321.9849999999999</v>
      </c>
      <c r="I67" s="508">
        <v>1</v>
      </c>
      <c r="J67" s="508">
        <v>7</v>
      </c>
      <c r="K67" s="508">
        <v>1</v>
      </c>
      <c r="L67" s="508">
        <v>4</v>
      </c>
      <c r="M67" s="505" t="s">
        <v>137</v>
      </c>
      <c r="N67" s="510">
        <v>43013538250000</v>
      </c>
      <c r="O67" s="553" t="s">
        <v>651</v>
      </c>
      <c r="P67" s="650" t="s">
        <v>652</v>
      </c>
      <c r="Q67" s="564" t="s">
        <v>583</v>
      </c>
      <c r="R67" s="564">
        <v>1</v>
      </c>
    </row>
    <row r="68" spans="1:18" s="484" customFormat="1" ht="15" customHeight="1" x14ac:dyDescent="0.25">
      <c r="A68" s="508">
        <v>1</v>
      </c>
      <c r="B68" s="508">
        <v>3</v>
      </c>
      <c r="C68" s="508">
        <v>2</v>
      </c>
      <c r="D68" s="508">
        <v>2</v>
      </c>
      <c r="E68" s="508">
        <v>2</v>
      </c>
      <c r="F68" s="508">
        <v>2</v>
      </c>
      <c r="G68" s="509" t="s">
        <v>476</v>
      </c>
      <c r="H68" s="508">
        <v>1321.9849999999999</v>
      </c>
      <c r="I68" s="508">
        <v>1</v>
      </c>
      <c r="J68" s="508">
        <v>7</v>
      </c>
      <c r="K68" s="508">
        <v>1</v>
      </c>
      <c r="L68" s="508">
        <v>4</v>
      </c>
      <c r="M68" s="505" t="s">
        <v>137</v>
      </c>
      <c r="N68" s="510">
        <v>43013538250000</v>
      </c>
      <c r="O68" s="553" t="s">
        <v>651</v>
      </c>
      <c r="P68" s="650" t="s">
        <v>653</v>
      </c>
      <c r="Q68" s="564" t="s">
        <v>583</v>
      </c>
      <c r="R68" s="564">
        <v>1</v>
      </c>
    </row>
    <row r="69" spans="1:18" s="484" customFormat="1" ht="15" customHeight="1" x14ac:dyDescent="0.25">
      <c r="A69" s="508">
        <v>1</v>
      </c>
      <c r="B69" s="508">
        <v>3</v>
      </c>
      <c r="C69" s="508">
        <v>2</v>
      </c>
      <c r="D69" s="508">
        <v>2</v>
      </c>
      <c r="E69" s="508">
        <v>2</v>
      </c>
      <c r="F69" s="508">
        <v>2</v>
      </c>
      <c r="G69" s="508" t="s">
        <v>478</v>
      </c>
      <c r="H69" s="508">
        <v>1321.9849999999999</v>
      </c>
      <c r="I69" s="508">
        <v>1</v>
      </c>
      <c r="J69" s="508">
        <v>7</v>
      </c>
      <c r="K69" s="508">
        <v>1</v>
      </c>
      <c r="L69" s="508">
        <v>4</v>
      </c>
      <c r="M69" s="505" t="s">
        <v>137</v>
      </c>
      <c r="N69" s="510">
        <v>43013538250000</v>
      </c>
      <c r="O69" s="553" t="s">
        <v>651</v>
      </c>
      <c r="P69" s="650" t="s">
        <v>654</v>
      </c>
      <c r="Q69" s="564" t="s">
        <v>583</v>
      </c>
      <c r="R69" s="564">
        <v>1</v>
      </c>
    </row>
    <row r="70" spans="1:18" s="484" customFormat="1" ht="15" customHeight="1" x14ac:dyDescent="0.25">
      <c r="A70" s="508">
        <v>1</v>
      </c>
      <c r="B70" s="508">
        <v>3</v>
      </c>
      <c r="C70" s="508">
        <v>2</v>
      </c>
      <c r="D70" s="508">
        <v>2</v>
      </c>
      <c r="E70" s="508">
        <v>2</v>
      </c>
      <c r="F70" s="508">
        <v>2</v>
      </c>
      <c r="G70" s="508" t="s">
        <v>484</v>
      </c>
      <c r="H70" s="508">
        <v>1321.9849999999999</v>
      </c>
      <c r="I70" s="508">
        <v>1</v>
      </c>
      <c r="J70" s="508">
        <v>7</v>
      </c>
      <c r="K70" s="508">
        <v>1</v>
      </c>
      <c r="L70" s="508">
        <v>4</v>
      </c>
      <c r="M70" s="505" t="s">
        <v>137</v>
      </c>
      <c r="N70" s="510">
        <v>43013538250000</v>
      </c>
      <c r="O70" s="553" t="s">
        <v>651</v>
      </c>
      <c r="P70" s="650" t="s">
        <v>655</v>
      </c>
      <c r="Q70" s="564" t="s">
        <v>583</v>
      </c>
      <c r="R70" s="564">
        <v>1</v>
      </c>
    </row>
    <row r="71" spans="1:18" s="484" customFormat="1" ht="15" customHeight="1" x14ac:dyDescent="0.25">
      <c r="A71" s="508">
        <v>1</v>
      </c>
      <c r="B71" s="508">
        <v>3</v>
      </c>
      <c r="C71" s="508">
        <v>2</v>
      </c>
      <c r="D71" s="508">
        <v>2</v>
      </c>
      <c r="E71" s="508">
        <v>2</v>
      </c>
      <c r="F71" s="508">
        <v>2</v>
      </c>
      <c r="G71" s="508" t="s">
        <v>486</v>
      </c>
      <c r="H71" s="508">
        <v>1322.35</v>
      </c>
      <c r="I71" s="508">
        <v>0</v>
      </c>
      <c r="J71" s="508">
        <v>54</v>
      </c>
      <c r="K71" s="508">
        <v>41</v>
      </c>
      <c r="L71" s="508">
        <v>4</v>
      </c>
      <c r="M71" s="505" t="s">
        <v>137</v>
      </c>
      <c r="N71" s="510">
        <v>43013538250000</v>
      </c>
      <c r="O71" s="553" t="s">
        <v>651</v>
      </c>
      <c r="P71" s="650" t="s">
        <v>656</v>
      </c>
      <c r="Q71" s="564" t="s">
        <v>583</v>
      </c>
      <c r="R71" s="564">
        <v>1</v>
      </c>
    </row>
    <row r="72" spans="1:18" s="484" customFormat="1" ht="15" customHeight="1" x14ac:dyDescent="0.25">
      <c r="A72" s="508">
        <v>1</v>
      </c>
      <c r="B72" s="508">
        <v>3</v>
      </c>
      <c r="C72" s="508">
        <v>2</v>
      </c>
      <c r="D72" s="508">
        <v>2</v>
      </c>
      <c r="E72" s="508">
        <v>2</v>
      </c>
      <c r="F72" s="508">
        <v>2</v>
      </c>
      <c r="G72" s="509" t="s">
        <v>488</v>
      </c>
      <c r="H72" s="508">
        <v>1322.35</v>
      </c>
      <c r="I72" s="508">
        <v>0</v>
      </c>
      <c r="J72" s="508">
        <v>54</v>
      </c>
      <c r="K72" s="508">
        <v>41</v>
      </c>
      <c r="L72" s="508">
        <v>4</v>
      </c>
      <c r="M72" s="505" t="s">
        <v>137</v>
      </c>
      <c r="N72" s="510">
        <v>43013538250000</v>
      </c>
      <c r="O72" s="553" t="s">
        <v>651</v>
      </c>
      <c r="P72" s="650" t="s">
        <v>657</v>
      </c>
      <c r="Q72" s="564" t="s">
        <v>583</v>
      </c>
      <c r="R72" s="564">
        <v>1</v>
      </c>
    </row>
    <row r="73" spans="1:18" s="484" customFormat="1" ht="15" customHeight="1" x14ac:dyDescent="0.25">
      <c r="A73" s="508">
        <v>1</v>
      </c>
      <c r="B73" s="508">
        <v>3</v>
      </c>
      <c r="C73" s="508">
        <v>2</v>
      </c>
      <c r="D73" s="508">
        <v>2</v>
      </c>
      <c r="E73" s="508">
        <v>2</v>
      </c>
      <c r="F73" s="508">
        <v>2</v>
      </c>
      <c r="G73" s="508" t="s">
        <v>490</v>
      </c>
      <c r="H73" s="508">
        <v>1320.81</v>
      </c>
      <c r="I73" s="508">
        <v>1</v>
      </c>
      <c r="J73" s="508">
        <v>3</v>
      </c>
      <c r="K73" s="508">
        <v>6</v>
      </c>
      <c r="L73" s="508">
        <v>4</v>
      </c>
      <c r="M73" s="505" t="s">
        <v>137</v>
      </c>
      <c r="N73" s="510">
        <v>43013538250000</v>
      </c>
      <c r="O73" s="553" t="s">
        <v>651</v>
      </c>
      <c r="P73" s="650" t="s">
        <v>658</v>
      </c>
      <c r="Q73" s="564" t="s">
        <v>583</v>
      </c>
      <c r="R73" s="564">
        <v>1</v>
      </c>
    </row>
    <row r="74" spans="1:18" s="484" customFormat="1" ht="15" customHeight="1" x14ac:dyDescent="0.25">
      <c r="A74" s="508">
        <v>1</v>
      </c>
      <c r="B74" s="508">
        <v>3</v>
      </c>
      <c r="C74" s="508">
        <v>2</v>
      </c>
      <c r="D74" s="508">
        <v>2</v>
      </c>
      <c r="E74" s="508">
        <v>2</v>
      </c>
      <c r="F74" s="508">
        <v>2</v>
      </c>
      <c r="G74" s="508" t="s">
        <v>493</v>
      </c>
      <c r="H74" s="508">
        <v>1321.04</v>
      </c>
      <c r="I74" s="508">
        <v>0</v>
      </c>
      <c r="J74" s="508">
        <v>54</v>
      </c>
      <c r="K74" s="508">
        <v>40</v>
      </c>
      <c r="L74" s="508">
        <v>4</v>
      </c>
      <c r="M74" s="505" t="s">
        <v>137</v>
      </c>
      <c r="N74" s="510">
        <v>43013538250000</v>
      </c>
      <c r="O74" s="553" t="s">
        <v>651</v>
      </c>
      <c r="P74" s="650" t="s">
        <v>659</v>
      </c>
      <c r="Q74" s="564" t="s">
        <v>583</v>
      </c>
      <c r="R74" s="564">
        <v>1</v>
      </c>
    </row>
    <row r="75" spans="1:18" s="484" customFormat="1" ht="15" customHeight="1" x14ac:dyDescent="0.25">
      <c r="A75" s="508">
        <v>1</v>
      </c>
      <c r="B75" s="508">
        <v>3</v>
      </c>
      <c r="C75" s="508">
        <v>2</v>
      </c>
      <c r="D75" s="508">
        <v>2</v>
      </c>
      <c r="E75" s="508">
        <v>2</v>
      </c>
      <c r="F75" s="508">
        <v>2</v>
      </c>
      <c r="G75" s="508" t="s">
        <v>474</v>
      </c>
      <c r="H75" s="508">
        <v>1325.34</v>
      </c>
      <c r="I75" s="508">
        <v>88</v>
      </c>
      <c r="J75" s="508">
        <v>59</v>
      </c>
      <c r="K75" s="508">
        <v>29</v>
      </c>
      <c r="L75" s="508">
        <v>3</v>
      </c>
      <c r="M75" s="505" t="s">
        <v>137</v>
      </c>
      <c r="N75" s="510">
        <v>43013538250000</v>
      </c>
      <c r="O75" s="553" t="s">
        <v>651</v>
      </c>
      <c r="P75" s="650" t="s">
        <v>660</v>
      </c>
      <c r="Q75" s="564" t="s">
        <v>583</v>
      </c>
      <c r="R75" s="564">
        <v>1</v>
      </c>
    </row>
    <row r="76" spans="1:18" s="484" customFormat="1" ht="15" customHeight="1" x14ac:dyDescent="0.25">
      <c r="A76" s="508">
        <v>1</v>
      </c>
      <c r="B76" s="508">
        <v>3</v>
      </c>
      <c r="C76" s="508">
        <v>2</v>
      </c>
      <c r="D76" s="508">
        <v>2</v>
      </c>
      <c r="E76" s="508">
        <v>2</v>
      </c>
      <c r="F76" s="508">
        <v>2</v>
      </c>
      <c r="G76" s="509" t="s">
        <v>477</v>
      </c>
      <c r="H76" s="508">
        <v>1325.34</v>
      </c>
      <c r="I76" s="508">
        <v>88</v>
      </c>
      <c r="J76" s="508">
        <v>59</v>
      </c>
      <c r="K76" s="508">
        <v>29</v>
      </c>
      <c r="L76" s="508">
        <v>3</v>
      </c>
      <c r="M76" s="505" t="s">
        <v>137</v>
      </c>
      <c r="N76" s="510">
        <v>43013538250000</v>
      </c>
      <c r="O76" s="553" t="s">
        <v>651</v>
      </c>
      <c r="P76" s="650" t="s">
        <v>661</v>
      </c>
      <c r="Q76" s="564" t="s">
        <v>583</v>
      </c>
      <c r="R76" s="564">
        <v>1</v>
      </c>
    </row>
    <row r="77" spans="1:18" s="484" customFormat="1" ht="15" customHeight="1" x14ac:dyDescent="0.25">
      <c r="A77" s="508">
        <v>1</v>
      </c>
      <c r="B77" s="508">
        <v>3</v>
      </c>
      <c r="C77" s="508">
        <v>2</v>
      </c>
      <c r="D77" s="508">
        <v>2</v>
      </c>
      <c r="E77" s="508">
        <v>2</v>
      </c>
      <c r="F77" s="508">
        <v>2</v>
      </c>
      <c r="G77" s="508" t="s">
        <v>479</v>
      </c>
      <c r="H77" s="508">
        <v>1316.15</v>
      </c>
      <c r="I77" s="508">
        <v>89</v>
      </c>
      <c r="J77" s="508">
        <v>12</v>
      </c>
      <c r="K77" s="508">
        <v>42</v>
      </c>
      <c r="L77" s="508">
        <v>3</v>
      </c>
      <c r="M77" s="505" t="s">
        <v>137</v>
      </c>
      <c r="N77" s="510">
        <v>43013538250000</v>
      </c>
      <c r="O77" s="553" t="s">
        <v>651</v>
      </c>
      <c r="P77" s="650" t="s">
        <v>662</v>
      </c>
      <c r="Q77" s="564" t="s">
        <v>583</v>
      </c>
      <c r="R77" s="564">
        <v>1</v>
      </c>
    </row>
    <row r="78" spans="1:18" s="484" customFormat="1" ht="15" customHeight="1" x14ac:dyDescent="0.25">
      <c r="A78" s="508">
        <v>1</v>
      </c>
      <c r="B78" s="508">
        <v>3</v>
      </c>
      <c r="C78" s="508">
        <v>2</v>
      </c>
      <c r="D78" s="508">
        <v>2</v>
      </c>
      <c r="E78" s="508">
        <v>2</v>
      </c>
      <c r="F78" s="508">
        <v>2</v>
      </c>
      <c r="G78" s="508" t="s">
        <v>485</v>
      </c>
      <c r="H78" s="508">
        <v>1317.29</v>
      </c>
      <c r="I78" s="508">
        <v>88</v>
      </c>
      <c r="J78" s="508">
        <v>26</v>
      </c>
      <c r="K78" s="508">
        <v>37</v>
      </c>
      <c r="L78" s="508">
        <v>3</v>
      </c>
      <c r="M78" s="505" t="s">
        <v>137</v>
      </c>
      <c r="N78" s="510">
        <v>43013538250000</v>
      </c>
      <c r="O78" s="553" t="s">
        <v>651</v>
      </c>
      <c r="P78" s="650" t="s">
        <v>663</v>
      </c>
      <c r="Q78" s="564" t="s">
        <v>583</v>
      </c>
      <c r="R78" s="564">
        <v>1</v>
      </c>
    </row>
    <row r="79" spans="1:18" s="484" customFormat="1" ht="15" customHeight="1" x14ac:dyDescent="0.25">
      <c r="A79" s="508">
        <v>1</v>
      </c>
      <c r="B79" s="508">
        <v>3</v>
      </c>
      <c r="C79" s="508">
        <v>2</v>
      </c>
      <c r="D79" s="508">
        <v>2</v>
      </c>
      <c r="E79" s="508">
        <v>2</v>
      </c>
      <c r="F79" s="508">
        <v>2</v>
      </c>
      <c r="G79" s="508" t="s">
        <v>487</v>
      </c>
      <c r="H79" s="508">
        <v>1317.81</v>
      </c>
      <c r="I79" s="508">
        <v>88</v>
      </c>
      <c r="J79" s="508">
        <v>57</v>
      </c>
      <c r="K79" s="508">
        <v>7</v>
      </c>
      <c r="L79" s="508">
        <v>3</v>
      </c>
      <c r="M79" s="505" t="s">
        <v>137</v>
      </c>
      <c r="N79" s="510">
        <v>43013538250000</v>
      </c>
      <c r="O79" s="553" t="s">
        <v>651</v>
      </c>
      <c r="P79" s="650" t="s">
        <v>664</v>
      </c>
      <c r="Q79" s="564" t="s">
        <v>583</v>
      </c>
      <c r="R79" s="564">
        <v>1</v>
      </c>
    </row>
    <row r="80" spans="1:18" s="484" customFormat="1" ht="15" customHeight="1" x14ac:dyDescent="0.25">
      <c r="A80" s="553">
        <v>1</v>
      </c>
      <c r="B80" s="553">
        <v>3</v>
      </c>
      <c r="C80" s="553">
        <v>2</v>
      </c>
      <c r="D80" s="553">
        <v>2</v>
      </c>
      <c r="E80" s="553">
        <v>2</v>
      </c>
      <c r="F80" s="553">
        <v>2</v>
      </c>
      <c r="G80" s="502" t="s">
        <v>489</v>
      </c>
      <c r="H80" s="553">
        <v>1310.55</v>
      </c>
      <c r="I80" s="553">
        <v>88</v>
      </c>
      <c r="J80" s="553">
        <v>51</v>
      </c>
      <c r="K80" s="553">
        <v>1</v>
      </c>
      <c r="L80" s="553">
        <v>3</v>
      </c>
      <c r="M80" s="505" t="s">
        <v>137</v>
      </c>
      <c r="N80" s="500">
        <v>43013538250000</v>
      </c>
      <c r="O80" s="553" t="s">
        <v>651</v>
      </c>
      <c r="P80" s="650" t="s">
        <v>665</v>
      </c>
      <c r="Q80" s="564" t="s">
        <v>583</v>
      </c>
      <c r="R80" s="564">
        <v>1</v>
      </c>
    </row>
    <row r="81" spans="1:18" s="484" customFormat="1" ht="15" customHeight="1" x14ac:dyDescent="0.25">
      <c r="A81" s="553">
        <v>1</v>
      </c>
      <c r="B81" s="553">
        <v>3</v>
      </c>
      <c r="C81" s="553">
        <v>2</v>
      </c>
      <c r="D81" s="553">
        <v>2</v>
      </c>
      <c r="E81" s="553">
        <v>2</v>
      </c>
      <c r="F81" s="553">
        <v>2</v>
      </c>
      <c r="G81" s="553" t="s">
        <v>491</v>
      </c>
      <c r="H81" s="553">
        <v>1319.98</v>
      </c>
      <c r="I81" s="553">
        <v>88</v>
      </c>
      <c r="J81" s="553">
        <v>53</v>
      </c>
      <c r="K81" s="553">
        <v>15</v>
      </c>
      <c r="L81" s="553">
        <v>3</v>
      </c>
      <c r="M81" s="505" t="s">
        <v>137</v>
      </c>
      <c r="N81" s="500">
        <v>43013538250000</v>
      </c>
      <c r="O81" s="553" t="s">
        <v>651</v>
      </c>
      <c r="P81" s="650" t="s">
        <v>666</v>
      </c>
      <c r="Q81" s="564" t="s">
        <v>583</v>
      </c>
      <c r="R81" s="564">
        <v>1</v>
      </c>
    </row>
    <row r="82" spans="1:18" s="484" customFormat="1" ht="15" customHeight="1" x14ac:dyDescent="0.25">
      <c r="A82" s="553">
        <v>1</v>
      </c>
      <c r="B82" s="553">
        <v>3</v>
      </c>
      <c r="C82" s="553">
        <v>2</v>
      </c>
      <c r="D82" s="553">
        <v>2</v>
      </c>
      <c r="E82" s="553">
        <v>2</v>
      </c>
      <c r="F82" s="553">
        <v>2</v>
      </c>
      <c r="G82" s="553" t="s">
        <v>494</v>
      </c>
      <c r="H82" s="553">
        <v>1319.98</v>
      </c>
      <c r="I82" s="553">
        <v>88</v>
      </c>
      <c r="J82" s="553">
        <v>53</v>
      </c>
      <c r="K82" s="553">
        <v>15</v>
      </c>
      <c r="L82" s="553">
        <v>3</v>
      </c>
      <c r="M82" s="505" t="s">
        <v>137</v>
      </c>
      <c r="N82" s="500">
        <v>43013538250000</v>
      </c>
      <c r="O82" s="553" t="s">
        <v>651</v>
      </c>
      <c r="P82" s="650" t="s">
        <v>667</v>
      </c>
      <c r="Q82" s="564" t="s">
        <v>583</v>
      </c>
      <c r="R82" s="564">
        <v>1</v>
      </c>
    </row>
    <row r="83" spans="1:18" ht="15" customHeight="1" x14ac:dyDescent="0.25">
      <c r="A83" s="564">
        <v>1</v>
      </c>
      <c r="B83" s="564">
        <v>2</v>
      </c>
      <c r="C83" s="564">
        <v>2</v>
      </c>
      <c r="D83" s="564">
        <v>2</v>
      </c>
      <c r="E83" s="564">
        <v>2</v>
      </c>
      <c r="F83" s="564">
        <v>2</v>
      </c>
      <c r="G83" s="553" t="s">
        <v>473</v>
      </c>
      <c r="H83" s="564">
        <v>1429.4749999999999</v>
      </c>
      <c r="I83" s="564">
        <v>0</v>
      </c>
      <c r="J83" s="564">
        <v>16</v>
      </c>
      <c r="K83" s="564">
        <v>45</v>
      </c>
      <c r="L83" s="564">
        <v>4</v>
      </c>
      <c r="M83" s="561" t="s">
        <v>137</v>
      </c>
      <c r="N83" s="520">
        <v>4301353982</v>
      </c>
      <c r="O83" s="564" t="s">
        <v>668</v>
      </c>
      <c r="P83" s="522" t="s">
        <v>669</v>
      </c>
      <c r="Q83" s="564" t="s">
        <v>670</v>
      </c>
      <c r="R83" s="564">
        <v>2</v>
      </c>
    </row>
    <row r="84" spans="1:18" ht="15" customHeight="1" x14ac:dyDescent="0.25">
      <c r="A84" s="564">
        <v>1</v>
      </c>
      <c r="B84" s="564">
        <v>2</v>
      </c>
      <c r="C84" s="564">
        <v>2</v>
      </c>
      <c r="D84" s="564">
        <v>2</v>
      </c>
      <c r="E84" s="564">
        <v>2</v>
      </c>
      <c r="F84" s="564">
        <v>2</v>
      </c>
      <c r="G84" s="502" t="s">
        <v>476</v>
      </c>
      <c r="H84" s="564">
        <v>1429.4749999999999</v>
      </c>
      <c r="I84" s="564">
        <v>0</v>
      </c>
      <c r="J84" s="564">
        <v>16</v>
      </c>
      <c r="K84" s="564">
        <v>45</v>
      </c>
      <c r="L84" s="564">
        <v>4</v>
      </c>
      <c r="M84" s="561" t="s">
        <v>137</v>
      </c>
      <c r="N84" s="520">
        <v>4301353982</v>
      </c>
      <c r="O84" s="564" t="s">
        <v>668</v>
      </c>
      <c r="P84" s="522" t="s">
        <v>671</v>
      </c>
      <c r="Q84" s="564" t="s">
        <v>670</v>
      </c>
      <c r="R84" s="564">
        <v>2</v>
      </c>
    </row>
    <row r="85" spans="1:18" ht="15" customHeight="1" x14ac:dyDescent="0.25">
      <c r="A85" s="564">
        <v>1</v>
      </c>
      <c r="B85" s="564">
        <v>2</v>
      </c>
      <c r="C85" s="564">
        <v>2</v>
      </c>
      <c r="D85" s="564">
        <v>2</v>
      </c>
      <c r="E85" s="564">
        <v>2</v>
      </c>
      <c r="F85" s="564">
        <v>2</v>
      </c>
      <c r="G85" s="553" t="s">
        <v>478</v>
      </c>
      <c r="H85" s="564">
        <v>1320.135</v>
      </c>
      <c r="I85" s="564">
        <v>0</v>
      </c>
      <c r="J85" s="564">
        <v>16</v>
      </c>
      <c r="K85" s="564">
        <v>37</v>
      </c>
      <c r="L85" s="564">
        <v>4</v>
      </c>
      <c r="M85" s="561" t="s">
        <v>137</v>
      </c>
      <c r="N85" s="520">
        <v>4301353982</v>
      </c>
      <c r="O85" s="564" t="s">
        <v>668</v>
      </c>
      <c r="P85" s="522" t="s">
        <v>672</v>
      </c>
      <c r="Q85" s="564" t="s">
        <v>670</v>
      </c>
      <c r="R85" s="564">
        <v>2</v>
      </c>
    </row>
    <row r="86" spans="1:18" ht="15" customHeight="1" x14ac:dyDescent="0.25">
      <c r="A86" s="564">
        <v>1</v>
      </c>
      <c r="B86" s="564">
        <v>2</v>
      </c>
      <c r="C86" s="564">
        <v>2</v>
      </c>
      <c r="D86" s="564">
        <v>2</v>
      </c>
      <c r="E86" s="564">
        <v>2</v>
      </c>
      <c r="F86" s="564">
        <v>2</v>
      </c>
      <c r="G86" s="553" t="s">
        <v>484</v>
      </c>
      <c r="H86" s="564">
        <v>1320.135</v>
      </c>
      <c r="I86" s="564">
        <v>0</v>
      </c>
      <c r="J86" s="564">
        <v>16</v>
      </c>
      <c r="K86" s="564">
        <v>37</v>
      </c>
      <c r="L86" s="564">
        <v>4</v>
      </c>
      <c r="M86" s="561" t="s">
        <v>137</v>
      </c>
      <c r="N86" s="520">
        <v>4301353982</v>
      </c>
      <c r="O86" s="564" t="s">
        <v>668</v>
      </c>
      <c r="P86" s="522" t="s">
        <v>673</v>
      </c>
      <c r="Q86" s="564" t="s">
        <v>670</v>
      </c>
      <c r="R86" s="564">
        <v>2</v>
      </c>
    </row>
    <row r="87" spans="1:18" ht="15" customHeight="1" x14ac:dyDescent="0.25">
      <c r="A87" s="564">
        <v>1</v>
      </c>
      <c r="B87" s="564">
        <v>2</v>
      </c>
      <c r="C87" s="564">
        <v>2</v>
      </c>
      <c r="D87" s="564">
        <v>2</v>
      </c>
      <c r="E87" s="564">
        <v>2</v>
      </c>
      <c r="F87" s="564">
        <v>2</v>
      </c>
      <c r="G87" s="553" t="s">
        <v>486</v>
      </c>
      <c r="H87" s="501">
        <v>1349.355</v>
      </c>
      <c r="I87" s="564">
        <v>0</v>
      </c>
      <c r="J87" s="564">
        <v>20</v>
      </c>
      <c r="K87" s="564">
        <v>44</v>
      </c>
      <c r="L87" s="564">
        <v>4</v>
      </c>
      <c r="M87" s="561" t="s">
        <v>137</v>
      </c>
      <c r="N87" s="520">
        <v>4301353982</v>
      </c>
      <c r="O87" s="564" t="s">
        <v>668</v>
      </c>
      <c r="P87" s="522" t="s">
        <v>674</v>
      </c>
      <c r="Q87" s="564" t="s">
        <v>670</v>
      </c>
      <c r="R87" s="564">
        <v>2</v>
      </c>
    </row>
    <row r="88" spans="1:18" ht="15" customHeight="1" x14ac:dyDescent="0.25">
      <c r="A88" s="564">
        <v>1</v>
      </c>
      <c r="B88" s="564">
        <v>2</v>
      </c>
      <c r="C88" s="564">
        <v>2</v>
      </c>
      <c r="D88" s="564">
        <v>2</v>
      </c>
      <c r="E88" s="564">
        <v>2</v>
      </c>
      <c r="F88" s="564">
        <v>2</v>
      </c>
      <c r="G88" s="502" t="s">
        <v>488</v>
      </c>
      <c r="H88" s="501">
        <v>1349.355</v>
      </c>
      <c r="I88" s="564">
        <v>0</v>
      </c>
      <c r="J88" s="564">
        <v>20</v>
      </c>
      <c r="K88" s="564">
        <v>44</v>
      </c>
      <c r="L88" s="564">
        <v>4</v>
      </c>
      <c r="M88" s="561" t="s">
        <v>137</v>
      </c>
      <c r="N88" s="520">
        <v>4301353982</v>
      </c>
      <c r="O88" s="564" t="s">
        <v>668</v>
      </c>
      <c r="P88" s="522" t="s">
        <v>675</v>
      </c>
      <c r="Q88" s="564" t="s">
        <v>670</v>
      </c>
      <c r="R88" s="564">
        <v>2</v>
      </c>
    </row>
    <row r="89" spans="1:18" ht="15" customHeight="1" x14ac:dyDescent="0.25">
      <c r="A89" s="564">
        <v>1</v>
      </c>
      <c r="B89" s="564">
        <v>2</v>
      </c>
      <c r="C89" s="564">
        <v>2</v>
      </c>
      <c r="D89" s="564">
        <v>2</v>
      </c>
      <c r="E89" s="564">
        <v>2</v>
      </c>
      <c r="F89" s="564">
        <v>2</v>
      </c>
      <c r="G89" s="553" t="s">
        <v>490</v>
      </c>
      <c r="H89" s="564">
        <v>1375.4749999999999</v>
      </c>
      <c r="I89" s="564">
        <v>0</v>
      </c>
      <c r="J89" s="564">
        <v>19</v>
      </c>
      <c r="K89" s="564">
        <v>47</v>
      </c>
      <c r="L89" s="564">
        <v>4</v>
      </c>
      <c r="M89" s="561" t="s">
        <v>137</v>
      </c>
      <c r="N89" s="520">
        <v>4301353982</v>
      </c>
      <c r="O89" s="564" t="s">
        <v>668</v>
      </c>
      <c r="P89" s="522" t="s">
        <v>676</v>
      </c>
      <c r="Q89" s="564" t="s">
        <v>670</v>
      </c>
      <c r="R89" s="564">
        <v>2</v>
      </c>
    </row>
    <row r="90" spans="1:18" ht="15" customHeight="1" x14ac:dyDescent="0.25">
      <c r="A90" s="564">
        <v>1</v>
      </c>
      <c r="B90" s="564">
        <v>2</v>
      </c>
      <c r="C90" s="564">
        <v>2</v>
      </c>
      <c r="D90" s="564">
        <v>2</v>
      </c>
      <c r="E90" s="564">
        <v>2</v>
      </c>
      <c r="F90" s="564">
        <v>2</v>
      </c>
      <c r="G90" s="553" t="s">
        <v>493</v>
      </c>
      <c r="H90" s="564">
        <v>1375.4749999999999</v>
      </c>
      <c r="I90" s="564">
        <v>0</v>
      </c>
      <c r="J90" s="564">
        <v>19</v>
      </c>
      <c r="K90" s="564">
        <v>47</v>
      </c>
      <c r="L90" s="564">
        <v>4</v>
      </c>
      <c r="M90" s="561" t="s">
        <v>137</v>
      </c>
      <c r="N90" s="520">
        <v>4301353982</v>
      </c>
      <c r="O90" s="564" t="s">
        <v>668</v>
      </c>
      <c r="P90" s="522" t="s">
        <v>677</v>
      </c>
      <c r="Q90" s="564" t="s">
        <v>670</v>
      </c>
      <c r="R90" s="564">
        <v>2</v>
      </c>
    </row>
    <row r="91" spans="1:18" ht="15" customHeight="1" x14ac:dyDescent="0.25">
      <c r="A91" s="564">
        <v>1</v>
      </c>
      <c r="B91" s="564">
        <v>2</v>
      </c>
      <c r="C91" s="564">
        <v>2</v>
      </c>
      <c r="D91" s="564">
        <v>2</v>
      </c>
      <c r="E91" s="564">
        <v>2</v>
      </c>
      <c r="F91" s="564">
        <v>2</v>
      </c>
      <c r="G91" s="553" t="s">
        <v>474</v>
      </c>
      <c r="H91" s="564">
        <v>0</v>
      </c>
      <c r="I91" s="564">
        <v>0</v>
      </c>
      <c r="J91" s="564">
        <v>0</v>
      </c>
      <c r="K91" s="564">
        <v>0</v>
      </c>
      <c r="L91" s="564">
        <v>0</v>
      </c>
      <c r="M91" s="561" t="s">
        <v>137</v>
      </c>
      <c r="N91" s="520">
        <v>4301353982</v>
      </c>
      <c r="O91" s="564" t="s">
        <v>668</v>
      </c>
      <c r="P91" s="522" t="s">
        <v>678</v>
      </c>
      <c r="Q91" s="564" t="s">
        <v>670</v>
      </c>
      <c r="R91" s="564">
        <v>2</v>
      </c>
    </row>
    <row r="92" spans="1:18" ht="15" customHeight="1" x14ac:dyDescent="0.25">
      <c r="A92" s="564">
        <v>1</v>
      </c>
      <c r="B92" s="564">
        <v>2</v>
      </c>
      <c r="C92" s="564">
        <v>2</v>
      </c>
      <c r="D92" s="564">
        <v>2</v>
      </c>
      <c r="E92" s="564">
        <v>2</v>
      </c>
      <c r="F92" s="564">
        <v>2</v>
      </c>
      <c r="G92" s="502" t="s">
        <v>477</v>
      </c>
      <c r="H92" s="564">
        <v>2637.18</v>
      </c>
      <c r="I92" s="564">
        <v>89</v>
      </c>
      <c r="J92" s="564">
        <v>47</v>
      </c>
      <c r="K92" s="564">
        <v>25</v>
      </c>
      <c r="L92" s="564">
        <v>4</v>
      </c>
      <c r="M92" s="561" t="s">
        <v>137</v>
      </c>
      <c r="N92" s="520">
        <v>4301353982</v>
      </c>
      <c r="O92" s="564" t="s">
        <v>668</v>
      </c>
      <c r="P92" s="522" t="s">
        <v>679</v>
      </c>
      <c r="Q92" s="564" t="s">
        <v>670</v>
      </c>
      <c r="R92" s="564">
        <v>2</v>
      </c>
    </row>
    <row r="93" spans="1:18" ht="15" customHeight="1" x14ac:dyDescent="0.25">
      <c r="A93" s="564">
        <v>1</v>
      </c>
      <c r="B93" s="564">
        <v>2</v>
      </c>
      <c r="C93" s="564">
        <v>2</v>
      </c>
      <c r="D93" s="564">
        <v>2</v>
      </c>
      <c r="E93" s="564">
        <v>2</v>
      </c>
      <c r="F93" s="564">
        <v>2</v>
      </c>
      <c r="G93" s="553" t="s">
        <v>479</v>
      </c>
      <c r="H93" s="564">
        <v>2635.18</v>
      </c>
      <c r="I93" s="564">
        <v>89</v>
      </c>
      <c r="J93" s="564">
        <v>32</v>
      </c>
      <c r="K93" s="564">
        <v>13</v>
      </c>
      <c r="L93" s="564">
        <v>4</v>
      </c>
      <c r="M93" s="561" t="s">
        <v>137</v>
      </c>
      <c r="N93" s="520">
        <v>4301353982</v>
      </c>
      <c r="O93" s="564" t="s">
        <v>668</v>
      </c>
      <c r="P93" s="522" t="s">
        <v>680</v>
      </c>
      <c r="Q93" s="564" t="s">
        <v>670</v>
      </c>
      <c r="R93" s="564">
        <v>2</v>
      </c>
    </row>
    <row r="94" spans="1:18" ht="15" customHeight="1" x14ac:dyDescent="0.25">
      <c r="A94" s="564">
        <v>1</v>
      </c>
      <c r="B94" s="564">
        <v>2</v>
      </c>
      <c r="C94" s="564">
        <v>2</v>
      </c>
      <c r="D94" s="564">
        <v>2</v>
      </c>
      <c r="E94" s="564">
        <v>2</v>
      </c>
      <c r="F94" s="564">
        <v>2</v>
      </c>
      <c r="G94" s="553" t="s">
        <v>485</v>
      </c>
      <c r="H94" s="564">
        <v>0</v>
      </c>
      <c r="I94" s="564">
        <v>0</v>
      </c>
      <c r="J94" s="564">
        <v>0</v>
      </c>
      <c r="K94" s="564">
        <v>0</v>
      </c>
      <c r="L94" s="564">
        <v>0</v>
      </c>
      <c r="M94" s="561" t="s">
        <v>137</v>
      </c>
      <c r="N94" s="520">
        <v>4301353982</v>
      </c>
      <c r="O94" s="564" t="s">
        <v>668</v>
      </c>
      <c r="P94" s="522" t="s">
        <v>681</v>
      </c>
      <c r="Q94" s="564" t="s">
        <v>670</v>
      </c>
      <c r="R94" s="564">
        <v>2</v>
      </c>
    </row>
    <row r="95" spans="1:18" ht="15" customHeight="1" x14ac:dyDescent="0.25">
      <c r="A95" s="564">
        <v>1</v>
      </c>
      <c r="B95" s="564">
        <v>2</v>
      </c>
      <c r="C95" s="564">
        <v>2</v>
      </c>
      <c r="D95" s="564">
        <v>2</v>
      </c>
      <c r="E95" s="564">
        <v>2</v>
      </c>
      <c r="F95" s="564">
        <v>2</v>
      </c>
      <c r="G95" s="553" t="s">
        <v>487</v>
      </c>
      <c r="H95" s="564">
        <v>1319.4349999999999</v>
      </c>
      <c r="I95" s="564">
        <v>89</v>
      </c>
      <c r="J95" s="564">
        <v>47</v>
      </c>
      <c r="K95" s="564">
        <v>48</v>
      </c>
      <c r="L95" s="564">
        <v>3</v>
      </c>
      <c r="M95" s="561" t="s">
        <v>137</v>
      </c>
      <c r="N95" s="520">
        <v>4301353982</v>
      </c>
      <c r="O95" s="564" t="s">
        <v>668</v>
      </c>
      <c r="P95" s="522" t="s">
        <v>682</v>
      </c>
      <c r="Q95" s="564" t="s">
        <v>670</v>
      </c>
      <c r="R95" s="564">
        <v>2</v>
      </c>
    </row>
    <row r="96" spans="1:18" ht="15" customHeight="1" x14ac:dyDescent="0.25">
      <c r="A96" s="564">
        <v>1</v>
      </c>
      <c r="B96" s="564">
        <v>2</v>
      </c>
      <c r="C96" s="564">
        <v>2</v>
      </c>
      <c r="D96" s="564">
        <v>2</v>
      </c>
      <c r="E96" s="564">
        <v>2</v>
      </c>
      <c r="F96" s="564">
        <v>2</v>
      </c>
      <c r="G96" s="502" t="s">
        <v>489</v>
      </c>
      <c r="H96" s="564">
        <v>1319.4349999999999</v>
      </c>
      <c r="I96" s="564">
        <v>89</v>
      </c>
      <c r="J96" s="564">
        <v>47</v>
      </c>
      <c r="K96" s="564">
        <v>48</v>
      </c>
      <c r="L96" s="564">
        <v>3</v>
      </c>
      <c r="M96" s="561" t="s">
        <v>137</v>
      </c>
      <c r="N96" s="520">
        <v>4301353982</v>
      </c>
      <c r="O96" s="564" t="s">
        <v>668</v>
      </c>
      <c r="P96" s="522" t="s">
        <v>683</v>
      </c>
      <c r="Q96" s="564" t="s">
        <v>670</v>
      </c>
      <c r="R96" s="564">
        <v>2</v>
      </c>
    </row>
    <row r="97" spans="1:18" ht="15" customHeight="1" x14ac:dyDescent="0.25">
      <c r="A97" s="564">
        <v>1</v>
      </c>
      <c r="B97" s="564">
        <v>2</v>
      </c>
      <c r="C97" s="564">
        <v>2</v>
      </c>
      <c r="D97" s="564">
        <v>2</v>
      </c>
      <c r="E97" s="564">
        <v>2</v>
      </c>
      <c r="F97" s="564">
        <v>2</v>
      </c>
      <c r="G97" s="553" t="s">
        <v>491</v>
      </c>
      <c r="H97" s="564">
        <v>1318.7750000000001</v>
      </c>
      <c r="I97" s="564">
        <v>89</v>
      </c>
      <c r="J97" s="564">
        <v>47</v>
      </c>
      <c r="K97" s="564">
        <v>54</v>
      </c>
      <c r="L97" s="564">
        <v>3</v>
      </c>
      <c r="M97" s="561" t="s">
        <v>137</v>
      </c>
      <c r="N97" s="520">
        <v>4301353982</v>
      </c>
      <c r="O97" s="564" t="s">
        <v>668</v>
      </c>
      <c r="P97" s="522" t="s">
        <v>684</v>
      </c>
      <c r="Q97" s="564" t="s">
        <v>670</v>
      </c>
      <c r="R97" s="564">
        <v>2</v>
      </c>
    </row>
    <row r="98" spans="1:18" ht="15" customHeight="1" x14ac:dyDescent="0.25">
      <c r="A98" s="564">
        <v>1</v>
      </c>
      <c r="B98" s="564">
        <v>2</v>
      </c>
      <c r="C98" s="564">
        <v>2</v>
      </c>
      <c r="D98" s="564">
        <v>2</v>
      </c>
      <c r="E98" s="564">
        <v>2</v>
      </c>
      <c r="F98" s="564">
        <v>2</v>
      </c>
      <c r="G98" s="553" t="s">
        <v>494</v>
      </c>
      <c r="H98" s="564">
        <v>1318.7750000000001</v>
      </c>
      <c r="I98" s="564">
        <v>89</v>
      </c>
      <c r="J98" s="564">
        <v>47</v>
      </c>
      <c r="K98" s="564">
        <v>54</v>
      </c>
      <c r="L98" s="564">
        <v>3</v>
      </c>
      <c r="M98" s="561" t="s">
        <v>137</v>
      </c>
      <c r="N98" s="520">
        <v>4301353982</v>
      </c>
      <c r="O98" s="564" t="s">
        <v>668</v>
      </c>
      <c r="P98" s="522" t="s">
        <v>685</v>
      </c>
      <c r="Q98" s="564" t="s">
        <v>670</v>
      </c>
      <c r="R98" s="564">
        <v>2</v>
      </c>
    </row>
    <row r="99" spans="1:18" ht="15" customHeight="1" x14ac:dyDescent="0.25">
      <c r="A99" s="564">
        <v>1</v>
      </c>
      <c r="B99" s="564">
        <v>4</v>
      </c>
      <c r="C99" s="564">
        <v>2</v>
      </c>
      <c r="D99" s="564">
        <v>1</v>
      </c>
      <c r="E99" s="564">
        <v>2</v>
      </c>
      <c r="F99" s="564">
        <v>2</v>
      </c>
      <c r="G99" s="564" t="s">
        <v>473</v>
      </c>
      <c r="H99" s="564">
        <v>1327.575</v>
      </c>
      <c r="I99" s="564">
        <v>0</v>
      </c>
      <c r="J99" s="564">
        <v>2</v>
      </c>
      <c r="K99" s="564">
        <v>41</v>
      </c>
      <c r="L99" s="564">
        <v>4</v>
      </c>
      <c r="M99" s="561" t="s">
        <v>137</v>
      </c>
      <c r="N99" s="651">
        <v>4304756738</v>
      </c>
      <c r="O99" s="564" t="s">
        <v>686</v>
      </c>
      <c r="P99" s="564" t="s">
        <v>687</v>
      </c>
      <c r="Q99" s="564"/>
      <c r="R99" s="564">
        <v>1</v>
      </c>
    </row>
    <row r="100" spans="1:18" ht="15" customHeight="1" x14ac:dyDescent="0.25">
      <c r="A100" s="564">
        <v>1</v>
      </c>
      <c r="B100" s="564">
        <v>4</v>
      </c>
      <c r="C100" s="564">
        <v>2</v>
      </c>
      <c r="D100" s="564">
        <v>1</v>
      </c>
      <c r="E100" s="564">
        <v>2</v>
      </c>
      <c r="F100" s="564">
        <v>2</v>
      </c>
      <c r="G100" s="521" t="s">
        <v>476</v>
      </c>
      <c r="H100" s="564">
        <v>1327.575</v>
      </c>
      <c r="I100" s="564">
        <v>0</v>
      </c>
      <c r="J100" s="564">
        <v>2</v>
      </c>
      <c r="K100" s="564">
        <v>41</v>
      </c>
      <c r="L100" s="564">
        <v>4</v>
      </c>
      <c r="M100" s="561" t="s">
        <v>137</v>
      </c>
      <c r="N100" s="651">
        <v>4304756738</v>
      </c>
      <c r="O100" s="564" t="s">
        <v>686</v>
      </c>
      <c r="P100" s="564" t="s">
        <v>688</v>
      </c>
      <c r="Q100" s="564"/>
      <c r="R100" s="564">
        <v>1</v>
      </c>
    </row>
    <row r="101" spans="1:18" ht="15" customHeight="1" x14ac:dyDescent="0.25">
      <c r="A101" s="564">
        <v>1</v>
      </c>
      <c r="B101" s="564">
        <v>4</v>
      </c>
      <c r="C101" s="564">
        <v>2</v>
      </c>
      <c r="D101" s="564">
        <v>1</v>
      </c>
      <c r="E101" s="564">
        <v>2</v>
      </c>
      <c r="F101" s="564">
        <v>2</v>
      </c>
      <c r="G101" s="564" t="s">
        <v>478</v>
      </c>
      <c r="H101" s="564">
        <v>1318.345</v>
      </c>
      <c r="I101" s="564">
        <v>0</v>
      </c>
      <c r="J101" s="564">
        <v>1</v>
      </c>
      <c r="K101" s="564">
        <v>12</v>
      </c>
      <c r="L101" s="564">
        <v>4</v>
      </c>
      <c r="M101" s="561" t="s">
        <v>137</v>
      </c>
      <c r="N101" s="651">
        <v>4304756738</v>
      </c>
      <c r="O101" s="564" t="s">
        <v>686</v>
      </c>
      <c r="P101" s="564" t="s">
        <v>689</v>
      </c>
      <c r="Q101" s="564"/>
      <c r="R101" s="564">
        <v>1</v>
      </c>
    </row>
    <row r="102" spans="1:18" ht="15" customHeight="1" x14ac:dyDescent="0.25">
      <c r="A102" s="564">
        <v>1</v>
      </c>
      <c r="B102" s="564">
        <v>4</v>
      </c>
      <c r="C102" s="564">
        <v>2</v>
      </c>
      <c r="D102" s="564">
        <v>1</v>
      </c>
      <c r="E102" s="564">
        <v>2</v>
      </c>
      <c r="F102" s="564">
        <v>2</v>
      </c>
      <c r="G102" s="564" t="s">
        <v>484</v>
      </c>
      <c r="H102" s="564">
        <v>1318.345</v>
      </c>
      <c r="I102" s="564">
        <v>0</v>
      </c>
      <c r="J102" s="564">
        <v>1</v>
      </c>
      <c r="K102" s="564">
        <v>12</v>
      </c>
      <c r="L102" s="564">
        <v>4</v>
      </c>
      <c r="M102" s="561" t="s">
        <v>137</v>
      </c>
      <c r="N102" s="651">
        <v>4304756738</v>
      </c>
      <c r="O102" s="564" t="s">
        <v>686</v>
      </c>
      <c r="P102" s="564" t="s">
        <v>690</v>
      </c>
      <c r="Q102" s="564"/>
      <c r="R102" s="564">
        <v>1</v>
      </c>
    </row>
    <row r="103" spans="1:18" ht="15" customHeight="1" x14ac:dyDescent="0.25">
      <c r="A103" s="564">
        <v>1</v>
      </c>
      <c r="B103" s="564">
        <v>4</v>
      </c>
      <c r="C103" s="564">
        <v>2</v>
      </c>
      <c r="D103" s="564">
        <v>1</v>
      </c>
      <c r="E103" s="564">
        <v>2</v>
      </c>
      <c r="F103" s="564">
        <v>2</v>
      </c>
      <c r="G103" s="564" t="s">
        <v>486</v>
      </c>
      <c r="H103" s="564">
        <v>1308.3599999999999</v>
      </c>
      <c r="I103" s="564">
        <v>0</v>
      </c>
      <c r="J103" s="564">
        <v>39</v>
      </c>
      <c r="K103" s="564">
        <v>54</v>
      </c>
      <c r="L103" s="564">
        <v>2</v>
      </c>
      <c r="M103" s="561" t="s">
        <v>137</v>
      </c>
      <c r="N103" s="651">
        <v>4304756738</v>
      </c>
      <c r="O103" s="564" t="s">
        <v>686</v>
      </c>
      <c r="P103" s="564" t="s">
        <v>691</v>
      </c>
      <c r="Q103" s="564"/>
      <c r="R103" s="564">
        <v>1</v>
      </c>
    </row>
    <row r="104" spans="1:18" ht="15" customHeight="1" x14ac:dyDescent="0.25">
      <c r="A104" s="564">
        <v>1</v>
      </c>
      <c r="B104" s="564">
        <v>4</v>
      </c>
      <c r="C104" s="564">
        <v>2</v>
      </c>
      <c r="D104" s="564">
        <v>1</v>
      </c>
      <c r="E104" s="564">
        <v>2</v>
      </c>
      <c r="F104" s="564">
        <v>2</v>
      </c>
      <c r="G104" s="521" t="s">
        <v>488</v>
      </c>
      <c r="H104" s="564">
        <v>1308.3599999999999</v>
      </c>
      <c r="I104" s="564">
        <v>0</v>
      </c>
      <c r="J104" s="564">
        <v>39</v>
      </c>
      <c r="K104" s="564">
        <v>54</v>
      </c>
      <c r="L104" s="564">
        <v>2</v>
      </c>
      <c r="M104" s="561" t="s">
        <v>137</v>
      </c>
      <c r="N104" s="651">
        <v>4304756738</v>
      </c>
      <c r="O104" s="564" t="s">
        <v>686</v>
      </c>
      <c r="P104" s="564" t="s">
        <v>692</v>
      </c>
      <c r="Q104" s="564"/>
      <c r="R104" s="564">
        <v>1</v>
      </c>
    </row>
    <row r="105" spans="1:18" ht="15" customHeight="1" x14ac:dyDescent="0.25">
      <c r="A105" s="564">
        <v>1</v>
      </c>
      <c r="B105" s="564">
        <v>4</v>
      </c>
      <c r="C105" s="564">
        <v>2</v>
      </c>
      <c r="D105" s="564">
        <v>1</v>
      </c>
      <c r="E105" s="564">
        <v>2</v>
      </c>
      <c r="F105" s="564">
        <v>2</v>
      </c>
      <c r="G105" s="564" t="s">
        <v>490</v>
      </c>
      <c r="H105" s="564">
        <v>1326.2349999999999</v>
      </c>
      <c r="I105" s="564">
        <v>0</v>
      </c>
      <c r="J105" s="564">
        <v>4</v>
      </c>
      <c r="K105" s="564">
        <v>37</v>
      </c>
      <c r="L105" s="564">
        <v>2</v>
      </c>
      <c r="M105" s="561" t="s">
        <v>137</v>
      </c>
      <c r="N105" s="651">
        <v>4304756738</v>
      </c>
      <c r="O105" s="564" t="s">
        <v>686</v>
      </c>
      <c r="P105" s="564" t="s">
        <v>693</v>
      </c>
      <c r="Q105" s="564"/>
      <c r="R105" s="564">
        <v>1</v>
      </c>
    </row>
    <row r="106" spans="1:18" ht="15" customHeight="1" x14ac:dyDescent="0.25">
      <c r="A106" s="564">
        <v>1</v>
      </c>
      <c r="B106" s="564">
        <v>4</v>
      </c>
      <c r="C106" s="564">
        <v>2</v>
      </c>
      <c r="D106" s="564">
        <v>1</v>
      </c>
      <c r="E106" s="564">
        <v>2</v>
      </c>
      <c r="F106" s="564">
        <v>2</v>
      </c>
      <c r="G106" s="564" t="s">
        <v>493</v>
      </c>
      <c r="H106" s="564">
        <v>1326.2349999999999</v>
      </c>
      <c r="I106" s="564">
        <v>0</v>
      </c>
      <c r="J106" s="564">
        <v>4</v>
      </c>
      <c r="K106" s="564">
        <v>37</v>
      </c>
      <c r="L106" s="564">
        <v>2</v>
      </c>
      <c r="M106" s="561" t="s">
        <v>137</v>
      </c>
      <c r="N106" s="651">
        <v>4304756738</v>
      </c>
      <c r="O106" s="564" t="s">
        <v>686</v>
      </c>
      <c r="P106" s="564" t="s">
        <v>694</v>
      </c>
      <c r="Q106" s="564"/>
      <c r="R106" s="564">
        <v>1</v>
      </c>
    </row>
    <row r="107" spans="1:18" ht="15" customHeight="1" x14ac:dyDescent="0.25">
      <c r="A107" s="564">
        <v>1</v>
      </c>
      <c r="B107" s="564">
        <v>4</v>
      </c>
      <c r="C107" s="564">
        <v>2</v>
      </c>
      <c r="D107" s="564">
        <v>1</v>
      </c>
      <c r="E107" s="564">
        <v>2</v>
      </c>
      <c r="F107" s="564">
        <v>2</v>
      </c>
      <c r="G107" s="564" t="s">
        <v>474</v>
      </c>
      <c r="H107" s="564">
        <v>1328.62</v>
      </c>
      <c r="I107" s="564">
        <v>89</v>
      </c>
      <c r="J107" s="564">
        <v>33</v>
      </c>
      <c r="K107" s="564">
        <v>48</v>
      </c>
      <c r="L107" s="564">
        <v>1</v>
      </c>
      <c r="M107" s="561" t="s">
        <v>137</v>
      </c>
      <c r="N107" s="651">
        <v>4304756738</v>
      </c>
      <c r="O107" s="564" t="s">
        <v>686</v>
      </c>
      <c r="P107" s="564" t="s">
        <v>695</v>
      </c>
      <c r="Q107" s="564"/>
      <c r="R107" s="564">
        <v>1</v>
      </c>
    </row>
    <row r="108" spans="1:18" ht="15" customHeight="1" x14ac:dyDescent="0.25">
      <c r="A108" s="564">
        <v>1</v>
      </c>
      <c r="B108" s="564">
        <v>4</v>
      </c>
      <c r="C108" s="564">
        <v>2</v>
      </c>
      <c r="D108" s="564">
        <v>1</v>
      </c>
      <c r="E108" s="564">
        <v>2</v>
      </c>
      <c r="F108" s="564">
        <v>2</v>
      </c>
      <c r="G108" s="521" t="s">
        <v>477</v>
      </c>
      <c r="H108" s="564">
        <v>1328.62</v>
      </c>
      <c r="I108" s="564">
        <v>89</v>
      </c>
      <c r="J108" s="564">
        <v>33</v>
      </c>
      <c r="K108" s="564">
        <v>48</v>
      </c>
      <c r="L108" s="564">
        <v>1</v>
      </c>
      <c r="M108" s="561" t="s">
        <v>137</v>
      </c>
      <c r="N108" s="651">
        <v>4304756738</v>
      </c>
      <c r="O108" s="564" t="s">
        <v>686</v>
      </c>
      <c r="P108" s="564" t="s">
        <v>696</v>
      </c>
      <c r="Q108" s="564"/>
      <c r="R108" s="564">
        <v>1</v>
      </c>
    </row>
    <row r="109" spans="1:18" ht="15" customHeight="1" x14ac:dyDescent="0.25">
      <c r="A109" s="564">
        <v>1</v>
      </c>
      <c r="B109" s="564">
        <v>4</v>
      </c>
      <c r="C109" s="564">
        <v>2</v>
      </c>
      <c r="D109" s="564">
        <v>1</v>
      </c>
      <c r="E109" s="564">
        <v>2</v>
      </c>
      <c r="F109" s="564">
        <v>2</v>
      </c>
      <c r="G109" s="564" t="s">
        <v>479</v>
      </c>
      <c r="H109" s="564">
        <v>1315.42</v>
      </c>
      <c r="I109" s="564">
        <v>89</v>
      </c>
      <c r="J109" s="564">
        <v>24</v>
      </c>
      <c r="K109" s="564">
        <v>8</v>
      </c>
      <c r="L109" s="564">
        <v>1</v>
      </c>
      <c r="M109" s="561" t="s">
        <v>137</v>
      </c>
      <c r="N109" s="651">
        <v>4304756738</v>
      </c>
      <c r="O109" s="564" t="s">
        <v>686</v>
      </c>
      <c r="P109" s="564" t="s">
        <v>697</v>
      </c>
      <c r="Q109" s="564"/>
      <c r="R109" s="564">
        <v>1</v>
      </c>
    </row>
    <row r="110" spans="1:18" ht="15" customHeight="1" x14ac:dyDescent="0.25">
      <c r="A110" s="564">
        <v>1</v>
      </c>
      <c r="B110" s="564">
        <v>4</v>
      </c>
      <c r="C110" s="564">
        <v>2</v>
      </c>
      <c r="D110" s="564">
        <v>1</v>
      </c>
      <c r="E110" s="564">
        <v>2</v>
      </c>
      <c r="F110" s="564">
        <v>2</v>
      </c>
      <c r="G110" s="564" t="s">
        <v>485</v>
      </c>
      <c r="H110" s="564">
        <v>1315.42</v>
      </c>
      <c r="I110" s="564">
        <v>89</v>
      </c>
      <c r="J110" s="564">
        <v>24</v>
      </c>
      <c r="K110" s="564">
        <v>8</v>
      </c>
      <c r="L110" s="564">
        <v>1</v>
      </c>
      <c r="M110" s="561" t="s">
        <v>137</v>
      </c>
      <c r="N110" s="651">
        <v>4304756738</v>
      </c>
      <c r="O110" s="564" t="s">
        <v>686</v>
      </c>
      <c r="P110" s="564" t="s">
        <v>698</v>
      </c>
      <c r="Q110" s="564"/>
      <c r="R110" s="564">
        <v>1</v>
      </c>
    </row>
    <row r="111" spans="1:18" ht="15" customHeight="1" x14ac:dyDescent="0.25">
      <c r="A111" s="564">
        <v>1</v>
      </c>
      <c r="B111" s="564">
        <v>4</v>
      </c>
      <c r="C111" s="564">
        <v>2</v>
      </c>
      <c r="D111" s="564">
        <v>1</v>
      </c>
      <c r="E111" s="564">
        <v>2</v>
      </c>
      <c r="F111" s="564">
        <v>2</v>
      </c>
      <c r="G111" s="564" t="s">
        <v>487</v>
      </c>
      <c r="H111" s="564">
        <v>1317.69</v>
      </c>
      <c r="I111" s="564">
        <v>89</v>
      </c>
      <c r="J111" s="564">
        <v>43</v>
      </c>
      <c r="K111" s="564">
        <v>43</v>
      </c>
      <c r="L111" s="564">
        <v>1</v>
      </c>
      <c r="M111" s="561" t="s">
        <v>137</v>
      </c>
      <c r="N111" s="651">
        <v>4304756738</v>
      </c>
      <c r="O111" s="564" t="s">
        <v>686</v>
      </c>
      <c r="P111" s="564" t="s">
        <v>699</v>
      </c>
      <c r="Q111" s="564"/>
      <c r="R111" s="564">
        <v>1</v>
      </c>
    </row>
    <row r="112" spans="1:18" ht="15" customHeight="1" x14ac:dyDescent="0.25">
      <c r="A112" s="564">
        <v>1</v>
      </c>
      <c r="B112" s="564">
        <v>4</v>
      </c>
      <c r="C112" s="564">
        <v>2</v>
      </c>
      <c r="D112" s="564">
        <v>1</v>
      </c>
      <c r="E112" s="564">
        <v>2</v>
      </c>
      <c r="F112" s="564">
        <v>2</v>
      </c>
      <c r="G112" s="521" t="s">
        <v>489</v>
      </c>
      <c r="H112" s="564">
        <v>1317.69</v>
      </c>
      <c r="I112" s="564">
        <v>89</v>
      </c>
      <c r="J112" s="564">
        <v>43</v>
      </c>
      <c r="K112" s="564">
        <v>43</v>
      </c>
      <c r="L112" s="564">
        <v>1</v>
      </c>
      <c r="M112" s="561" t="s">
        <v>137</v>
      </c>
      <c r="N112" s="651">
        <v>4304756738</v>
      </c>
      <c r="O112" s="564" t="s">
        <v>686</v>
      </c>
      <c r="P112" s="564" t="s">
        <v>700</v>
      </c>
      <c r="Q112" s="564"/>
      <c r="R112" s="564">
        <v>1</v>
      </c>
    </row>
    <row r="113" spans="1:18" ht="15" customHeight="1" x14ac:dyDescent="0.25">
      <c r="A113" s="564">
        <v>1</v>
      </c>
      <c r="B113" s="564">
        <v>4</v>
      </c>
      <c r="C113" s="564">
        <v>2</v>
      </c>
      <c r="D113" s="564">
        <v>1</v>
      </c>
      <c r="E113" s="564">
        <v>2</v>
      </c>
      <c r="F113" s="564">
        <v>2</v>
      </c>
      <c r="G113" s="564" t="s">
        <v>491</v>
      </c>
      <c r="H113" s="564">
        <v>1307.8050000000001</v>
      </c>
      <c r="I113" s="564">
        <v>89</v>
      </c>
      <c r="J113" s="564">
        <v>43</v>
      </c>
      <c r="K113" s="564">
        <v>43</v>
      </c>
      <c r="L113" s="564">
        <v>1</v>
      </c>
      <c r="M113" s="561" t="s">
        <v>137</v>
      </c>
      <c r="N113" s="651">
        <v>4304756738</v>
      </c>
      <c r="O113" s="564" t="s">
        <v>686</v>
      </c>
      <c r="P113" s="564" t="s">
        <v>701</v>
      </c>
      <c r="Q113" s="564"/>
      <c r="R113" s="564">
        <v>1</v>
      </c>
    </row>
    <row r="114" spans="1:18" ht="15" customHeight="1" x14ac:dyDescent="0.25">
      <c r="A114" s="564">
        <v>1</v>
      </c>
      <c r="B114" s="564">
        <v>4</v>
      </c>
      <c r="C114" s="564">
        <v>2</v>
      </c>
      <c r="D114" s="564">
        <v>1</v>
      </c>
      <c r="E114" s="564">
        <v>2</v>
      </c>
      <c r="F114" s="564">
        <v>2</v>
      </c>
      <c r="G114" s="564" t="s">
        <v>494</v>
      </c>
      <c r="H114" s="564">
        <v>1307.8050000000001</v>
      </c>
      <c r="I114" s="564">
        <v>89</v>
      </c>
      <c r="J114" s="564">
        <v>43</v>
      </c>
      <c r="K114" s="564">
        <v>43</v>
      </c>
      <c r="L114" s="564">
        <v>1</v>
      </c>
      <c r="M114" s="561" t="s">
        <v>137</v>
      </c>
      <c r="N114" s="651">
        <v>4304756738</v>
      </c>
      <c r="O114" s="564" t="s">
        <v>686</v>
      </c>
      <c r="P114" s="564" t="s">
        <v>702</v>
      </c>
      <c r="Q114" s="564"/>
      <c r="R114" s="564">
        <v>1</v>
      </c>
    </row>
    <row r="115" spans="1:18" ht="15" customHeight="1" x14ac:dyDescent="0.25">
      <c r="A115" s="553">
        <v>2</v>
      </c>
      <c r="B115" s="553">
        <v>8</v>
      </c>
      <c r="C115" s="553">
        <v>2</v>
      </c>
      <c r="D115" s="553">
        <v>20</v>
      </c>
      <c r="E115" s="553">
        <v>1</v>
      </c>
      <c r="F115" s="553">
        <v>1</v>
      </c>
      <c r="G115" s="553" t="s">
        <v>473</v>
      </c>
      <c r="H115" s="553">
        <v>1328.77</v>
      </c>
      <c r="I115" s="553">
        <v>2</v>
      </c>
      <c r="J115" s="553">
        <v>40</v>
      </c>
      <c r="K115" s="553">
        <v>4</v>
      </c>
      <c r="L115" s="553">
        <v>4</v>
      </c>
      <c r="M115" s="505" t="s">
        <v>137</v>
      </c>
      <c r="N115" s="500">
        <v>43047559070000</v>
      </c>
      <c r="O115" s="553" t="s">
        <v>703</v>
      </c>
      <c r="P115" s="650" t="s">
        <v>704</v>
      </c>
      <c r="Q115" s="564" t="s">
        <v>583</v>
      </c>
      <c r="R115" s="564">
        <v>2</v>
      </c>
    </row>
    <row r="116" spans="1:18" ht="15" customHeight="1" x14ac:dyDescent="0.25">
      <c r="A116" s="553">
        <v>2</v>
      </c>
      <c r="B116" s="553">
        <v>8</v>
      </c>
      <c r="C116" s="553">
        <v>2</v>
      </c>
      <c r="D116" s="553">
        <v>20</v>
      </c>
      <c r="E116" s="553">
        <v>1</v>
      </c>
      <c r="F116" s="553">
        <v>1</v>
      </c>
      <c r="G116" s="502" t="s">
        <v>476</v>
      </c>
      <c r="H116" s="553">
        <v>1328.77</v>
      </c>
      <c r="I116" s="553">
        <v>2</v>
      </c>
      <c r="J116" s="553">
        <v>40</v>
      </c>
      <c r="K116" s="553">
        <v>4</v>
      </c>
      <c r="L116" s="553">
        <v>4</v>
      </c>
      <c r="M116" s="505" t="s">
        <v>137</v>
      </c>
      <c r="N116" s="500">
        <v>43047559070000</v>
      </c>
      <c r="O116" s="553" t="s">
        <v>703</v>
      </c>
      <c r="P116" s="650" t="s">
        <v>705</v>
      </c>
      <c r="Q116" s="564" t="s">
        <v>583</v>
      </c>
      <c r="R116" s="564">
        <v>2</v>
      </c>
    </row>
    <row r="117" spans="1:18" ht="15" customHeight="1" x14ac:dyDescent="0.25">
      <c r="A117" s="553">
        <v>2</v>
      </c>
      <c r="B117" s="553">
        <v>8</v>
      </c>
      <c r="C117" s="553">
        <v>2</v>
      </c>
      <c r="D117" s="553">
        <v>20</v>
      </c>
      <c r="E117" s="553">
        <v>1</v>
      </c>
      <c r="F117" s="553">
        <v>1</v>
      </c>
      <c r="G117" s="553" t="s">
        <v>478</v>
      </c>
      <c r="H117" s="553">
        <v>1320.115</v>
      </c>
      <c r="I117" s="553">
        <v>0</v>
      </c>
      <c r="J117" s="553">
        <v>25</v>
      </c>
      <c r="K117" s="553">
        <v>18</v>
      </c>
      <c r="L117" s="553">
        <v>2</v>
      </c>
      <c r="M117" s="505" t="s">
        <v>137</v>
      </c>
      <c r="N117" s="500">
        <v>43047559070000</v>
      </c>
      <c r="O117" s="553" t="s">
        <v>703</v>
      </c>
      <c r="P117" s="650" t="s">
        <v>706</v>
      </c>
      <c r="Q117" s="564" t="s">
        <v>583</v>
      </c>
      <c r="R117" s="564">
        <v>2</v>
      </c>
    </row>
    <row r="118" spans="1:18" ht="15" customHeight="1" x14ac:dyDescent="0.25">
      <c r="A118" s="553">
        <v>2</v>
      </c>
      <c r="B118" s="553">
        <v>8</v>
      </c>
      <c r="C118" s="553">
        <v>2</v>
      </c>
      <c r="D118" s="553">
        <v>20</v>
      </c>
      <c r="E118" s="553">
        <v>1</v>
      </c>
      <c r="F118" s="553">
        <v>1</v>
      </c>
      <c r="G118" s="553" t="s">
        <v>484</v>
      </c>
      <c r="H118" s="553">
        <v>1320.115</v>
      </c>
      <c r="I118" s="553">
        <v>0</v>
      </c>
      <c r="J118" s="553">
        <v>25</v>
      </c>
      <c r="K118" s="553">
        <v>18</v>
      </c>
      <c r="L118" s="553">
        <v>2</v>
      </c>
      <c r="M118" s="505" t="s">
        <v>137</v>
      </c>
      <c r="N118" s="500">
        <v>43047559070000</v>
      </c>
      <c r="O118" s="553" t="s">
        <v>703</v>
      </c>
      <c r="P118" s="650" t="s">
        <v>707</v>
      </c>
      <c r="Q118" s="564" t="s">
        <v>583</v>
      </c>
      <c r="R118" s="564">
        <v>2</v>
      </c>
    </row>
    <row r="119" spans="1:18" ht="15" customHeight="1" x14ac:dyDescent="0.25">
      <c r="A119" s="553">
        <v>2</v>
      </c>
      <c r="B119" s="553">
        <v>8</v>
      </c>
      <c r="C119" s="553">
        <v>2</v>
      </c>
      <c r="D119" s="553">
        <v>20</v>
      </c>
      <c r="E119" s="553">
        <v>1</v>
      </c>
      <c r="F119" s="553">
        <v>1</v>
      </c>
      <c r="G119" s="553" t="s">
        <v>486</v>
      </c>
      <c r="H119" s="553">
        <v>1311.09</v>
      </c>
      <c r="I119" s="553">
        <v>1</v>
      </c>
      <c r="J119" s="553">
        <v>31</v>
      </c>
      <c r="K119" s="553">
        <v>43</v>
      </c>
      <c r="L119" s="553">
        <v>4</v>
      </c>
      <c r="M119" s="505" t="s">
        <v>137</v>
      </c>
      <c r="N119" s="500">
        <v>43047559070000</v>
      </c>
      <c r="O119" s="553" t="s">
        <v>703</v>
      </c>
      <c r="P119" s="650" t="s">
        <v>708</v>
      </c>
      <c r="Q119" s="564" t="s">
        <v>583</v>
      </c>
      <c r="R119" s="564">
        <v>2</v>
      </c>
    </row>
    <row r="120" spans="1:18" ht="15" customHeight="1" x14ac:dyDescent="0.25">
      <c r="A120" s="553">
        <v>2</v>
      </c>
      <c r="B120" s="553">
        <v>8</v>
      </c>
      <c r="C120" s="553">
        <v>2</v>
      </c>
      <c r="D120" s="553">
        <v>20</v>
      </c>
      <c r="E120" s="553">
        <v>1</v>
      </c>
      <c r="F120" s="553">
        <v>1</v>
      </c>
      <c r="G120" s="502" t="s">
        <v>488</v>
      </c>
      <c r="H120" s="553">
        <v>1311.09</v>
      </c>
      <c r="I120" s="553">
        <v>1</v>
      </c>
      <c r="J120" s="553">
        <v>31</v>
      </c>
      <c r="K120" s="553">
        <v>43</v>
      </c>
      <c r="L120" s="553">
        <v>4</v>
      </c>
      <c r="M120" s="505" t="s">
        <v>137</v>
      </c>
      <c r="N120" s="500">
        <v>43047559070000</v>
      </c>
      <c r="O120" s="553" t="s">
        <v>703</v>
      </c>
      <c r="P120" s="650" t="s">
        <v>709</v>
      </c>
      <c r="Q120" s="564" t="s">
        <v>583</v>
      </c>
      <c r="R120" s="564">
        <v>2</v>
      </c>
    </row>
    <row r="121" spans="1:18" ht="15" customHeight="1" x14ac:dyDescent="0.25">
      <c r="A121" s="553">
        <v>2</v>
      </c>
      <c r="B121" s="553">
        <v>8</v>
      </c>
      <c r="C121" s="553">
        <v>2</v>
      </c>
      <c r="D121" s="553">
        <v>20</v>
      </c>
      <c r="E121" s="553">
        <v>1</v>
      </c>
      <c r="F121" s="553">
        <v>1</v>
      </c>
      <c r="G121" s="553" t="s">
        <v>490</v>
      </c>
      <c r="H121" s="553">
        <v>1311.09</v>
      </c>
      <c r="I121" s="553">
        <v>1</v>
      </c>
      <c r="J121" s="553">
        <v>31</v>
      </c>
      <c r="K121" s="553">
        <v>43</v>
      </c>
      <c r="L121" s="553">
        <v>4</v>
      </c>
      <c r="M121" s="505" t="s">
        <v>137</v>
      </c>
      <c r="N121" s="500">
        <v>43047559070000</v>
      </c>
      <c r="O121" s="553" t="s">
        <v>703</v>
      </c>
      <c r="P121" s="650" t="s">
        <v>710</v>
      </c>
      <c r="Q121" s="564" t="s">
        <v>583</v>
      </c>
      <c r="R121" s="564">
        <v>2</v>
      </c>
    </row>
    <row r="122" spans="1:18" ht="15" customHeight="1" x14ac:dyDescent="0.25">
      <c r="A122" s="553">
        <v>2</v>
      </c>
      <c r="B122" s="553">
        <v>8</v>
      </c>
      <c r="C122" s="553">
        <v>2</v>
      </c>
      <c r="D122" s="553">
        <v>20</v>
      </c>
      <c r="E122" s="553">
        <v>1</v>
      </c>
      <c r="F122" s="553">
        <v>1</v>
      </c>
      <c r="G122" s="553" t="s">
        <v>493</v>
      </c>
      <c r="H122" s="553">
        <v>1311.09</v>
      </c>
      <c r="I122" s="553">
        <v>1</v>
      </c>
      <c r="J122" s="553">
        <v>31</v>
      </c>
      <c r="K122" s="553">
        <v>43</v>
      </c>
      <c r="L122" s="553">
        <v>4</v>
      </c>
      <c r="M122" s="505" t="s">
        <v>137</v>
      </c>
      <c r="N122" s="500">
        <v>43047559070000</v>
      </c>
      <c r="O122" s="553" t="s">
        <v>703</v>
      </c>
      <c r="P122" s="650" t="s">
        <v>711</v>
      </c>
      <c r="Q122" s="564" t="s">
        <v>583</v>
      </c>
      <c r="R122" s="564">
        <v>2</v>
      </c>
    </row>
    <row r="123" spans="1:18" ht="15" customHeight="1" x14ac:dyDescent="0.25">
      <c r="A123" s="553">
        <v>2</v>
      </c>
      <c r="B123" s="553">
        <v>8</v>
      </c>
      <c r="C123" s="553">
        <v>2</v>
      </c>
      <c r="D123" s="553">
        <v>20</v>
      </c>
      <c r="E123" s="553">
        <v>1</v>
      </c>
      <c r="F123" s="553">
        <v>1</v>
      </c>
      <c r="G123" s="553" t="s">
        <v>474</v>
      </c>
      <c r="H123" s="553">
        <v>1315.7349999999999</v>
      </c>
      <c r="I123" s="553">
        <v>89</v>
      </c>
      <c r="J123" s="553">
        <v>47</v>
      </c>
      <c r="K123" s="553">
        <v>10</v>
      </c>
      <c r="L123" s="553">
        <v>3</v>
      </c>
      <c r="M123" s="505" t="s">
        <v>137</v>
      </c>
      <c r="N123" s="500">
        <v>43047559070000</v>
      </c>
      <c r="O123" s="553" t="s">
        <v>703</v>
      </c>
      <c r="P123" s="650" t="s">
        <v>712</v>
      </c>
      <c r="Q123" s="564" t="s">
        <v>583</v>
      </c>
      <c r="R123" s="564">
        <v>2</v>
      </c>
    </row>
    <row r="124" spans="1:18" ht="15" customHeight="1" x14ac:dyDescent="0.25">
      <c r="A124" s="553">
        <v>2</v>
      </c>
      <c r="B124" s="553">
        <v>8</v>
      </c>
      <c r="C124" s="553">
        <v>2</v>
      </c>
      <c r="D124" s="553">
        <v>20</v>
      </c>
      <c r="E124" s="553">
        <v>1</v>
      </c>
      <c r="F124" s="553">
        <v>1</v>
      </c>
      <c r="G124" s="502" t="s">
        <v>477</v>
      </c>
      <c r="H124" s="553">
        <v>1315.7349999999999</v>
      </c>
      <c r="I124" s="553">
        <v>89</v>
      </c>
      <c r="J124" s="553">
        <v>47</v>
      </c>
      <c r="K124" s="553">
        <v>10</v>
      </c>
      <c r="L124" s="553">
        <v>3</v>
      </c>
      <c r="M124" s="505" t="s">
        <v>137</v>
      </c>
      <c r="N124" s="500">
        <v>43047559070000</v>
      </c>
      <c r="O124" s="553" t="s">
        <v>703</v>
      </c>
      <c r="P124" s="650" t="s">
        <v>713</v>
      </c>
      <c r="Q124" s="564" t="s">
        <v>583</v>
      </c>
      <c r="R124" s="564">
        <v>2</v>
      </c>
    </row>
    <row r="125" spans="1:18" ht="15" customHeight="1" x14ac:dyDescent="0.25">
      <c r="A125" s="553">
        <v>2</v>
      </c>
      <c r="B125" s="553">
        <v>8</v>
      </c>
      <c r="C125" s="553">
        <v>2</v>
      </c>
      <c r="D125" s="553">
        <v>20</v>
      </c>
      <c r="E125" s="553">
        <v>1</v>
      </c>
      <c r="F125" s="553">
        <v>1</v>
      </c>
      <c r="G125" s="553" t="s">
        <v>479</v>
      </c>
      <c r="H125" s="553">
        <v>1315.675</v>
      </c>
      <c r="I125" s="553">
        <v>89</v>
      </c>
      <c r="J125" s="553">
        <v>47</v>
      </c>
      <c r="K125" s="553">
        <v>33</v>
      </c>
      <c r="L125" s="553">
        <v>3</v>
      </c>
      <c r="M125" s="505" t="s">
        <v>137</v>
      </c>
      <c r="N125" s="500">
        <v>43047559070000</v>
      </c>
      <c r="O125" s="553" t="s">
        <v>703</v>
      </c>
      <c r="P125" s="650" t="s">
        <v>714</v>
      </c>
      <c r="Q125" s="564" t="s">
        <v>583</v>
      </c>
      <c r="R125" s="564">
        <v>2</v>
      </c>
    </row>
    <row r="126" spans="1:18" ht="15" customHeight="1" x14ac:dyDescent="0.25">
      <c r="A126" s="553">
        <v>2</v>
      </c>
      <c r="B126" s="553">
        <v>8</v>
      </c>
      <c r="C126" s="553">
        <v>2</v>
      </c>
      <c r="D126" s="553">
        <v>20</v>
      </c>
      <c r="E126" s="553">
        <v>1</v>
      </c>
      <c r="F126" s="553">
        <v>1</v>
      </c>
      <c r="G126" s="553" t="s">
        <v>485</v>
      </c>
      <c r="H126" s="553">
        <v>1315.675</v>
      </c>
      <c r="I126" s="553">
        <v>89</v>
      </c>
      <c r="J126" s="553">
        <v>47</v>
      </c>
      <c r="K126" s="553">
        <v>33</v>
      </c>
      <c r="L126" s="553">
        <v>3</v>
      </c>
      <c r="M126" s="505" t="s">
        <v>137</v>
      </c>
      <c r="N126" s="500">
        <v>43047559070000</v>
      </c>
      <c r="O126" s="553" t="s">
        <v>703</v>
      </c>
      <c r="P126" s="650" t="s">
        <v>715</v>
      </c>
      <c r="Q126" s="564" t="s">
        <v>583</v>
      </c>
      <c r="R126" s="564">
        <v>2</v>
      </c>
    </row>
    <row r="127" spans="1:18" ht="15" customHeight="1" x14ac:dyDescent="0.25">
      <c r="A127" s="553">
        <v>2</v>
      </c>
      <c r="B127" s="553">
        <v>8</v>
      </c>
      <c r="C127" s="553">
        <v>2</v>
      </c>
      <c r="D127" s="553">
        <v>20</v>
      </c>
      <c r="E127" s="553">
        <v>1</v>
      </c>
      <c r="F127" s="553">
        <v>1</v>
      </c>
      <c r="G127" s="553" t="s">
        <v>487</v>
      </c>
      <c r="H127" s="553">
        <v>1324.7275</v>
      </c>
      <c r="I127" s="553">
        <v>89</v>
      </c>
      <c r="J127" s="553">
        <v>13</v>
      </c>
      <c r="K127" s="553">
        <v>30</v>
      </c>
      <c r="L127" s="553">
        <v>3</v>
      </c>
      <c r="M127" s="505" t="s">
        <v>137</v>
      </c>
      <c r="N127" s="500">
        <v>43047559070000</v>
      </c>
      <c r="O127" s="553" t="s">
        <v>703</v>
      </c>
      <c r="P127" s="650" t="s">
        <v>716</v>
      </c>
      <c r="Q127" s="564" t="s">
        <v>583</v>
      </c>
      <c r="R127" s="564">
        <v>2</v>
      </c>
    </row>
    <row r="128" spans="1:18" ht="15" customHeight="1" x14ac:dyDescent="0.25">
      <c r="A128" s="553">
        <v>2</v>
      </c>
      <c r="B128" s="553">
        <v>8</v>
      </c>
      <c r="C128" s="553">
        <v>2</v>
      </c>
      <c r="D128" s="553">
        <v>20</v>
      </c>
      <c r="E128" s="553">
        <v>1</v>
      </c>
      <c r="F128" s="553">
        <v>1</v>
      </c>
      <c r="G128" s="502" t="s">
        <v>489</v>
      </c>
      <c r="H128" s="553">
        <v>1324.7275</v>
      </c>
      <c r="I128" s="553">
        <v>89</v>
      </c>
      <c r="J128" s="553">
        <v>13</v>
      </c>
      <c r="K128" s="553">
        <v>30</v>
      </c>
      <c r="L128" s="553">
        <v>3</v>
      </c>
      <c r="M128" s="505" t="s">
        <v>137</v>
      </c>
      <c r="N128" s="500">
        <v>43047559070000</v>
      </c>
      <c r="O128" s="553" t="s">
        <v>703</v>
      </c>
      <c r="P128" s="650" t="s">
        <v>717</v>
      </c>
      <c r="Q128" s="564" t="s">
        <v>583</v>
      </c>
      <c r="R128" s="564">
        <v>2</v>
      </c>
    </row>
    <row r="129" spans="1:18" ht="15" customHeight="1" x14ac:dyDescent="0.25">
      <c r="A129" s="553">
        <v>2</v>
      </c>
      <c r="B129" s="553">
        <v>8</v>
      </c>
      <c r="C129" s="553">
        <v>2</v>
      </c>
      <c r="D129" s="553">
        <v>20</v>
      </c>
      <c r="E129" s="553">
        <v>1</v>
      </c>
      <c r="F129" s="553">
        <v>1</v>
      </c>
      <c r="G129" s="553" t="s">
        <v>491</v>
      </c>
      <c r="H129" s="553">
        <v>1324.7275</v>
      </c>
      <c r="I129" s="553">
        <v>89</v>
      </c>
      <c r="J129" s="553">
        <v>13</v>
      </c>
      <c r="K129" s="553">
        <v>30</v>
      </c>
      <c r="L129" s="553">
        <v>3</v>
      </c>
      <c r="M129" s="505" t="s">
        <v>137</v>
      </c>
      <c r="N129" s="500">
        <v>43047559070000</v>
      </c>
      <c r="O129" s="553" t="s">
        <v>703</v>
      </c>
      <c r="P129" s="650" t="s">
        <v>718</v>
      </c>
      <c r="Q129" s="564" t="s">
        <v>583</v>
      </c>
      <c r="R129" s="564">
        <v>2</v>
      </c>
    </row>
    <row r="130" spans="1:18" ht="15" customHeight="1" x14ac:dyDescent="0.25">
      <c r="A130" s="553">
        <v>2</v>
      </c>
      <c r="B130" s="553">
        <v>8</v>
      </c>
      <c r="C130" s="553">
        <v>2</v>
      </c>
      <c r="D130" s="553">
        <v>20</v>
      </c>
      <c r="E130" s="553">
        <v>1</v>
      </c>
      <c r="F130" s="553">
        <v>1</v>
      </c>
      <c r="G130" s="553" t="s">
        <v>494</v>
      </c>
      <c r="H130" s="553">
        <v>1324.7275</v>
      </c>
      <c r="I130" s="553">
        <v>89</v>
      </c>
      <c r="J130" s="553">
        <v>13</v>
      </c>
      <c r="K130" s="553">
        <v>30</v>
      </c>
      <c r="L130" s="553">
        <v>3</v>
      </c>
      <c r="M130" s="505" t="s">
        <v>137</v>
      </c>
      <c r="N130" s="500">
        <v>43047559070000</v>
      </c>
      <c r="O130" s="553" t="s">
        <v>703</v>
      </c>
      <c r="P130" s="650" t="s">
        <v>719</v>
      </c>
      <c r="Q130" s="564" t="s">
        <v>583</v>
      </c>
      <c r="R130" s="564">
        <v>2</v>
      </c>
    </row>
    <row r="131" spans="1:18" ht="15" customHeight="1" x14ac:dyDescent="0.25">
      <c r="A131" s="553">
        <v>2</v>
      </c>
      <c r="B131" s="553">
        <v>2</v>
      </c>
      <c r="C131" s="553">
        <v>2</v>
      </c>
      <c r="D131" s="553">
        <v>3</v>
      </c>
      <c r="E131" s="553">
        <v>2</v>
      </c>
      <c r="F131" s="553">
        <v>2</v>
      </c>
      <c r="G131" s="553" t="s">
        <v>473</v>
      </c>
      <c r="H131" s="553">
        <v>1335.2750000000001</v>
      </c>
      <c r="I131" s="553">
        <v>0</v>
      </c>
      <c r="J131" s="553">
        <v>1</v>
      </c>
      <c r="K131" s="553">
        <v>43</v>
      </c>
      <c r="L131" s="553">
        <v>2</v>
      </c>
      <c r="M131" s="505" t="s">
        <v>137</v>
      </c>
      <c r="N131" s="500">
        <v>43013538670000</v>
      </c>
      <c r="O131" s="553" t="s">
        <v>599</v>
      </c>
      <c r="P131" s="650" t="s">
        <v>720</v>
      </c>
      <c r="Q131" s="564" t="s">
        <v>583</v>
      </c>
      <c r="R131" s="564">
        <v>1</v>
      </c>
    </row>
    <row r="132" spans="1:18" ht="15" customHeight="1" x14ac:dyDescent="0.25">
      <c r="A132" s="553">
        <v>2</v>
      </c>
      <c r="B132" s="553">
        <v>2</v>
      </c>
      <c r="C132" s="553">
        <v>2</v>
      </c>
      <c r="D132" s="553">
        <v>3</v>
      </c>
      <c r="E132" s="553">
        <v>2</v>
      </c>
      <c r="F132" s="553">
        <v>2</v>
      </c>
      <c r="G132" s="502" t="s">
        <v>476</v>
      </c>
      <c r="H132" s="553">
        <v>1335.2750000000001</v>
      </c>
      <c r="I132" s="553">
        <v>0</v>
      </c>
      <c r="J132" s="553">
        <v>1</v>
      </c>
      <c r="K132" s="553">
        <v>43</v>
      </c>
      <c r="L132" s="553">
        <v>2</v>
      </c>
      <c r="M132" s="505" t="s">
        <v>137</v>
      </c>
      <c r="N132" s="500">
        <v>43013538670000</v>
      </c>
      <c r="O132" s="553" t="s">
        <v>599</v>
      </c>
      <c r="P132" s="650" t="s">
        <v>721</v>
      </c>
      <c r="Q132" s="564" t="s">
        <v>583</v>
      </c>
      <c r="R132" s="564">
        <v>1</v>
      </c>
    </row>
    <row r="133" spans="1:18" ht="15" customHeight="1" x14ac:dyDescent="0.25">
      <c r="A133" s="553">
        <v>2</v>
      </c>
      <c r="B133" s="553">
        <v>2</v>
      </c>
      <c r="C133" s="553">
        <v>2</v>
      </c>
      <c r="D133" s="553">
        <v>3</v>
      </c>
      <c r="E133" s="553">
        <v>2</v>
      </c>
      <c r="F133" s="553">
        <v>2</v>
      </c>
      <c r="G133" s="553" t="s">
        <v>478</v>
      </c>
      <c r="H133" s="553">
        <v>1340.385</v>
      </c>
      <c r="I133" s="553">
        <v>0</v>
      </c>
      <c r="J133" s="553">
        <v>3</v>
      </c>
      <c r="K133" s="553">
        <v>49</v>
      </c>
      <c r="L133" s="553">
        <v>4</v>
      </c>
      <c r="M133" s="505" t="s">
        <v>137</v>
      </c>
      <c r="N133" s="500">
        <v>43013538670000</v>
      </c>
      <c r="O133" s="553" t="s">
        <v>599</v>
      </c>
      <c r="P133" s="650" t="s">
        <v>722</v>
      </c>
      <c r="Q133" s="564" t="s">
        <v>583</v>
      </c>
      <c r="R133" s="564">
        <v>1</v>
      </c>
    </row>
    <row r="134" spans="1:18" ht="15" customHeight="1" x14ac:dyDescent="0.25">
      <c r="A134" s="553">
        <v>2</v>
      </c>
      <c r="B134" s="553">
        <v>2</v>
      </c>
      <c r="C134" s="553">
        <v>2</v>
      </c>
      <c r="D134" s="553">
        <v>3</v>
      </c>
      <c r="E134" s="553">
        <v>2</v>
      </c>
      <c r="F134" s="553">
        <v>2</v>
      </c>
      <c r="G134" s="553" t="s">
        <v>484</v>
      </c>
      <c r="H134" s="553">
        <v>1340.385</v>
      </c>
      <c r="I134" s="553">
        <v>0</v>
      </c>
      <c r="J134" s="553">
        <v>3</v>
      </c>
      <c r="K134" s="553">
        <v>49</v>
      </c>
      <c r="L134" s="553">
        <v>4</v>
      </c>
      <c r="M134" s="505" t="s">
        <v>137</v>
      </c>
      <c r="N134" s="500">
        <v>43013538670000</v>
      </c>
      <c r="O134" s="553" t="s">
        <v>599</v>
      </c>
      <c r="P134" s="650" t="s">
        <v>723</v>
      </c>
      <c r="Q134" s="564" t="s">
        <v>583</v>
      </c>
      <c r="R134" s="564">
        <v>1</v>
      </c>
    </row>
    <row r="135" spans="1:18" ht="15" customHeight="1" x14ac:dyDescent="0.25">
      <c r="A135" s="553">
        <v>2</v>
      </c>
      <c r="B135" s="553">
        <v>2</v>
      </c>
      <c r="C135" s="553">
        <v>2</v>
      </c>
      <c r="D135" s="553">
        <v>3</v>
      </c>
      <c r="E135" s="553">
        <v>2</v>
      </c>
      <c r="F135" s="553">
        <v>2</v>
      </c>
      <c r="G135" s="553" t="s">
        <v>486</v>
      </c>
      <c r="H135" s="553">
        <v>1332.97</v>
      </c>
      <c r="I135" s="553">
        <v>0</v>
      </c>
      <c r="J135" s="553">
        <v>15</v>
      </c>
      <c r="K135" s="553">
        <v>37</v>
      </c>
      <c r="L135" s="553">
        <v>2</v>
      </c>
      <c r="M135" s="505" t="s">
        <v>137</v>
      </c>
      <c r="N135" s="500">
        <v>43013538670000</v>
      </c>
      <c r="O135" s="553" t="s">
        <v>599</v>
      </c>
      <c r="P135" s="650" t="s">
        <v>724</v>
      </c>
      <c r="Q135" s="564" t="s">
        <v>583</v>
      </c>
      <c r="R135" s="564">
        <v>1</v>
      </c>
    </row>
    <row r="136" spans="1:18" ht="15" customHeight="1" x14ac:dyDescent="0.25">
      <c r="A136" s="553">
        <v>2</v>
      </c>
      <c r="B136" s="553">
        <v>2</v>
      </c>
      <c r="C136" s="553">
        <v>2</v>
      </c>
      <c r="D136" s="553">
        <v>3</v>
      </c>
      <c r="E136" s="553">
        <v>2</v>
      </c>
      <c r="F136" s="553">
        <v>2</v>
      </c>
      <c r="G136" s="502" t="s">
        <v>488</v>
      </c>
      <c r="H136" s="553">
        <v>1332.97</v>
      </c>
      <c r="I136" s="553">
        <v>0</v>
      </c>
      <c r="J136" s="553">
        <v>15</v>
      </c>
      <c r="K136" s="553">
        <v>37</v>
      </c>
      <c r="L136" s="553">
        <v>2</v>
      </c>
      <c r="M136" s="505" t="s">
        <v>137</v>
      </c>
      <c r="N136" s="500">
        <v>43013538670000</v>
      </c>
      <c r="O136" s="553" t="s">
        <v>599</v>
      </c>
      <c r="P136" s="650" t="s">
        <v>725</v>
      </c>
      <c r="Q136" s="564" t="s">
        <v>583</v>
      </c>
      <c r="R136" s="564">
        <v>1</v>
      </c>
    </row>
    <row r="137" spans="1:18" ht="15" customHeight="1" x14ac:dyDescent="0.25">
      <c r="A137" s="553">
        <v>2</v>
      </c>
      <c r="B137" s="553">
        <v>2</v>
      </c>
      <c r="C137" s="553">
        <v>2</v>
      </c>
      <c r="D137" s="553">
        <v>3</v>
      </c>
      <c r="E137" s="553">
        <v>2</v>
      </c>
      <c r="F137" s="553">
        <v>2</v>
      </c>
      <c r="G137" s="553" t="s">
        <v>490</v>
      </c>
      <c r="H137" s="553">
        <v>1332.97</v>
      </c>
      <c r="I137" s="553">
        <v>0</v>
      </c>
      <c r="J137" s="553">
        <v>15</v>
      </c>
      <c r="K137" s="553">
        <v>37</v>
      </c>
      <c r="L137" s="553">
        <v>2</v>
      </c>
      <c r="M137" s="505" t="s">
        <v>137</v>
      </c>
      <c r="N137" s="500">
        <v>43013538670000</v>
      </c>
      <c r="O137" s="553" t="s">
        <v>599</v>
      </c>
      <c r="P137" s="650" t="s">
        <v>726</v>
      </c>
      <c r="Q137" s="564" t="s">
        <v>583</v>
      </c>
      <c r="R137" s="564">
        <v>1</v>
      </c>
    </row>
    <row r="138" spans="1:18" ht="15" customHeight="1" x14ac:dyDescent="0.25">
      <c r="A138" s="553">
        <v>2</v>
      </c>
      <c r="B138" s="553">
        <v>2</v>
      </c>
      <c r="C138" s="553">
        <v>2</v>
      </c>
      <c r="D138" s="553">
        <v>3</v>
      </c>
      <c r="E138" s="553">
        <v>2</v>
      </c>
      <c r="F138" s="553">
        <v>2</v>
      </c>
      <c r="G138" s="553" t="s">
        <v>493</v>
      </c>
      <c r="H138" s="553">
        <v>1332.97</v>
      </c>
      <c r="I138" s="553">
        <v>0</v>
      </c>
      <c r="J138" s="553">
        <v>15</v>
      </c>
      <c r="K138" s="553">
        <v>37</v>
      </c>
      <c r="L138" s="553">
        <v>2</v>
      </c>
      <c r="M138" s="505" t="s">
        <v>137</v>
      </c>
      <c r="N138" s="500">
        <v>43013538670000</v>
      </c>
      <c r="O138" s="553" t="s">
        <v>599</v>
      </c>
      <c r="P138" s="650" t="s">
        <v>727</v>
      </c>
      <c r="Q138" s="564" t="s">
        <v>583</v>
      </c>
      <c r="R138" s="564">
        <v>1</v>
      </c>
    </row>
    <row r="139" spans="1:18" ht="15" customHeight="1" x14ac:dyDescent="0.25">
      <c r="A139" s="553">
        <v>2</v>
      </c>
      <c r="B139" s="553">
        <v>2</v>
      </c>
      <c r="C139" s="553">
        <v>2</v>
      </c>
      <c r="D139" s="553">
        <v>3</v>
      </c>
      <c r="E139" s="553">
        <v>2</v>
      </c>
      <c r="F139" s="553">
        <v>2</v>
      </c>
      <c r="G139" s="553" t="s">
        <v>474</v>
      </c>
      <c r="H139" s="553">
        <v>1321.82</v>
      </c>
      <c r="I139" s="553">
        <v>89</v>
      </c>
      <c r="J139" s="553">
        <v>44</v>
      </c>
      <c r="K139" s="553">
        <v>9</v>
      </c>
      <c r="L139" s="553">
        <v>4</v>
      </c>
      <c r="M139" s="505" t="s">
        <v>137</v>
      </c>
      <c r="N139" s="500">
        <v>43013538670000</v>
      </c>
      <c r="O139" s="553" t="s">
        <v>599</v>
      </c>
      <c r="P139" s="650" t="s">
        <v>728</v>
      </c>
      <c r="Q139" s="564" t="s">
        <v>583</v>
      </c>
      <c r="R139" s="564">
        <v>1</v>
      </c>
    </row>
    <row r="140" spans="1:18" ht="15" customHeight="1" x14ac:dyDescent="0.25">
      <c r="A140" s="553">
        <v>2</v>
      </c>
      <c r="B140" s="553">
        <v>2</v>
      </c>
      <c r="C140" s="553">
        <v>2</v>
      </c>
      <c r="D140" s="553">
        <v>3</v>
      </c>
      <c r="E140" s="553">
        <v>2</v>
      </c>
      <c r="F140" s="553">
        <v>2</v>
      </c>
      <c r="G140" s="502" t="s">
        <v>477</v>
      </c>
      <c r="H140" s="553">
        <v>1323.46</v>
      </c>
      <c r="I140" s="553">
        <v>89</v>
      </c>
      <c r="J140" s="553">
        <v>44</v>
      </c>
      <c r="K140" s="553">
        <v>33</v>
      </c>
      <c r="L140" s="553">
        <v>4</v>
      </c>
      <c r="M140" s="505" t="s">
        <v>137</v>
      </c>
      <c r="N140" s="500">
        <v>43013538670000</v>
      </c>
      <c r="O140" s="553" t="s">
        <v>599</v>
      </c>
      <c r="P140" s="650" t="s">
        <v>729</v>
      </c>
      <c r="Q140" s="564" t="s">
        <v>583</v>
      </c>
      <c r="R140" s="564">
        <v>1</v>
      </c>
    </row>
    <row r="141" spans="1:18" ht="15" customHeight="1" x14ac:dyDescent="0.25">
      <c r="A141" s="553">
        <v>2</v>
      </c>
      <c r="B141" s="553">
        <v>2</v>
      </c>
      <c r="C141" s="553">
        <v>2</v>
      </c>
      <c r="D141" s="553">
        <v>3</v>
      </c>
      <c r="E141" s="553">
        <v>2</v>
      </c>
      <c r="F141" s="553">
        <v>2</v>
      </c>
      <c r="G141" s="553" t="s">
        <v>479</v>
      </c>
      <c r="H141" s="553">
        <v>1323.07</v>
      </c>
      <c r="I141" s="553">
        <v>89</v>
      </c>
      <c r="J141" s="553">
        <v>44</v>
      </c>
      <c r="K141" s="553">
        <v>4</v>
      </c>
      <c r="L141" s="553">
        <v>4</v>
      </c>
      <c r="M141" s="505" t="s">
        <v>137</v>
      </c>
      <c r="N141" s="500">
        <v>43013538670000</v>
      </c>
      <c r="O141" s="553" t="s">
        <v>599</v>
      </c>
      <c r="P141" s="650" t="s">
        <v>730</v>
      </c>
      <c r="Q141" s="564" t="s">
        <v>583</v>
      </c>
      <c r="R141" s="564">
        <v>1</v>
      </c>
    </row>
    <row r="142" spans="1:18" ht="15" customHeight="1" x14ac:dyDescent="0.25">
      <c r="A142" s="553">
        <v>2</v>
      </c>
      <c r="B142" s="553">
        <v>2</v>
      </c>
      <c r="C142" s="553">
        <v>2</v>
      </c>
      <c r="D142" s="553">
        <v>3</v>
      </c>
      <c r="E142" s="553">
        <v>2</v>
      </c>
      <c r="F142" s="553">
        <v>2</v>
      </c>
      <c r="G142" s="553" t="s">
        <v>485</v>
      </c>
      <c r="H142" s="553">
        <v>1322.91</v>
      </c>
      <c r="I142" s="553">
        <v>89</v>
      </c>
      <c r="J142" s="553">
        <v>45</v>
      </c>
      <c r="K142" s="553">
        <v>39</v>
      </c>
      <c r="L142" s="553">
        <v>4</v>
      </c>
      <c r="M142" s="505" t="s">
        <v>137</v>
      </c>
      <c r="N142" s="500">
        <v>43013538670000</v>
      </c>
      <c r="O142" s="553" t="s">
        <v>599</v>
      </c>
      <c r="P142" s="650" t="s">
        <v>731</v>
      </c>
      <c r="Q142" s="564" t="s">
        <v>583</v>
      </c>
      <c r="R142" s="564">
        <v>1</v>
      </c>
    </row>
    <row r="143" spans="1:18" ht="15" customHeight="1" x14ac:dyDescent="0.25">
      <c r="A143" s="553">
        <v>2</v>
      </c>
      <c r="B143" s="553">
        <v>2</v>
      </c>
      <c r="C143" s="553">
        <v>2</v>
      </c>
      <c r="D143" s="553">
        <v>3</v>
      </c>
      <c r="E143" s="553">
        <v>2</v>
      </c>
      <c r="F143" s="553">
        <v>2</v>
      </c>
      <c r="G143" s="553" t="s">
        <v>487</v>
      </c>
      <c r="H143" s="553">
        <v>1316.335</v>
      </c>
      <c r="I143" s="553">
        <v>89</v>
      </c>
      <c r="J143" s="553">
        <v>57</v>
      </c>
      <c r="K143" s="553">
        <v>16</v>
      </c>
      <c r="L143" s="553">
        <v>4</v>
      </c>
      <c r="M143" s="505" t="s">
        <v>137</v>
      </c>
      <c r="N143" s="500">
        <v>43013538670000</v>
      </c>
      <c r="O143" s="553" t="s">
        <v>599</v>
      </c>
      <c r="P143" s="650" t="s">
        <v>732</v>
      </c>
      <c r="Q143" s="564" t="s">
        <v>583</v>
      </c>
      <c r="R143" s="564">
        <v>1</v>
      </c>
    </row>
    <row r="144" spans="1:18" ht="15" customHeight="1" x14ac:dyDescent="0.25">
      <c r="A144" s="553">
        <v>2</v>
      </c>
      <c r="B144" s="553">
        <v>2</v>
      </c>
      <c r="C144" s="553">
        <v>2</v>
      </c>
      <c r="D144" s="553">
        <v>3</v>
      </c>
      <c r="E144" s="553">
        <v>2</v>
      </c>
      <c r="F144" s="553">
        <v>2</v>
      </c>
      <c r="G144" s="502" t="s">
        <v>489</v>
      </c>
      <c r="H144" s="553">
        <v>1316.335</v>
      </c>
      <c r="I144" s="553">
        <v>89</v>
      </c>
      <c r="J144" s="553">
        <v>57</v>
      </c>
      <c r="K144" s="553">
        <v>16</v>
      </c>
      <c r="L144" s="553">
        <v>4</v>
      </c>
      <c r="M144" s="505" t="s">
        <v>137</v>
      </c>
      <c r="N144" s="500">
        <v>43013538670000</v>
      </c>
      <c r="O144" s="553" t="s">
        <v>599</v>
      </c>
      <c r="P144" s="650" t="s">
        <v>733</v>
      </c>
      <c r="Q144" s="564" t="s">
        <v>583</v>
      </c>
      <c r="R144" s="564">
        <v>1</v>
      </c>
    </row>
    <row r="145" spans="1:18" ht="15" customHeight="1" x14ac:dyDescent="0.25">
      <c r="A145" s="553">
        <v>2</v>
      </c>
      <c r="B145" s="553">
        <v>2</v>
      </c>
      <c r="C145" s="553">
        <v>2</v>
      </c>
      <c r="D145" s="553">
        <v>3</v>
      </c>
      <c r="E145" s="553">
        <v>2</v>
      </c>
      <c r="F145" s="553">
        <v>2</v>
      </c>
      <c r="G145" s="553" t="s">
        <v>491</v>
      </c>
      <c r="H145" s="553">
        <v>1316.335</v>
      </c>
      <c r="I145" s="553">
        <v>89</v>
      </c>
      <c r="J145" s="553">
        <v>57</v>
      </c>
      <c r="K145" s="553">
        <v>16</v>
      </c>
      <c r="L145" s="553">
        <v>4</v>
      </c>
      <c r="M145" s="505" t="s">
        <v>137</v>
      </c>
      <c r="N145" s="500">
        <v>43013538670000</v>
      </c>
      <c r="O145" s="553" t="s">
        <v>599</v>
      </c>
      <c r="P145" s="650" t="s">
        <v>734</v>
      </c>
      <c r="Q145" s="564" t="s">
        <v>583</v>
      </c>
      <c r="R145" s="564">
        <v>1</v>
      </c>
    </row>
    <row r="146" spans="1:18" ht="15" customHeight="1" x14ac:dyDescent="0.25">
      <c r="A146" s="553">
        <v>2</v>
      </c>
      <c r="B146" s="553">
        <v>2</v>
      </c>
      <c r="C146" s="553">
        <v>2</v>
      </c>
      <c r="D146" s="553">
        <v>3</v>
      </c>
      <c r="E146" s="553">
        <v>2</v>
      </c>
      <c r="F146" s="553">
        <v>2</v>
      </c>
      <c r="G146" s="553" t="s">
        <v>494</v>
      </c>
      <c r="H146" s="553">
        <v>1316.335</v>
      </c>
      <c r="I146" s="553">
        <v>89</v>
      </c>
      <c r="J146" s="553">
        <v>57</v>
      </c>
      <c r="K146" s="553">
        <v>16</v>
      </c>
      <c r="L146" s="553">
        <v>4</v>
      </c>
      <c r="M146" s="505" t="s">
        <v>137</v>
      </c>
      <c r="N146" s="500">
        <v>43013538670000</v>
      </c>
      <c r="O146" s="553" t="s">
        <v>599</v>
      </c>
      <c r="P146" s="650" t="s">
        <v>735</v>
      </c>
      <c r="Q146" s="564" t="s">
        <v>583</v>
      </c>
      <c r="R146" s="564">
        <v>1</v>
      </c>
    </row>
    <row r="147" spans="1:18" s="484" customFormat="1" ht="15" customHeight="1" x14ac:dyDescent="0.25">
      <c r="A147" s="564">
        <v>2</v>
      </c>
      <c r="B147" s="564">
        <v>2</v>
      </c>
      <c r="C147" s="564">
        <v>2</v>
      </c>
      <c r="D147" s="564">
        <v>2</v>
      </c>
      <c r="E147" s="564">
        <v>2</v>
      </c>
      <c r="F147" s="564">
        <v>2</v>
      </c>
      <c r="G147" s="553" t="s">
        <v>473</v>
      </c>
      <c r="H147" s="564">
        <v>293.38</v>
      </c>
      <c r="I147" s="564">
        <v>3</v>
      </c>
      <c r="J147" s="564">
        <v>4</v>
      </c>
      <c r="K147" s="564">
        <v>7</v>
      </c>
      <c r="L147" s="564">
        <v>4</v>
      </c>
      <c r="M147" s="561" t="s">
        <v>137</v>
      </c>
      <c r="N147" s="520">
        <v>4301353982</v>
      </c>
      <c r="O147" s="564" t="s">
        <v>668</v>
      </c>
      <c r="P147" s="522" t="s">
        <v>736</v>
      </c>
      <c r="Q147" s="564" t="s">
        <v>670</v>
      </c>
      <c r="R147" s="564">
        <v>2</v>
      </c>
    </row>
    <row r="148" spans="1:18" s="484" customFormat="1" ht="15" customHeight="1" x14ac:dyDescent="0.25">
      <c r="A148" s="564">
        <v>2</v>
      </c>
      <c r="B148" s="564">
        <v>2</v>
      </c>
      <c r="C148" s="564">
        <v>2</v>
      </c>
      <c r="D148" s="564">
        <v>2</v>
      </c>
      <c r="E148" s="564">
        <v>2</v>
      </c>
      <c r="F148" s="564">
        <v>2</v>
      </c>
      <c r="G148" s="502" t="s">
        <v>476</v>
      </c>
      <c r="H148" s="564">
        <v>2614.1799999999998</v>
      </c>
      <c r="I148" s="564">
        <v>0</v>
      </c>
      <c r="J148" s="564">
        <v>10</v>
      </c>
      <c r="K148" s="564">
        <v>55</v>
      </c>
      <c r="L148" s="564">
        <v>2</v>
      </c>
      <c r="M148" s="561" t="s">
        <v>137</v>
      </c>
      <c r="N148" s="520">
        <v>4301353982</v>
      </c>
      <c r="O148" s="564" t="s">
        <v>668</v>
      </c>
      <c r="P148" s="522" t="s">
        <v>737</v>
      </c>
      <c r="Q148" s="564" t="s">
        <v>670</v>
      </c>
      <c r="R148" s="564">
        <v>2</v>
      </c>
    </row>
    <row r="149" spans="1:18" s="484" customFormat="1" ht="15" customHeight="1" x14ac:dyDescent="0.25">
      <c r="A149" s="564">
        <v>2</v>
      </c>
      <c r="B149" s="564">
        <v>2</v>
      </c>
      <c r="C149" s="564">
        <v>2</v>
      </c>
      <c r="D149" s="564">
        <v>2</v>
      </c>
      <c r="E149" s="564">
        <v>2</v>
      </c>
      <c r="F149" s="564">
        <v>2</v>
      </c>
      <c r="G149" s="553" t="s">
        <v>478</v>
      </c>
      <c r="H149" s="564">
        <v>1302.105</v>
      </c>
      <c r="I149" s="564">
        <v>0</v>
      </c>
      <c r="J149" s="564">
        <v>15</v>
      </c>
      <c r="K149" s="564">
        <v>26</v>
      </c>
      <c r="L149" s="564">
        <v>2</v>
      </c>
      <c r="M149" s="561" t="s">
        <v>137</v>
      </c>
      <c r="N149" s="520">
        <v>4301353982</v>
      </c>
      <c r="O149" s="564" t="s">
        <v>668</v>
      </c>
      <c r="P149" s="522" t="s">
        <v>738</v>
      </c>
      <c r="Q149" s="564" t="s">
        <v>583</v>
      </c>
      <c r="R149" s="564">
        <v>2</v>
      </c>
    </row>
    <row r="150" spans="1:18" s="484" customFormat="1" ht="15" customHeight="1" x14ac:dyDescent="0.25">
      <c r="A150" s="564">
        <v>2</v>
      </c>
      <c r="B150" s="564">
        <v>2</v>
      </c>
      <c r="C150" s="564">
        <v>2</v>
      </c>
      <c r="D150" s="564">
        <v>2</v>
      </c>
      <c r="E150" s="564">
        <v>2</v>
      </c>
      <c r="F150" s="564">
        <v>2</v>
      </c>
      <c r="G150" s="553" t="s">
        <v>484</v>
      </c>
      <c r="H150" s="564">
        <v>1302.105</v>
      </c>
      <c r="I150" s="564">
        <v>0</v>
      </c>
      <c r="J150" s="564">
        <v>15</v>
      </c>
      <c r="K150" s="564">
        <v>26</v>
      </c>
      <c r="L150" s="564">
        <v>2</v>
      </c>
      <c r="M150" s="561" t="s">
        <v>137</v>
      </c>
      <c r="N150" s="520">
        <v>4301353982</v>
      </c>
      <c r="O150" s="564" t="s">
        <v>668</v>
      </c>
      <c r="P150" s="522" t="s">
        <v>739</v>
      </c>
      <c r="Q150" s="564" t="s">
        <v>583</v>
      </c>
      <c r="R150" s="564">
        <v>2</v>
      </c>
    </row>
    <row r="151" spans="1:18" s="484" customFormat="1" ht="15" customHeight="1" x14ac:dyDescent="0.25">
      <c r="A151" s="564">
        <v>2</v>
      </c>
      <c r="B151" s="564">
        <v>2</v>
      </c>
      <c r="C151" s="564">
        <v>2</v>
      </c>
      <c r="D151" s="564">
        <v>2</v>
      </c>
      <c r="E151" s="564">
        <v>2</v>
      </c>
      <c r="F151" s="564">
        <v>2</v>
      </c>
      <c r="G151" s="553" t="s">
        <v>486</v>
      </c>
      <c r="H151" s="564">
        <v>1429.4749999999999</v>
      </c>
      <c r="I151" s="564">
        <v>0</v>
      </c>
      <c r="J151" s="564">
        <v>16</v>
      </c>
      <c r="K151" s="564">
        <v>45</v>
      </c>
      <c r="L151" s="564">
        <v>4</v>
      </c>
      <c r="M151" s="561" t="s">
        <v>137</v>
      </c>
      <c r="N151" s="520">
        <v>4301353982</v>
      </c>
      <c r="O151" s="564" t="s">
        <v>668</v>
      </c>
      <c r="P151" s="522" t="s">
        <v>740</v>
      </c>
      <c r="Q151" s="564" t="s">
        <v>583</v>
      </c>
      <c r="R151" s="564">
        <v>2</v>
      </c>
    </row>
    <row r="152" spans="1:18" s="484" customFormat="1" ht="15" customHeight="1" x14ac:dyDescent="0.25">
      <c r="A152" s="564">
        <v>2</v>
      </c>
      <c r="B152" s="564">
        <v>2</v>
      </c>
      <c r="C152" s="564">
        <v>2</v>
      </c>
      <c r="D152" s="564">
        <v>2</v>
      </c>
      <c r="E152" s="564">
        <v>2</v>
      </c>
      <c r="F152" s="564">
        <v>2</v>
      </c>
      <c r="G152" s="502" t="s">
        <v>488</v>
      </c>
      <c r="H152" s="564">
        <v>1429.4749999999999</v>
      </c>
      <c r="I152" s="564">
        <v>0</v>
      </c>
      <c r="J152" s="564">
        <v>16</v>
      </c>
      <c r="K152" s="564">
        <v>45</v>
      </c>
      <c r="L152" s="564">
        <v>4</v>
      </c>
      <c r="M152" s="561" t="s">
        <v>137</v>
      </c>
      <c r="N152" s="520">
        <v>4301353982</v>
      </c>
      <c r="O152" s="564" t="s">
        <v>668</v>
      </c>
      <c r="P152" s="522" t="s">
        <v>741</v>
      </c>
      <c r="Q152" s="564" t="s">
        <v>583</v>
      </c>
      <c r="R152" s="564">
        <v>2</v>
      </c>
    </row>
    <row r="153" spans="1:18" s="484" customFormat="1" ht="15" customHeight="1" x14ac:dyDescent="0.25">
      <c r="A153" s="564">
        <v>2</v>
      </c>
      <c r="B153" s="564">
        <v>2</v>
      </c>
      <c r="C153" s="564">
        <v>2</v>
      </c>
      <c r="D153" s="564">
        <v>2</v>
      </c>
      <c r="E153" s="564">
        <v>2</v>
      </c>
      <c r="F153" s="564">
        <v>2</v>
      </c>
      <c r="G153" s="553" t="s">
        <v>490</v>
      </c>
      <c r="H153" s="564">
        <v>1320.135</v>
      </c>
      <c r="I153" s="564">
        <v>0</v>
      </c>
      <c r="J153" s="564">
        <v>16</v>
      </c>
      <c r="K153" s="564">
        <v>37</v>
      </c>
      <c r="L153" s="564">
        <v>4</v>
      </c>
      <c r="M153" s="561" t="s">
        <v>137</v>
      </c>
      <c r="N153" s="520">
        <v>4301353982</v>
      </c>
      <c r="O153" s="564" t="s">
        <v>668</v>
      </c>
      <c r="P153" s="522" t="s">
        <v>742</v>
      </c>
      <c r="Q153" s="564" t="s">
        <v>583</v>
      </c>
      <c r="R153" s="564">
        <v>2</v>
      </c>
    </row>
    <row r="154" spans="1:18" s="484" customFormat="1" ht="15" customHeight="1" x14ac:dyDescent="0.25">
      <c r="A154" s="564">
        <v>2</v>
      </c>
      <c r="B154" s="564">
        <v>2</v>
      </c>
      <c r="C154" s="564">
        <v>2</v>
      </c>
      <c r="D154" s="564">
        <v>2</v>
      </c>
      <c r="E154" s="564">
        <v>2</v>
      </c>
      <c r="F154" s="564">
        <v>2</v>
      </c>
      <c r="G154" s="553" t="s">
        <v>493</v>
      </c>
      <c r="H154" s="564">
        <v>1320.135</v>
      </c>
      <c r="I154" s="564">
        <v>0</v>
      </c>
      <c r="J154" s="564">
        <v>16</v>
      </c>
      <c r="K154" s="564">
        <v>37</v>
      </c>
      <c r="L154" s="564">
        <v>4</v>
      </c>
      <c r="M154" s="561" t="s">
        <v>137</v>
      </c>
      <c r="N154" s="520">
        <v>4301353982</v>
      </c>
      <c r="O154" s="564" t="s">
        <v>668</v>
      </c>
      <c r="P154" s="522" t="s">
        <v>743</v>
      </c>
      <c r="Q154" s="564" t="s">
        <v>583</v>
      </c>
      <c r="R154" s="564">
        <v>2</v>
      </c>
    </row>
    <row r="155" spans="1:18" s="484" customFormat="1" ht="15" customHeight="1" x14ac:dyDescent="0.25">
      <c r="A155" s="564">
        <v>2</v>
      </c>
      <c r="B155" s="564">
        <v>2</v>
      </c>
      <c r="C155" s="564">
        <v>2</v>
      </c>
      <c r="D155" s="564">
        <v>2</v>
      </c>
      <c r="E155" s="564">
        <v>2</v>
      </c>
      <c r="F155" s="564">
        <v>2</v>
      </c>
      <c r="G155" s="553" t="s">
        <v>474</v>
      </c>
      <c r="H155" s="564">
        <v>1313.375</v>
      </c>
      <c r="I155" s="564">
        <v>89</v>
      </c>
      <c r="J155" s="564">
        <v>51</v>
      </c>
      <c r="K155" s="564">
        <v>56</v>
      </c>
      <c r="L155" s="564">
        <v>4</v>
      </c>
      <c r="M155" s="561" t="s">
        <v>137</v>
      </c>
      <c r="N155" s="520">
        <v>4301353982</v>
      </c>
      <c r="O155" s="564" t="s">
        <v>668</v>
      </c>
      <c r="P155" s="522" t="s">
        <v>744</v>
      </c>
      <c r="Q155" s="564" t="s">
        <v>583</v>
      </c>
      <c r="R155" s="564">
        <v>2</v>
      </c>
    </row>
    <row r="156" spans="1:18" s="484" customFormat="1" ht="15" customHeight="1" x14ac:dyDescent="0.25">
      <c r="A156" s="564">
        <v>2</v>
      </c>
      <c r="B156" s="564">
        <v>2</v>
      </c>
      <c r="C156" s="564">
        <v>2</v>
      </c>
      <c r="D156" s="564">
        <v>2</v>
      </c>
      <c r="E156" s="564">
        <v>2</v>
      </c>
      <c r="F156" s="564">
        <v>2</v>
      </c>
      <c r="G156" s="502" t="s">
        <v>477</v>
      </c>
      <c r="H156" s="564">
        <v>1313.375</v>
      </c>
      <c r="I156" s="564">
        <v>89</v>
      </c>
      <c r="J156" s="564">
        <v>51</v>
      </c>
      <c r="K156" s="564">
        <v>56</v>
      </c>
      <c r="L156" s="564">
        <v>4</v>
      </c>
      <c r="M156" s="561" t="s">
        <v>137</v>
      </c>
      <c r="N156" s="520">
        <v>4301353982</v>
      </c>
      <c r="O156" s="564" t="s">
        <v>668</v>
      </c>
      <c r="P156" s="522" t="s">
        <v>745</v>
      </c>
      <c r="Q156" s="564" t="s">
        <v>583</v>
      </c>
      <c r="R156" s="564">
        <v>2</v>
      </c>
    </row>
    <row r="157" spans="1:18" s="484" customFormat="1" ht="15" customHeight="1" x14ac:dyDescent="0.25">
      <c r="A157" s="564">
        <v>2</v>
      </c>
      <c r="B157" s="564">
        <v>2</v>
      </c>
      <c r="C157" s="564">
        <v>2</v>
      </c>
      <c r="D157" s="564">
        <v>2</v>
      </c>
      <c r="E157" s="564">
        <v>2</v>
      </c>
      <c r="F157" s="564">
        <v>2</v>
      </c>
      <c r="G157" s="553" t="s">
        <v>479</v>
      </c>
      <c r="H157" s="564">
        <v>1313.375</v>
      </c>
      <c r="I157" s="564">
        <v>89</v>
      </c>
      <c r="J157" s="564">
        <v>51</v>
      </c>
      <c r="K157" s="564">
        <v>56</v>
      </c>
      <c r="L157" s="564">
        <v>4</v>
      </c>
      <c r="M157" s="561" t="s">
        <v>137</v>
      </c>
      <c r="N157" s="520">
        <v>4301353982</v>
      </c>
      <c r="O157" s="564" t="s">
        <v>668</v>
      </c>
      <c r="P157" s="522" t="s">
        <v>746</v>
      </c>
      <c r="Q157" s="564" t="s">
        <v>583</v>
      </c>
      <c r="R157" s="564">
        <v>2</v>
      </c>
    </row>
    <row r="158" spans="1:18" s="484" customFormat="1" ht="15" customHeight="1" x14ac:dyDescent="0.25">
      <c r="A158" s="564">
        <v>2</v>
      </c>
      <c r="B158" s="564">
        <v>2</v>
      </c>
      <c r="C158" s="564">
        <v>2</v>
      </c>
      <c r="D158" s="564">
        <v>2</v>
      </c>
      <c r="E158" s="564">
        <v>2</v>
      </c>
      <c r="F158" s="564">
        <v>2</v>
      </c>
      <c r="G158" s="553" t="s">
        <v>485</v>
      </c>
      <c r="H158" s="564">
        <v>1313.375</v>
      </c>
      <c r="I158" s="564">
        <v>89</v>
      </c>
      <c r="J158" s="564">
        <v>51</v>
      </c>
      <c r="K158" s="564">
        <v>56</v>
      </c>
      <c r="L158" s="564">
        <v>4</v>
      </c>
      <c r="M158" s="561" t="s">
        <v>137</v>
      </c>
      <c r="N158" s="520">
        <v>4301353982</v>
      </c>
      <c r="O158" s="564" t="s">
        <v>668</v>
      </c>
      <c r="P158" s="522" t="s">
        <v>747</v>
      </c>
      <c r="Q158" s="564" t="s">
        <v>583</v>
      </c>
      <c r="R158" s="564">
        <v>2</v>
      </c>
    </row>
    <row r="159" spans="1:18" s="484" customFormat="1" ht="15" customHeight="1" x14ac:dyDescent="0.25">
      <c r="A159" s="564">
        <v>2</v>
      </c>
      <c r="B159" s="564">
        <v>2</v>
      </c>
      <c r="C159" s="564">
        <v>2</v>
      </c>
      <c r="D159" s="564">
        <v>2</v>
      </c>
      <c r="E159" s="564">
        <v>2</v>
      </c>
      <c r="F159" s="564">
        <v>2</v>
      </c>
      <c r="G159" s="553" t="s">
        <v>487</v>
      </c>
      <c r="H159" s="564">
        <v>1322</v>
      </c>
      <c r="I159" s="564">
        <v>89</v>
      </c>
      <c r="J159" s="564">
        <v>48</v>
      </c>
      <c r="K159" s="564">
        <v>22</v>
      </c>
      <c r="L159" s="564">
        <v>3</v>
      </c>
      <c r="M159" s="561" t="s">
        <v>137</v>
      </c>
      <c r="N159" s="520">
        <v>4301353982</v>
      </c>
      <c r="O159" s="564" t="s">
        <v>668</v>
      </c>
      <c r="P159" s="522" t="s">
        <v>748</v>
      </c>
      <c r="Q159" s="564" t="s">
        <v>583</v>
      </c>
      <c r="R159" s="564">
        <v>2</v>
      </c>
    </row>
    <row r="160" spans="1:18" s="484" customFormat="1" ht="15" customHeight="1" x14ac:dyDescent="0.25">
      <c r="A160" s="564">
        <v>2</v>
      </c>
      <c r="B160" s="564">
        <v>2</v>
      </c>
      <c r="C160" s="564">
        <v>2</v>
      </c>
      <c r="D160" s="564">
        <v>2</v>
      </c>
      <c r="E160" s="564">
        <v>2</v>
      </c>
      <c r="F160" s="564">
        <v>2</v>
      </c>
      <c r="G160" s="502" t="s">
        <v>489</v>
      </c>
      <c r="H160" s="564">
        <v>1322</v>
      </c>
      <c r="I160" s="564">
        <v>89</v>
      </c>
      <c r="J160" s="564">
        <v>48</v>
      </c>
      <c r="K160" s="564">
        <v>22</v>
      </c>
      <c r="L160" s="564">
        <v>3</v>
      </c>
      <c r="M160" s="561" t="s">
        <v>137</v>
      </c>
      <c r="N160" s="520">
        <v>4301353982</v>
      </c>
      <c r="O160" s="564" t="s">
        <v>668</v>
      </c>
      <c r="P160" s="522" t="s">
        <v>749</v>
      </c>
      <c r="Q160" s="564" t="s">
        <v>583</v>
      </c>
      <c r="R160" s="564">
        <v>2</v>
      </c>
    </row>
    <row r="161" spans="1:18" s="484" customFormat="1" ht="15" customHeight="1" x14ac:dyDescent="0.25">
      <c r="A161" s="564">
        <v>2</v>
      </c>
      <c r="B161" s="564">
        <v>2</v>
      </c>
      <c r="C161" s="564">
        <v>2</v>
      </c>
      <c r="D161" s="564">
        <v>2</v>
      </c>
      <c r="E161" s="564">
        <v>2</v>
      </c>
      <c r="F161" s="564">
        <v>2</v>
      </c>
      <c r="G161" s="553" t="s">
        <v>491</v>
      </c>
      <c r="H161" s="564">
        <v>1320.25</v>
      </c>
      <c r="I161" s="564">
        <v>89</v>
      </c>
      <c r="J161" s="564">
        <v>48</v>
      </c>
      <c r="K161" s="564">
        <v>8</v>
      </c>
      <c r="L161" s="564">
        <v>4</v>
      </c>
      <c r="M161" s="561" t="s">
        <v>137</v>
      </c>
      <c r="N161" s="520">
        <v>4301353982</v>
      </c>
      <c r="O161" s="564" t="s">
        <v>668</v>
      </c>
      <c r="P161" s="522" t="s">
        <v>750</v>
      </c>
      <c r="Q161" s="564" t="s">
        <v>583</v>
      </c>
      <c r="R161" s="564">
        <v>2</v>
      </c>
    </row>
    <row r="162" spans="1:18" s="484" customFormat="1" ht="15" customHeight="1" x14ac:dyDescent="0.25">
      <c r="A162" s="564">
        <v>2</v>
      </c>
      <c r="B162" s="564">
        <v>2</v>
      </c>
      <c r="C162" s="564">
        <v>2</v>
      </c>
      <c r="D162" s="564">
        <v>2</v>
      </c>
      <c r="E162" s="564">
        <v>2</v>
      </c>
      <c r="F162" s="564">
        <v>2</v>
      </c>
      <c r="G162" s="553" t="s">
        <v>494</v>
      </c>
      <c r="H162" s="564">
        <v>1320.25</v>
      </c>
      <c r="I162" s="564">
        <v>89</v>
      </c>
      <c r="J162" s="564">
        <v>48</v>
      </c>
      <c r="K162" s="564">
        <v>8</v>
      </c>
      <c r="L162" s="564">
        <v>4</v>
      </c>
      <c r="M162" s="561" t="s">
        <v>137</v>
      </c>
      <c r="N162" s="520">
        <v>4301353982</v>
      </c>
      <c r="O162" s="564" t="s">
        <v>668</v>
      </c>
      <c r="P162" s="522" t="s">
        <v>751</v>
      </c>
      <c r="Q162" s="564" t="s">
        <v>583</v>
      </c>
      <c r="R162" s="564">
        <v>2</v>
      </c>
    </row>
    <row r="163" spans="1:18" ht="15" customHeight="1" x14ac:dyDescent="0.25">
      <c r="A163" s="564">
        <v>2</v>
      </c>
      <c r="B163" s="564">
        <v>3</v>
      </c>
      <c r="C163" s="564">
        <v>2</v>
      </c>
      <c r="D163" s="564">
        <v>1</v>
      </c>
      <c r="E163" s="564">
        <v>2</v>
      </c>
      <c r="F163" s="564">
        <v>2</v>
      </c>
      <c r="G163" s="564" t="s">
        <v>473</v>
      </c>
      <c r="H163" s="564">
        <v>1305.26</v>
      </c>
      <c r="I163" s="564">
        <v>0</v>
      </c>
      <c r="J163" s="564">
        <v>42</v>
      </c>
      <c r="K163" s="564">
        <v>1</v>
      </c>
      <c r="L163" s="564">
        <v>4</v>
      </c>
      <c r="M163" s="561" t="s">
        <v>137</v>
      </c>
      <c r="N163" s="651">
        <v>4304755886</v>
      </c>
      <c r="O163" s="564" t="s">
        <v>752</v>
      </c>
      <c r="P163" s="564" t="s">
        <v>753</v>
      </c>
      <c r="Q163" s="564"/>
      <c r="R163" s="564">
        <v>1</v>
      </c>
    </row>
    <row r="164" spans="1:18" ht="15" customHeight="1" x14ac:dyDescent="0.25">
      <c r="A164" s="564">
        <v>2</v>
      </c>
      <c r="B164" s="564">
        <v>3</v>
      </c>
      <c r="C164" s="564">
        <v>2</v>
      </c>
      <c r="D164" s="564">
        <v>1</v>
      </c>
      <c r="E164" s="564">
        <v>2</v>
      </c>
      <c r="F164" s="564">
        <v>2</v>
      </c>
      <c r="G164" s="521" t="s">
        <v>476</v>
      </c>
      <c r="H164" s="564">
        <v>1318.36</v>
      </c>
      <c r="I164" s="564">
        <v>0</v>
      </c>
      <c r="J164" s="564">
        <v>42</v>
      </c>
      <c r="K164" s="564">
        <v>1</v>
      </c>
      <c r="L164" s="564">
        <v>4</v>
      </c>
      <c r="M164" s="561" t="s">
        <v>137</v>
      </c>
      <c r="N164" s="651">
        <v>4304755886</v>
      </c>
      <c r="O164" s="564" t="s">
        <v>752</v>
      </c>
      <c r="P164" s="564" t="s">
        <v>754</v>
      </c>
      <c r="Q164" s="564"/>
      <c r="R164" s="564">
        <v>1</v>
      </c>
    </row>
    <row r="165" spans="1:18" ht="15" customHeight="1" x14ac:dyDescent="0.25">
      <c r="A165" s="564">
        <v>2</v>
      </c>
      <c r="B165" s="564">
        <v>3</v>
      </c>
      <c r="C165" s="564">
        <v>2</v>
      </c>
      <c r="D165" s="564">
        <v>1</v>
      </c>
      <c r="E165" s="564">
        <v>2</v>
      </c>
      <c r="F165" s="564">
        <v>2</v>
      </c>
      <c r="G165" s="564" t="s">
        <v>478</v>
      </c>
      <c r="H165" s="564">
        <v>1318.41</v>
      </c>
      <c r="I165" s="564">
        <v>0</v>
      </c>
      <c r="J165" s="564">
        <v>42</v>
      </c>
      <c r="K165" s="564">
        <v>30</v>
      </c>
      <c r="L165" s="564">
        <v>4</v>
      </c>
      <c r="M165" s="561" t="s">
        <v>137</v>
      </c>
      <c r="N165" s="651">
        <v>4304755886</v>
      </c>
      <c r="O165" s="564" t="s">
        <v>752</v>
      </c>
      <c r="P165" s="564" t="s">
        <v>755</v>
      </c>
      <c r="Q165" s="564"/>
      <c r="R165" s="564">
        <v>1</v>
      </c>
    </row>
    <row r="166" spans="1:18" ht="15" customHeight="1" x14ac:dyDescent="0.25">
      <c r="A166" s="564">
        <v>2</v>
      </c>
      <c r="B166" s="564">
        <v>3</v>
      </c>
      <c r="C166" s="564">
        <v>2</v>
      </c>
      <c r="D166" s="564">
        <v>1</v>
      </c>
      <c r="E166" s="564">
        <v>2</v>
      </c>
      <c r="F166" s="564">
        <v>2</v>
      </c>
      <c r="G166" s="564" t="s">
        <v>484</v>
      </c>
      <c r="H166" s="564">
        <v>1318.48</v>
      </c>
      <c r="I166" s="564">
        <v>0</v>
      </c>
      <c r="J166" s="564">
        <v>41</v>
      </c>
      <c r="K166" s="564">
        <v>39</v>
      </c>
      <c r="L166" s="564">
        <v>4</v>
      </c>
      <c r="M166" s="561" t="s">
        <v>137</v>
      </c>
      <c r="N166" s="651">
        <v>4304755886</v>
      </c>
      <c r="O166" s="564" t="s">
        <v>752</v>
      </c>
      <c r="P166" s="564" t="s">
        <v>756</v>
      </c>
      <c r="Q166" s="564"/>
      <c r="R166" s="564">
        <v>1</v>
      </c>
    </row>
    <row r="167" spans="1:18" ht="15" customHeight="1" x14ac:dyDescent="0.25">
      <c r="A167" s="564">
        <v>2</v>
      </c>
      <c r="B167" s="564">
        <v>3</v>
      </c>
      <c r="C167" s="564">
        <v>2</v>
      </c>
      <c r="D167" s="564">
        <v>1</v>
      </c>
      <c r="E167" s="564">
        <v>2</v>
      </c>
      <c r="F167" s="564">
        <v>2</v>
      </c>
      <c r="G167" s="564" t="s">
        <v>486</v>
      </c>
      <c r="H167" s="564">
        <v>1309.3800000000001</v>
      </c>
      <c r="I167" s="564">
        <v>1</v>
      </c>
      <c r="J167" s="564">
        <v>8</v>
      </c>
      <c r="K167" s="564">
        <v>8</v>
      </c>
      <c r="L167" s="564">
        <v>4</v>
      </c>
      <c r="M167" s="561" t="s">
        <v>137</v>
      </c>
      <c r="N167" s="651">
        <v>4304755886</v>
      </c>
      <c r="O167" s="564" t="s">
        <v>752</v>
      </c>
      <c r="P167" s="564" t="s">
        <v>757</v>
      </c>
      <c r="Q167" s="564"/>
      <c r="R167" s="564">
        <v>1</v>
      </c>
    </row>
    <row r="168" spans="1:18" ht="15" customHeight="1" x14ac:dyDescent="0.25">
      <c r="A168" s="564">
        <v>2</v>
      </c>
      <c r="B168" s="564">
        <v>3</v>
      </c>
      <c r="C168" s="564">
        <v>2</v>
      </c>
      <c r="D168" s="564">
        <v>1</v>
      </c>
      <c r="E168" s="564">
        <v>2</v>
      </c>
      <c r="F168" s="564">
        <v>2</v>
      </c>
      <c r="G168" s="521" t="s">
        <v>488</v>
      </c>
      <c r="H168" s="564">
        <v>1309.3800000000001</v>
      </c>
      <c r="I168" s="564">
        <v>1</v>
      </c>
      <c r="J168" s="564">
        <v>8</v>
      </c>
      <c r="K168" s="564">
        <v>8</v>
      </c>
      <c r="L168" s="564">
        <v>4</v>
      </c>
      <c r="M168" s="561" t="s">
        <v>137</v>
      </c>
      <c r="N168" s="651">
        <v>4304755886</v>
      </c>
      <c r="O168" s="564" t="s">
        <v>752</v>
      </c>
      <c r="P168" s="564" t="s">
        <v>758</v>
      </c>
      <c r="Q168" s="564"/>
      <c r="R168" s="564">
        <v>1</v>
      </c>
    </row>
    <row r="169" spans="1:18" ht="15" customHeight="1" x14ac:dyDescent="0.25">
      <c r="A169" s="564">
        <v>2</v>
      </c>
      <c r="B169" s="564">
        <v>3</v>
      </c>
      <c r="C169" s="564">
        <v>2</v>
      </c>
      <c r="D169" s="564">
        <v>1</v>
      </c>
      <c r="E169" s="564">
        <v>2</v>
      </c>
      <c r="F169" s="564">
        <v>2</v>
      </c>
      <c r="G169" s="564" t="s">
        <v>490</v>
      </c>
      <c r="H169" s="564">
        <v>1315.09</v>
      </c>
      <c r="I169" s="564">
        <v>0</v>
      </c>
      <c r="J169" s="564">
        <v>46</v>
      </c>
      <c r="K169" s="564">
        <v>3</v>
      </c>
      <c r="L169" s="564">
        <v>4</v>
      </c>
      <c r="M169" s="561" t="s">
        <v>137</v>
      </c>
      <c r="N169" s="651">
        <v>4304755886</v>
      </c>
      <c r="O169" s="564" t="s">
        <v>752</v>
      </c>
      <c r="P169" s="564" t="s">
        <v>759</v>
      </c>
      <c r="Q169" s="564"/>
      <c r="R169" s="564">
        <v>1</v>
      </c>
    </row>
    <row r="170" spans="1:18" ht="15" customHeight="1" x14ac:dyDescent="0.25">
      <c r="A170" s="564">
        <v>2</v>
      </c>
      <c r="B170" s="564">
        <v>3</v>
      </c>
      <c r="C170" s="564">
        <v>2</v>
      </c>
      <c r="D170" s="564">
        <v>1</v>
      </c>
      <c r="E170" s="564">
        <v>2</v>
      </c>
      <c r="F170" s="564">
        <v>2</v>
      </c>
      <c r="G170" s="564" t="s">
        <v>493</v>
      </c>
      <c r="H170" s="564">
        <v>1314.94</v>
      </c>
      <c r="I170" s="564">
        <v>0</v>
      </c>
      <c r="J170" s="564">
        <v>45</v>
      </c>
      <c r="K170" s="564">
        <v>32</v>
      </c>
      <c r="L170" s="564">
        <v>4</v>
      </c>
      <c r="M170" s="561" t="s">
        <v>137</v>
      </c>
      <c r="N170" s="651">
        <v>4304755886</v>
      </c>
      <c r="O170" s="564" t="s">
        <v>752</v>
      </c>
      <c r="P170" s="564" t="s">
        <v>760</v>
      </c>
      <c r="Q170" s="564"/>
      <c r="R170" s="564">
        <v>1</v>
      </c>
    </row>
    <row r="171" spans="1:18" ht="15" customHeight="1" x14ac:dyDescent="0.25">
      <c r="A171" s="564">
        <v>2</v>
      </c>
      <c r="B171" s="564">
        <v>3</v>
      </c>
      <c r="C171" s="564">
        <v>2</v>
      </c>
      <c r="D171" s="564">
        <v>1</v>
      </c>
      <c r="E171" s="564">
        <v>2</v>
      </c>
      <c r="F171" s="564">
        <v>2</v>
      </c>
      <c r="G171" s="564" t="s">
        <v>474</v>
      </c>
      <c r="H171" s="564">
        <v>1317.6875</v>
      </c>
      <c r="I171" s="564">
        <v>89</v>
      </c>
      <c r="J171" s="564">
        <v>1</v>
      </c>
      <c r="K171" s="564">
        <v>26</v>
      </c>
      <c r="L171" s="564">
        <v>3</v>
      </c>
      <c r="M171" s="561" t="s">
        <v>137</v>
      </c>
      <c r="N171" s="651">
        <v>4304755886</v>
      </c>
      <c r="O171" s="564" t="s">
        <v>752</v>
      </c>
      <c r="P171" s="564" t="s">
        <v>761</v>
      </c>
      <c r="Q171" s="564"/>
      <c r="R171" s="564">
        <v>1</v>
      </c>
    </row>
    <row r="172" spans="1:18" ht="15" customHeight="1" x14ac:dyDescent="0.25">
      <c r="A172" s="564">
        <v>2</v>
      </c>
      <c r="B172" s="564">
        <v>3</v>
      </c>
      <c r="C172" s="564">
        <v>2</v>
      </c>
      <c r="D172" s="564">
        <v>1</v>
      </c>
      <c r="E172" s="564">
        <v>2</v>
      </c>
      <c r="F172" s="564">
        <v>2</v>
      </c>
      <c r="G172" s="521" t="s">
        <v>477</v>
      </c>
      <c r="H172" s="564">
        <v>1317.6875</v>
      </c>
      <c r="I172" s="564">
        <v>89</v>
      </c>
      <c r="J172" s="564">
        <v>1</v>
      </c>
      <c r="K172" s="564">
        <v>26</v>
      </c>
      <c r="L172" s="564">
        <v>3</v>
      </c>
      <c r="M172" s="561" t="s">
        <v>137</v>
      </c>
      <c r="N172" s="651">
        <v>4304755886</v>
      </c>
      <c r="O172" s="564" t="s">
        <v>752</v>
      </c>
      <c r="P172" s="564" t="s">
        <v>762</v>
      </c>
      <c r="Q172" s="564"/>
      <c r="R172" s="564">
        <v>1</v>
      </c>
    </row>
    <row r="173" spans="1:18" ht="15" customHeight="1" x14ac:dyDescent="0.25">
      <c r="A173" s="564">
        <v>2</v>
      </c>
      <c r="B173" s="564">
        <v>3</v>
      </c>
      <c r="C173" s="564">
        <v>2</v>
      </c>
      <c r="D173" s="564">
        <v>1</v>
      </c>
      <c r="E173" s="564">
        <v>2</v>
      </c>
      <c r="F173" s="564">
        <v>2</v>
      </c>
      <c r="G173" s="564" t="s">
        <v>479</v>
      </c>
      <c r="H173" s="564">
        <v>1317.6875</v>
      </c>
      <c r="I173" s="564">
        <v>89</v>
      </c>
      <c r="J173" s="564">
        <v>1</v>
      </c>
      <c r="K173" s="564">
        <v>26</v>
      </c>
      <c r="L173" s="564">
        <v>3</v>
      </c>
      <c r="M173" s="561" t="s">
        <v>137</v>
      </c>
      <c r="N173" s="651">
        <v>4304755886</v>
      </c>
      <c r="O173" s="564" t="s">
        <v>752</v>
      </c>
      <c r="P173" s="564" t="s">
        <v>763</v>
      </c>
      <c r="Q173" s="564"/>
      <c r="R173" s="564">
        <v>1</v>
      </c>
    </row>
    <row r="174" spans="1:18" ht="15" customHeight="1" x14ac:dyDescent="0.25">
      <c r="A174" s="564">
        <v>2</v>
      </c>
      <c r="B174" s="564">
        <v>3</v>
      </c>
      <c r="C174" s="564">
        <v>2</v>
      </c>
      <c r="D174" s="564">
        <v>1</v>
      </c>
      <c r="E174" s="564">
        <v>2</v>
      </c>
      <c r="F174" s="564">
        <v>2</v>
      </c>
      <c r="G174" s="564" t="s">
        <v>485</v>
      </c>
      <c r="H174" s="564">
        <v>1317.6875</v>
      </c>
      <c r="I174" s="564">
        <v>89</v>
      </c>
      <c r="J174" s="564">
        <v>1</v>
      </c>
      <c r="K174" s="564">
        <v>26</v>
      </c>
      <c r="L174" s="564">
        <v>3</v>
      </c>
      <c r="M174" s="561" t="s">
        <v>137</v>
      </c>
      <c r="N174" s="651">
        <v>4304755886</v>
      </c>
      <c r="O174" s="564" t="s">
        <v>752</v>
      </c>
      <c r="P174" s="564" t="s">
        <v>764</v>
      </c>
      <c r="Q174" s="564"/>
      <c r="R174" s="564">
        <v>1</v>
      </c>
    </row>
    <row r="175" spans="1:18" ht="15" customHeight="1" x14ac:dyDescent="0.25">
      <c r="A175" s="564">
        <v>2</v>
      </c>
      <c r="B175" s="564">
        <v>3</v>
      </c>
      <c r="C175" s="564">
        <v>2</v>
      </c>
      <c r="D175" s="564">
        <v>1</v>
      </c>
      <c r="E175" s="564">
        <v>2</v>
      </c>
      <c r="F175" s="564">
        <v>2</v>
      </c>
      <c r="G175" s="564" t="s">
        <v>487</v>
      </c>
      <c r="H175" s="564">
        <v>1323.39</v>
      </c>
      <c r="I175" s="564">
        <v>88</v>
      </c>
      <c r="J175" s="564">
        <v>54</v>
      </c>
      <c r="K175" s="564">
        <v>12</v>
      </c>
      <c r="L175" s="564">
        <v>3</v>
      </c>
      <c r="M175" s="561" t="s">
        <v>137</v>
      </c>
      <c r="N175" s="520">
        <v>4304755886</v>
      </c>
      <c r="O175" s="564" t="s">
        <v>752</v>
      </c>
      <c r="P175" s="564" t="s">
        <v>765</v>
      </c>
      <c r="Q175" s="564"/>
      <c r="R175" s="564">
        <v>1</v>
      </c>
    </row>
    <row r="176" spans="1:18" ht="15" customHeight="1" x14ac:dyDescent="0.25">
      <c r="A176" s="564">
        <v>2</v>
      </c>
      <c r="B176" s="564">
        <v>3</v>
      </c>
      <c r="C176" s="564">
        <v>2</v>
      </c>
      <c r="D176" s="564">
        <v>1</v>
      </c>
      <c r="E176" s="564">
        <v>2</v>
      </c>
      <c r="F176" s="564">
        <v>2</v>
      </c>
      <c r="G176" s="521" t="s">
        <v>489</v>
      </c>
      <c r="H176" s="564">
        <v>1323.39</v>
      </c>
      <c r="I176" s="564">
        <v>88</v>
      </c>
      <c r="J176" s="564">
        <v>54</v>
      </c>
      <c r="K176" s="564">
        <v>12</v>
      </c>
      <c r="L176" s="564">
        <v>3</v>
      </c>
      <c r="M176" s="561" t="s">
        <v>137</v>
      </c>
      <c r="N176" s="651">
        <v>4304755886</v>
      </c>
      <c r="O176" s="564" t="s">
        <v>752</v>
      </c>
      <c r="P176" s="564" t="s">
        <v>766</v>
      </c>
      <c r="Q176" s="564"/>
      <c r="R176" s="564">
        <v>1</v>
      </c>
    </row>
    <row r="177" spans="1:18" ht="15" customHeight="1" x14ac:dyDescent="0.25">
      <c r="A177" s="564">
        <v>2</v>
      </c>
      <c r="B177" s="564">
        <v>3</v>
      </c>
      <c r="C177" s="564">
        <v>2</v>
      </c>
      <c r="D177" s="564">
        <v>1</v>
      </c>
      <c r="E177" s="564">
        <v>2</v>
      </c>
      <c r="F177" s="564">
        <v>2</v>
      </c>
      <c r="G177" s="564" t="s">
        <v>491</v>
      </c>
      <c r="H177" s="564">
        <v>1323.39</v>
      </c>
      <c r="I177" s="564">
        <v>88</v>
      </c>
      <c r="J177" s="564">
        <v>54</v>
      </c>
      <c r="K177" s="564">
        <v>12</v>
      </c>
      <c r="L177" s="564">
        <v>3</v>
      </c>
      <c r="M177" s="561" t="s">
        <v>137</v>
      </c>
      <c r="N177" s="651">
        <v>4304755886</v>
      </c>
      <c r="O177" s="564" t="s">
        <v>752</v>
      </c>
      <c r="P177" s="564" t="s">
        <v>767</v>
      </c>
      <c r="Q177" s="564"/>
      <c r="R177" s="564">
        <v>1</v>
      </c>
    </row>
    <row r="178" spans="1:18" ht="15" customHeight="1" x14ac:dyDescent="0.25">
      <c r="A178" s="564">
        <v>2</v>
      </c>
      <c r="B178" s="564">
        <v>3</v>
      </c>
      <c r="C178" s="564">
        <v>2</v>
      </c>
      <c r="D178" s="564">
        <v>1</v>
      </c>
      <c r="E178" s="564">
        <v>2</v>
      </c>
      <c r="F178" s="564">
        <v>2</v>
      </c>
      <c r="G178" s="564" t="s">
        <v>494</v>
      </c>
      <c r="H178" s="564">
        <v>1323.39</v>
      </c>
      <c r="I178" s="564">
        <v>88</v>
      </c>
      <c r="J178" s="564">
        <v>54</v>
      </c>
      <c r="K178" s="564">
        <v>12</v>
      </c>
      <c r="L178" s="564">
        <v>3</v>
      </c>
      <c r="M178" s="561" t="s">
        <v>137</v>
      </c>
      <c r="N178" s="651">
        <v>4304755886</v>
      </c>
      <c r="O178" s="564" t="s">
        <v>752</v>
      </c>
      <c r="P178" s="564" t="s">
        <v>768</v>
      </c>
      <c r="Q178" s="564"/>
      <c r="R178" s="564">
        <v>1</v>
      </c>
    </row>
    <row r="179" spans="1:18" ht="15" customHeight="1" x14ac:dyDescent="0.25">
      <c r="A179" s="564">
        <v>2</v>
      </c>
      <c r="B179" s="564">
        <v>4</v>
      </c>
      <c r="C179" s="564">
        <v>2</v>
      </c>
      <c r="D179" s="564">
        <v>1</v>
      </c>
      <c r="E179" s="564">
        <v>2</v>
      </c>
      <c r="F179" s="564">
        <v>2</v>
      </c>
      <c r="G179" s="564" t="s">
        <v>473</v>
      </c>
      <c r="H179" s="564">
        <v>1329.0975000000001</v>
      </c>
      <c r="I179" s="564">
        <v>0</v>
      </c>
      <c r="J179" s="564">
        <v>20</v>
      </c>
      <c r="K179" s="564">
        <v>0</v>
      </c>
      <c r="L179" s="564">
        <v>2</v>
      </c>
      <c r="M179" s="561" t="s">
        <v>137</v>
      </c>
      <c r="N179" s="651">
        <v>4304756737</v>
      </c>
      <c r="O179" s="564" t="s">
        <v>769</v>
      </c>
      <c r="P179" s="564" t="s">
        <v>770</v>
      </c>
      <c r="Q179" s="564"/>
      <c r="R179" s="564">
        <v>2</v>
      </c>
    </row>
    <row r="180" spans="1:18" ht="15" customHeight="1" x14ac:dyDescent="0.25">
      <c r="A180" s="564">
        <v>2</v>
      </c>
      <c r="B180" s="564">
        <v>4</v>
      </c>
      <c r="C180" s="564">
        <v>2</v>
      </c>
      <c r="D180" s="564">
        <v>1</v>
      </c>
      <c r="E180" s="564">
        <v>2</v>
      </c>
      <c r="F180" s="564">
        <v>2</v>
      </c>
      <c r="G180" s="521" t="s">
        <v>476</v>
      </c>
      <c r="H180" s="564">
        <v>1329.0975000000001</v>
      </c>
      <c r="I180" s="564">
        <v>0</v>
      </c>
      <c r="J180" s="564">
        <v>20</v>
      </c>
      <c r="K180" s="564">
        <v>0</v>
      </c>
      <c r="L180" s="564">
        <v>2</v>
      </c>
      <c r="M180" s="561" t="s">
        <v>137</v>
      </c>
      <c r="N180" s="651">
        <v>4304756737</v>
      </c>
      <c r="O180" s="564" t="s">
        <v>769</v>
      </c>
      <c r="P180" s="564" t="s">
        <v>771</v>
      </c>
      <c r="Q180" s="564"/>
      <c r="R180" s="564">
        <v>2</v>
      </c>
    </row>
    <row r="181" spans="1:18" ht="15" customHeight="1" x14ac:dyDescent="0.25">
      <c r="A181" s="564">
        <v>2</v>
      </c>
      <c r="B181" s="564">
        <v>4</v>
      </c>
      <c r="C181" s="564">
        <v>2</v>
      </c>
      <c r="D181" s="564">
        <v>1</v>
      </c>
      <c r="E181" s="564">
        <v>2</v>
      </c>
      <c r="F181" s="564">
        <v>2</v>
      </c>
      <c r="G181" s="564" t="s">
        <v>478</v>
      </c>
      <c r="H181" s="564">
        <v>1329.0975000000001</v>
      </c>
      <c r="I181" s="564">
        <v>0</v>
      </c>
      <c r="J181" s="564">
        <v>20</v>
      </c>
      <c r="K181" s="564">
        <v>0</v>
      </c>
      <c r="L181" s="564">
        <v>2</v>
      </c>
      <c r="M181" s="561" t="s">
        <v>137</v>
      </c>
      <c r="N181" s="651">
        <v>4304756737</v>
      </c>
      <c r="O181" s="564" t="s">
        <v>769</v>
      </c>
      <c r="P181" s="564" t="s">
        <v>772</v>
      </c>
      <c r="Q181" s="564"/>
      <c r="R181" s="564">
        <v>2</v>
      </c>
    </row>
    <row r="182" spans="1:18" ht="15" customHeight="1" x14ac:dyDescent="0.25">
      <c r="A182" s="564">
        <v>2</v>
      </c>
      <c r="B182" s="564">
        <v>4</v>
      </c>
      <c r="C182" s="564">
        <v>2</v>
      </c>
      <c r="D182" s="564">
        <v>1</v>
      </c>
      <c r="E182" s="564">
        <v>2</v>
      </c>
      <c r="F182" s="564">
        <v>2</v>
      </c>
      <c r="G182" s="564" t="s">
        <v>484</v>
      </c>
      <c r="H182" s="564">
        <v>1329.0975000000001</v>
      </c>
      <c r="I182" s="564">
        <v>0</v>
      </c>
      <c r="J182" s="564">
        <v>20</v>
      </c>
      <c r="K182" s="564">
        <v>0</v>
      </c>
      <c r="L182" s="564">
        <v>2</v>
      </c>
      <c r="M182" s="561" t="s">
        <v>137</v>
      </c>
      <c r="N182" s="651">
        <v>4304756737</v>
      </c>
      <c r="O182" s="564" t="s">
        <v>769</v>
      </c>
      <c r="P182" s="564" t="s">
        <v>773</v>
      </c>
      <c r="Q182" s="564"/>
      <c r="R182" s="564">
        <v>2</v>
      </c>
    </row>
    <row r="183" spans="1:18" ht="15" customHeight="1" x14ac:dyDescent="0.25">
      <c r="A183" s="564">
        <v>2</v>
      </c>
      <c r="B183" s="564">
        <v>4</v>
      </c>
      <c r="C183" s="564">
        <v>2</v>
      </c>
      <c r="D183" s="564">
        <v>1</v>
      </c>
      <c r="E183" s="564">
        <v>2</v>
      </c>
      <c r="F183" s="564">
        <v>2</v>
      </c>
      <c r="G183" s="564" t="s">
        <v>486</v>
      </c>
      <c r="H183" s="564">
        <v>1327.625</v>
      </c>
      <c r="I183" s="564">
        <v>0</v>
      </c>
      <c r="J183" s="564">
        <v>6</v>
      </c>
      <c r="K183" s="564">
        <v>54</v>
      </c>
      <c r="L183" s="564">
        <v>1</v>
      </c>
      <c r="M183" s="561" t="s">
        <v>137</v>
      </c>
      <c r="N183" s="651">
        <v>4304756737</v>
      </c>
      <c r="O183" s="564" t="s">
        <v>769</v>
      </c>
      <c r="P183" s="564" t="s">
        <v>774</v>
      </c>
      <c r="Q183" s="564"/>
      <c r="R183" s="564">
        <v>2</v>
      </c>
    </row>
    <row r="184" spans="1:18" ht="15" customHeight="1" x14ac:dyDescent="0.25">
      <c r="A184" s="564">
        <v>2</v>
      </c>
      <c r="B184" s="564">
        <v>4</v>
      </c>
      <c r="C184" s="564">
        <v>2</v>
      </c>
      <c r="D184" s="564">
        <v>1</v>
      </c>
      <c r="E184" s="564">
        <v>2</v>
      </c>
      <c r="F184" s="564">
        <v>2</v>
      </c>
      <c r="G184" s="521" t="s">
        <v>488</v>
      </c>
      <c r="H184" s="564">
        <v>1327.625</v>
      </c>
      <c r="I184" s="564">
        <v>0</v>
      </c>
      <c r="J184" s="564">
        <v>6</v>
      </c>
      <c r="K184" s="564">
        <v>54</v>
      </c>
      <c r="L184" s="564">
        <v>1</v>
      </c>
      <c r="M184" s="561" t="s">
        <v>137</v>
      </c>
      <c r="N184" s="651">
        <v>4304756737</v>
      </c>
      <c r="O184" s="564" t="s">
        <v>769</v>
      </c>
      <c r="P184" s="564" t="s">
        <v>775</v>
      </c>
      <c r="Q184" s="564"/>
      <c r="R184" s="564">
        <v>2</v>
      </c>
    </row>
    <row r="185" spans="1:18" ht="15" customHeight="1" x14ac:dyDescent="0.25">
      <c r="A185" s="564">
        <v>2</v>
      </c>
      <c r="B185" s="564">
        <v>4</v>
      </c>
      <c r="C185" s="564">
        <v>2</v>
      </c>
      <c r="D185" s="564">
        <v>1</v>
      </c>
      <c r="E185" s="564">
        <v>2</v>
      </c>
      <c r="F185" s="564">
        <v>2</v>
      </c>
      <c r="G185" s="564" t="s">
        <v>490</v>
      </c>
      <c r="H185" s="564">
        <v>1318.34</v>
      </c>
      <c r="I185" s="564">
        <v>0</v>
      </c>
      <c r="J185" s="564">
        <v>5</v>
      </c>
      <c r="K185" s="564">
        <v>15</v>
      </c>
      <c r="L185" s="564">
        <v>1</v>
      </c>
      <c r="M185" s="561" t="s">
        <v>137</v>
      </c>
      <c r="N185" s="651">
        <v>4304756737</v>
      </c>
      <c r="O185" s="564" t="s">
        <v>769</v>
      </c>
      <c r="P185" s="564" t="s">
        <v>776</v>
      </c>
      <c r="Q185" s="564"/>
      <c r="R185" s="564">
        <v>2</v>
      </c>
    </row>
    <row r="186" spans="1:18" ht="15" customHeight="1" x14ac:dyDescent="0.25">
      <c r="A186" s="564">
        <v>2</v>
      </c>
      <c r="B186" s="564">
        <v>4</v>
      </c>
      <c r="C186" s="564">
        <v>2</v>
      </c>
      <c r="D186" s="564">
        <v>1</v>
      </c>
      <c r="E186" s="564">
        <v>2</v>
      </c>
      <c r="F186" s="564">
        <v>2</v>
      </c>
      <c r="G186" s="564" t="s">
        <v>493</v>
      </c>
      <c r="H186" s="564">
        <v>1318.34</v>
      </c>
      <c r="I186" s="564">
        <v>0</v>
      </c>
      <c r="J186" s="564">
        <v>5</v>
      </c>
      <c r="K186" s="564">
        <v>15</v>
      </c>
      <c r="L186" s="564">
        <v>1</v>
      </c>
      <c r="M186" s="561" t="s">
        <v>137</v>
      </c>
      <c r="N186" s="651">
        <v>4304756737</v>
      </c>
      <c r="O186" s="564" t="s">
        <v>769</v>
      </c>
      <c r="P186" s="564" t="s">
        <v>777</v>
      </c>
      <c r="Q186" s="564"/>
      <c r="R186" s="564">
        <v>2</v>
      </c>
    </row>
    <row r="187" spans="1:18" ht="15" customHeight="1" x14ac:dyDescent="0.25">
      <c r="A187" s="564">
        <v>2</v>
      </c>
      <c r="B187" s="564">
        <v>4</v>
      </c>
      <c r="C187" s="564">
        <v>2</v>
      </c>
      <c r="D187" s="564">
        <v>1</v>
      </c>
      <c r="E187" s="564">
        <v>2</v>
      </c>
      <c r="F187" s="564">
        <v>2</v>
      </c>
      <c r="G187" s="564" t="s">
        <v>474</v>
      </c>
      <c r="H187" s="564">
        <v>1315.34</v>
      </c>
      <c r="I187" s="564">
        <v>89</v>
      </c>
      <c r="J187" s="564">
        <v>49</v>
      </c>
      <c r="K187" s="564">
        <v>49</v>
      </c>
      <c r="L187" s="564">
        <v>3</v>
      </c>
      <c r="M187" s="561" t="s">
        <v>137</v>
      </c>
      <c r="N187" s="651">
        <v>4304756737</v>
      </c>
      <c r="O187" s="564" t="s">
        <v>769</v>
      </c>
      <c r="P187" s="564" t="s">
        <v>778</v>
      </c>
      <c r="Q187" s="564"/>
      <c r="R187" s="564">
        <v>2</v>
      </c>
    </row>
    <row r="188" spans="1:18" ht="15" customHeight="1" x14ac:dyDescent="0.25">
      <c r="A188" s="564">
        <v>2</v>
      </c>
      <c r="B188" s="564">
        <v>4</v>
      </c>
      <c r="C188" s="564">
        <v>2</v>
      </c>
      <c r="D188" s="564">
        <v>1</v>
      </c>
      <c r="E188" s="564">
        <v>2</v>
      </c>
      <c r="F188" s="564">
        <v>2</v>
      </c>
      <c r="G188" s="521" t="s">
        <v>477</v>
      </c>
      <c r="H188" s="564">
        <v>1315.34</v>
      </c>
      <c r="I188" s="564">
        <v>89</v>
      </c>
      <c r="J188" s="564">
        <v>49</v>
      </c>
      <c r="K188" s="564">
        <v>49</v>
      </c>
      <c r="L188" s="564">
        <v>3</v>
      </c>
      <c r="M188" s="561" t="s">
        <v>137</v>
      </c>
      <c r="N188" s="651">
        <v>4304756737</v>
      </c>
      <c r="O188" s="564" t="s">
        <v>769</v>
      </c>
      <c r="P188" s="564" t="s">
        <v>779</v>
      </c>
      <c r="Q188" s="564"/>
      <c r="R188" s="564">
        <v>2</v>
      </c>
    </row>
    <row r="189" spans="1:18" ht="15" customHeight="1" x14ac:dyDescent="0.25">
      <c r="A189" s="564">
        <v>2</v>
      </c>
      <c r="B189" s="564">
        <v>4</v>
      </c>
      <c r="C189" s="564">
        <v>2</v>
      </c>
      <c r="D189" s="564">
        <v>1</v>
      </c>
      <c r="E189" s="564">
        <v>2</v>
      </c>
      <c r="F189" s="564">
        <v>2</v>
      </c>
      <c r="G189" s="564" t="s">
        <v>479</v>
      </c>
      <c r="H189" s="564">
        <v>1311.06</v>
      </c>
      <c r="I189" s="564">
        <v>89</v>
      </c>
      <c r="J189" s="564">
        <v>23</v>
      </c>
      <c r="K189" s="564">
        <v>32</v>
      </c>
      <c r="L189" s="564">
        <v>4</v>
      </c>
      <c r="M189" s="561" t="s">
        <v>137</v>
      </c>
      <c r="N189" s="651">
        <v>4304756737</v>
      </c>
      <c r="O189" s="564" t="s">
        <v>769</v>
      </c>
      <c r="P189" s="564" t="s">
        <v>780</v>
      </c>
      <c r="Q189" s="564"/>
      <c r="R189" s="564">
        <v>2</v>
      </c>
    </row>
    <row r="190" spans="1:18" ht="15" customHeight="1" x14ac:dyDescent="0.25">
      <c r="A190" s="564">
        <v>2</v>
      </c>
      <c r="B190" s="564">
        <v>4</v>
      </c>
      <c r="C190" s="564">
        <v>2</v>
      </c>
      <c r="D190" s="564">
        <v>1</v>
      </c>
      <c r="E190" s="564">
        <v>2</v>
      </c>
      <c r="F190" s="564">
        <v>2</v>
      </c>
      <c r="G190" s="564" t="s">
        <v>485</v>
      </c>
      <c r="H190" s="564">
        <v>1311.06</v>
      </c>
      <c r="I190" s="564">
        <v>89</v>
      </c>
      <c r="J190" s="564">
        <v>23</v>
      </c>
      <c r="K190" s="564">
        <v>32</v>
      </c>
      <c r="L190" s="564">
        <v>4</v>
      </c>
      <c r="M190" s="561" t="s">
        <v>137</v>
      </c>
      <c r="N190" s="651">
        <v>4304756737</v>
      </c>
      <c r="O190" s="564" t="s">
        <v>769</v>
      </c>
      <c r="P190" s="564" t="s">
        <v>781</v>
      </c>
      <c r="Q190" s="564"/>
      <c r="R190" s="564">
        <v>2</v>
      </c>
    </row>
    <row r="191" spans="1:18" ht="15" customHeight="1" x14ac:dyDescent="0.25">
      <c r="A191" s="564">
        <v>2</v>
      </c>
      <c r="B191" s="564">
        <v>4</v>
      </c>
      <c r="C191" s="564">
        <v>2</v>
      </c>
      <c r="D191" s="564">
        <v>1</v>
      </c>
      <c r="E191" s="564">
        <v>2</v>
      </c>
      <c r="F191" s="564">
        <v>2</v>
      </c>
      <c r="G191" s="564" t="s">
        <v>487</v>
      </c>
      <c r="H191" s="564">
        <v>1320.53</v>
      </c>
      <c r="I191" s="564">
        <v>89</v>
      </c>
      <c r="J191" s="564">
        <v>40</v>
      </c>
      <c r="K191" s="564">
        <v>45</v>
      </c>
      <c r="L191" s="564">
        <v>4</v>
      </c>
      <c r="M191" s="561" t="s">
        <v>137</v>
      </c>
      <c r="N191" s="651">
        <v>4304756737</v>
      </c>
      <c r="O191" s="564" t="s">
        <v>769</v>
      </c>
      <c r="P191" s="564" t="s">
        <v>782</v>
      </c>
      <c r="Q191" s="564"/>
      <c r="R191" s="564">
        <v>2</v>
      </c>
    </row>
    <row r="192" spans="1:18" ht="15" customHeight="1" x14ac:dyDescent="0.25">
      <c r="A192" s="564">
        <v>2</v>
      </c>
      <c r="B192" s="564">
        <v>4</v>
      </c>
      <c r="C192" s="564">
        <v>2</v>
      </c>
      <c r="D192" s="564">
        <v>1</v>
      </c>
      <c r="E192" s="564">
        <v>2</v>
      </c>
      <c r="F192" s="564">
        <v>2</v>
      </c>
      <c r="G192" s="521" t="s">
        <v>489</v>
      </c>
      <c r="H192" s="564">
        <v>1320.53</v>
      </c>
      <c r="I192" s="564">
        <v>89</v>
      </c>
      <c r="J192" s="564">
        <v>40</v>
      </c>
      <c r="K192" s="564">
        <v>45</v>
      </c>
      <c r="L192" s="564">
        <v>4</v>
      </c>
      <c r="M192" s="561" t="s">
        <v>137</v>
      </c>
      <c r="N192" s="651">
        <v>4304756737</v>
      </c>
      <c r="O192" s="564" t="s">
        <v>769</v>
      </c>
      <c r="P192" s="564" t="s">
        <v>783</v>
      </c>
      <c r="Q192" s="564"/>
      <c r="R192" s="564">
        <v>2</v>
      </c>
    </row>
    <row r="193" spans="1:18" ht="15" customHeight="1" x14ac:dyDescent="0.25">
      <c r="A193" s="564">
        <v>2</v>
      </c>
      <c r="B193" s="564">
        <v>4</v>
      </c>
      <c r="C193" s="564">
        <v>2</v>
      </c>
      <c r="D193" s="564">
        <v>1</v>
      </c>
      <c r="E193" s="564">
        <v>2</v>
      </c>
      <c r="F193" s="564">
        <v>2</v>
      </c>
      <c r="G193" s="564" t="s">
        <v>491</v>
      </c>
      <c r="H193" s="564">
        <v>1325.99</v>
      </c>
      <c r="I193" s="564">
        <v>89</v>
      </c>
      <c r="J193" s="564">
        <v>35</v>
      </c>
      <c r="K193" s="564">
        <v>10</v>
      </c>
      <c r="L193" s="564">
        <v>3</v>
      </c>
      <c r="M193" s="561" t="s">
        <v>137</v>
      </c>
      <c r="N193" s="651">
        <v>4304756737</v>
      </c>
      <c r="O193" s="564" t="s">
        <v>769</v>
      </c>
      <c r="P193" s="564" t="s">
        <v>784</v>
      </c>
      <c r="Q193" s="564"/>
      <c r="R193" s="564">
        <v>2</v>
      </c>
    </row>
    <row r="194" spans="1:18" ht="15" customHeight="1" x14ac:dyDescent="0.25">
      <c r="A194" s="564">
        <v>2</v>
      </c>
      <c r="B194" s="564">
        <v>4</v>
      </c>
      <c r="C194" s="564">
        <v>2</v>
      </c>
      <c r="D194" s="564">
        <v>1</v>
      </c>
      <c r="E194" s="564">
        <v>2</v>
      </c>
      <c r="F194" s="564">
        <v>2</v>
      </c>
      <c r="G194" s="564" t="s">
        <v>494</v>
      </c>
      <c r="H194" s="564">
        <v>1325.99</v>
      </c>
      <c r="I194" s="564">
        <v>89</v>
      </c>
      <c r="J194" s="564">
        <v>35</v>
      </c>
      <c r="K194" s="564">
        <v>10</v>
      </c>
      <c r="L194" s="564">
        <v>3</v>
      </c>
      <c r="M194" s="561" t="s">
        <v>137</v>
      </c>
      <c r="N194" s="651">
        <v>4304756737</v>
      </c>
      <c r="O194" s="564" t="s">
        <v>769</v>
      </c>
      <c r="P194" s="564" t="s">
        <v>785</v>
      </c>
      <c r="Q194" s="564"/>
      <c r="R194" s="564">
        <v>2</v>
      </c>
    </row>
    <row r="195" spans="1:18" ht="15" customHeight="1" x14ac:dyDescent="0.25">
      <c r="A195" s="553">
        <v>3</v>
      </c>
      <c r="B195" s="553">
        <v>8</v>
      </c>
      <c r="C195" s="553">
        <v>2</v>
      </c>
      <c r="D195" s="553">
        <v>20</v>
      </c>
      <c r="E195" s="553">
        <v>1</v>
      </c>
      <c r="F195" s="553">
        <v>1</v>
      </c>
      <c r="G195" s="553" t="s">
        <v>473</v>
      </c>
      <c r="H195" s="553">
        <v>1352.22</v>
      </c>
      <c r="I195" s="553">
        <v>0</v>
      </c>
      <c r="J195" s="553">
        <v>45</v>
      </c>
      <c r="K195" s="553">
        <v>17</v>
      </c>
      <c r="L195" s="553">
        <v>4</v>
      </c>
      <c r="M195" s="505" t="s">
        <v>137</v>
      </c>
      <c r="N195" s="500">
        <v>43047563350000</v>
      </c>
      <c r="O195" s="553" t="s">
        <v>786</v>
      </c>
      <c r="P195" s="650" t="s">
        <v>787</v>
      </c>
      <c r="Q195" s="564" t="s">
        <v>583</v>
      </c>
      <c r="R195" s="564">
        <v>1</v>
      </c>
    </row>
    <row r="196" spans="1:18" ht="15" customHeight="1" x14ac:dyDescent="0.25">
      <c r="A196" s="553">
        <v>3</v>
      </c>
      <c r="B196" s="553">
        <v>8</v>
      </c>
      <c r="C196" s="553">
        <v>2</v>
      </c>
      <c r="D196" s="553">
        <v>20</v>
      </c>
      <c r="E196" s="553">
        <v>1</v>
      </c>
      <c r="F196" s="553">
        <v>1</v>
      </c>
      <c r="G196" s="502" t="s">
        <v>476</v>
      </c>
      <c r="H196" s="553">
        <v>1316.02</v>
      </c>
      <c r="I196" s="553">
        <v>0</v>
      </c>
      <c r="J196" s="553">
        <v>44</v>
      </c>
      <c r="K196" s="553">
        <v>39</v>
      </c>
      <c r="L196" s="553">
        <v>4</v>
      </c>
      <c r="M196" s="505" t="s">
        <v>137</v>
      </c>
      <c r="N196" s="500">
        <v>43047563350000</v>
      </c>
      <c r="O196" s="553" t="s">
        <v>786</v>
      </c>
      <c r="P196" s="650" t="s">
        <v>788</v>
      </c>
      <c r="Q196" s="564" t="s">
        <v>583</v>
      </c>
      <c r="R196" s="564">
        <v>1</v>
      </c>
    </row>
    <row r="197" spans="1:18" ht="15" customHeight="1" x14ac:dyDescent="0.25">
      <c r="A197" s="553">
        <v>3</v>
      </c>
      <c r="B197" s="553">
        <v>8</v>
      </c>
      <c r="C197" s="553">
        <v>2</v>
      </c>
      <c r="D197" s="553">
        <v>20</v>
      </c>
      <c r="E197" s="553">
        <v>1</v>
      </c>
      <c r="F197" s="553">
        <v>1</v>
      </c>
      <c r="G197" s="553" t="s">
        <v>478</v>
      </c>
      <c r="H197" s="553">
        <v>1326.2</v>
      </c>
      <c r="I197" s="553">
        <v>0</v>
      </c>
      <c r="J197" s="553">
        <v>27</v>
      </c>
      <c r="K197" s="553">
        <v>22</v>
      </c>
      <c r="L197" s="553">
        <v>4</v>
      </c>
      <c r="M197" s="505" t="s">
        <v>137</v>
      </c>
      <c r="N197" s="500">
        <v>43047563350000</v>
      </c>
      <c r="O197" s="553" t="s">
        <v>786</v>
      </c>
      <c r="P197" s="650" t="s">
        <v>789</v>
      </c>
      <c r="Q197" s="564" t="s">
        <v>583</v>
      </c>
      <c r="R197" s="564">
        <v>1</v>
      </c>
    </row>
    <row r="198" spans="1:18" ht="15" customHeight="1" x14ac:dyDescent="0.25">
      <c r="A198" s="553">
        <v>3</v>
      </c>
      <c r="B198" s="553">
        <v>8</v>
      </c>
      <c r="C198" s="553">
        <v>2</v>
      </c>
      <c r="D198" s="553">
        <v>20</v>
      </c>
      <c r="E198" s="553">
        <v>1</v>
      </c>
      <c r="F198" s="553">
        <v>1</v>
      </c>
      <c r="G198" s="553" t="s">
        <v>484</v>
      </c>
      <c r="H198" s="553">
        <v>1326.2</v>
      </c>
      <c r="I198" s="553">
        <v>0</v>
      </c>
      <c r="J198" s="553">
        <v>27</v>
      </c>
      <c r="K198" s="553">
        <v>22</v>
      </c>
      <c r="L198" s="553">
        <v>4</v>
      </c>
      <c r="M198" s="505" t="s">
        <v>137</v>
      </c>
      <c r="N198" s="500">
        <v>43047563350000</v>
      </c>
      <c r="O198" s="553" t="s">
        <v>786</v>
      </c>
      <c r="P198" s="650" t="s">
        <v>790</v>
      </c>
      <c r="Q198" s="564" t="s">
        <v>583</v>
      </c>
      <c r="R198" s="564">
        <v>1</v>
      </c>
    </row>
    <row r="199" spans="1:18" ht="15" customHeight="1" x14ac:dyDescent="0.25">
      <c r="A199" s="553">
        <v>3</v>
      </c>
      <c r="B199" s="553">
        <v>8</v>
      </c>
      <c r="C199" s="553">
        <v>2</v>
      </c>
      <c r="D199" s="553">
        <v>20</v>
      </c>
      <c r="E199" s="553">
        <v>1</v>
      </c>
      <c r="F199" s="553">
        <v>1</v>
      </c>
      <c r="G199" s="553" t="s">
        <v>486</v>
      </c>
      <c r="H199" s="553">
        <v>1328.7850000000001</v>
      </c>
      <c r="I199" s="553">
        <v>2</v>
      </c>
      <c r="J199" s="553">
        <v>40</v>
      </c>
      <c r="K199" s="553">
        <v>4</v>
      </c>
      <c r="L199" s="553">
        <v>4</v>
      </c>
      <c r="M199" s="505" t="s">
        <v>137</v>
      </c>
      <c r="N199" s="500">
        <v>43047563350000</v>
      </c>
      <c r="O199" s="553" t="s">
        <v>786</v>
      </c>
      <c r="P199" s="650" t="s">
        <v>791</v>
      </c>
      <c r="Q199" s="564" t="s">
        <v>583</v>
      </c>
      <c r="R199" s="564">
        <v>1</v>
      </c>
    </row>
    <row r="200" spans="1:18" ht="15" customHeight="1" x14ac:dyDescent="0.25">
      <c r="A200" s="553">
        <v>3</v>
      </c>
      <c r="B200" s="553">
        <v>8</v>
      </c>
      <c r="C200" s="553">
        <v>2</v>
      </c>
      <c r="D200" s="553">
        <v>20</v>
      </c>
      <c r="E200" s="553">
        <v>1</v>
      </c>
      <c r="F200" s="553">
        <v>1</v>
      </c>
      <c r="G200" s="502" t="s">
        <v>488</v>
      </c>
      <c r="H200" s="553">
        <v>1328.7850000000001</v>
      </c>
      <c r="I200" s="553">
        <v>2</v>
      </c>
      <c r="J200" s="553">
        <v>40</v>
      </c>
      <c r="K200" s="553">
        <v>4</v>
      </c>
      <c r="L200" s="553">
        <v>4</v>
      </c>
      <c r="M200" s="505" t="s">
        <v>137</v>
      </c>
      <c r="N200" s="500">
        <v>43047563350000</v>
      </c>
      <c r="O200" s="553" t="s">
        <v>786</v>
      </c>
      <c r="P200" s="650" t="s">
        <v>792</v>
      </c>
      <c r="Q200" s="564" t="s">
        <v>583</v>
      </c>
      <c r="R200" s="564">
        <v>1</v>
      </c>
    </row>
    <row r="201" spans="1:18" ht="15" customHeight="1" x14ac:dyDescent="0.25">
      <c r="A201" s="553">
        <v>3</v>
      </c>
      <c r="B201" s="553">
        <v>8</v>
      </c>
      <c r="C201" s="553">
        <v>2</v>
      </c>
      <c r="D201" s="553">
        <v>20</v>
      </c>
      <c r="E201" s="553">
        <v>1</v>
      </c>
      <c r="F201" s="553">
        <v>1</v>
      </c>
      <c r="G201" s="553" t="s">
        <v>490</v>
      </c>
      <c r="H201" s="553">
        <v>1320.115</v>
      </c>
      <c r="I201" s="553">
        <v>0</v>
      </c>
      <c r="J201" s="553">
        <v>25</v>
      </c>
      <c r="K201" s="553">
        <v>18</v>
      </c>
      <c r="L201" s="553">
        <v>2</v>
      </c>
      <c r="M201" s="505" t="s">
        <v>137</v>
      </c>
      <c r="N201" s="500">
        <v>43047563350000</v>
      </c>
      <c r="O201" s="553" t="s">
        <v>786</v>
      </c>
      <c r="P201" s="650" t="s">
        <v>793</v>
      </c>
      <c r="Q201" s="564" t="s">
        <v>583</v>
      </c>
      <c r="R201" s="564">
        <v>1</v>
      </c>
    </row>
    <row r="202" spans="1:18" ht="15" customHeight="1" x14ac:dyDescent="0.25">
      <c r="A202" s="553">
        <v>3</v>
      </c>
      <c r="B202" s="553">
        <v>8</v>
      </c>
      <c r="C202" s="553">
        <v>2</v>
      </c>
      <c r="D202" s="553">
        <v>20</v>
      </c>
      <c r="E202" s="553">
        <v>1</v>
      </c>
      <c r="F202" s="553">
        <v>1</v>
      </c>
      <c r="G202" s="553" t="s">
        <v>493</v>
      </c>
      <c r="H202" s="553">
        <v>1320.115</v>
      </c>
      <c r="I202" s="553">
        <v>0</v>
      </c>
      <c r="J202" s="553">
        <v>25</v>
      </c>
      <c r="K202" s="553">
        <v>18</v>
      </c>
      <c r="L202" s="553">
        <v>2</v>
      </c>
      <c r="M202" s="505" t="s">
        <v>137</v>
      </c>
      <c r="N202" s="500">
        <v>43047563350000</v>
      </c>
      <c r="O202" s="553" t="s">
        <v>786</v>
      </c>
      <c r="P202" s="650" t="s">
        <v>794</v>
      </c>
      <c r="Q202" s="564" t="s">
        <v>583</v>
      </c>
      <c r="R202" s="564">
        <v>1</v>
      </c>
    </row>
    <row r="203" spans="1:18" ht="15" customHeight="1" x14ac:dyDescent="0.25">
      <c r="A203" s="553">
        <v>3</v>
      </c>
      <c r="B203" s="553">
        <v>8</v>
      </c>
      <c r="C203" s="553">
        <v>2</v>
      </c>
      <c r="D203" s="553">
        <v>20</v>
      </c>
      <c r="E203" s="553">
        <v>1</v>
      </c>
      <c r="F203" s="553">
        <v>1</v>
      </c>
      <c r="G203" s="553" t="s">
        <v>474</v>
      </c>
      <c r="H203" s="553">
        <v>1315.74</v>
      </c>
      <c r="I203" s="553">
        <v>89</v>
      </c>
      <c r="J203" s="553">
        <v>49</v>
      </c>
      <c r="K203" s="553">
        <v>34</v>
      </c>
      <c r="L203" s="553">
        <v>3</v>
      </c>
      <c r="M203" s="505" t="s">
        <v>137</v>
      </c>
      <c r="N203" s="500">
        <v>43047563350000</v>
      </c>
      <c r="O203" s="553" t="s">
        <v>786</v>
      </c>
      <c r="P203" s="650" t="s">
        <v>795</v>
      </c>
      <c r="Q203" s="564" t="s">
        <v>583</v>
      </c>
      <c r="R203" s="564">
        <v>1</v>
      </c>
    </row>
    <row r="204" spans="1:18" ht="15" customHeight="1" x14ac:dyDescent="0.25">
      <c r="A204" s="553">
        <v>3</v>
      </c>
      <c r="B204" s="553">
        <v>8</v>
      </c>
      <c r="C204" s="553">
        <v>2</v>
      </c>
      <c r="D204" s="553">
        <v>20</v>
      </c>
      <c r="E204" s="553">
        <v>1</v>
      </c>
      <c r="F204" s="553">
        <v>1</v>
      </c>
      <c r="G204" s="502" t="s">
        <v>477</v>
      </c>
      <c r="H204" s="553">
        <v>1315.74</v>
      </c>
      <c r="I204" s="553">
        <v>89</v>
      </c>
      <c r="J204" s="553">
        <v>49</v>
      </c>
      <c r="K204" s="553">
        <v>34</v>
      </c>
      <c r="L204" s="553">
        <v>3</v>
      </c>
      <c r="M204" s="505" t="s">
        <v>137</v>
      </c>
      <c r="N204" s="500">
        <v>43047563350000</v>
      </c>
      <c r="O204" s="553" t="s">
        <v>786</v>
      </c>
      <c r="P204" s="650" t="s">
        <v>796</v>
      </c>
      <c r="Q204" s="564" t="s">
        <v>583</v>
      </c>
      <c r="R204" s="564">
        <v>1</v>
      </c>
    </row>
    <row r="205" spans="1:18" ht="15" customHeight="1" x14ac:dyDescent="0.25">
      <c r="A205" s="553">
        <v>3</v>
      </c>
      <c r="B205" s="553">
        <v>8</v>
      </c>
      <c r="C205" s="553">
        <v>2</v>
      </c>
      <c r="D205" s="553">
        <v>20</v>
      </c>
      <c r="E205" s="553">
        <v>1</v>
      </c>
      <c r="F205" s="553">
        <v>1</v>
      </c>
      <c r="G205" s="553" t="s">
        <v>479</v>
      </c>
      <c r="H205" s="553">
        <v>1330.9849999999999</v>
      </c>
      <c r="I205" s="553">
        <v>89</v>
      </c>
      <c r="J205" s="553">
        <v>17</v>
      </c>
      <c r="K205" s="553">
        <v>56</v>
      </c>
      <c r="L205" s="553">
        <v>3</v>
      </c>
      <c r="M205" s="505" t="s">
        <v>137</v>
      </c>
      <c r="N205" s="500">
        <v>43047563350000</v>
      </c>
      <c r="O205" s="553" t="s">
        <v>786</v>
      </c>
      <c r="P205" s="650" t="s">
        <v>797</v>
      </c>
      <c r="Q205" s="564" t="s">
        <v>583</v>
      </c>
      <c r="R205" s="564">
        <v>1</v>
      </c>
    </row>
    <row r="206" spans="1:18" ht="15" customHeight="1" x14ac:dyDescent="0.25">
      <c r="A206" s="553">
        <v>3</v>
      </c>
      <c r="B206" s="553">
        <v>8</v>
      </c>
      <c r="C206" s="553">
        <v>2</v>
      </c>
      <c r="D206" s="553">
        <v>20</v>
      </c>
      <c r="E206" s="553">
        <v>1</v>
      </c>
      <c r="F206" s="553">
        <v>1</v>
      </c>
      <c r="G206" s="553" t="s">
        <v>485</v>
      </c>
      <c r="H206" s="553">
        <v>1330.9849999999999</v>
      </c>
      <c r="I206" s="553">
        <v>89</v>
      </c>
      <c r="J206" s="553">
        <v>17</v>
      </c>
      <c r="K206" s="553">
        <v>56</v>
      </c>
      <c r="L206" s="553">
        <v>3</v>
      </c>
      <c r="M206" s="505" t="s">
        <v>137</v>
      </c>
      <c r="N206" s="500">
        <v>43047563350000</v>
      </c>
      <c r="O206" s="553" t="s">
        <v>786</v>
      </c>
      <c r="P206" s="650" t="s">
        <v>798</v>
      </c>
      <c r="Q206" s="564" t="s">
        <v>583</v>
      </c>
      <c r="R206" s="564">
        <v>1</v>
      </c>
    </row>
    <row r="207" spans="1:18" ht="15" customHeight="1" x14ac:dyDescent="0.25">
      <c r="A207" s="553">
        <v>3</v>
      </c>
      <c r="B207" s="553">
        <v>8</v>
      </c>
      <c r="C207" s="553">
        <v>2</v>
      </c>
      <c r="D207" s="553">
        <v>20</v>
      </c>
      <c r="E207" s="553">
        <v>1</v>
      </c>
      <c r="F207" s="553">
        <v>1</v>
      </c>
      <c r="G207" s="553" t="s">
        <v>487</v>
      </c>
      <c r="H207" s="553">
        <v>1335.4749999999999</v>
      </c>
      <c r="I207" s="553">
        <v>89</v>
      </c>
      <c r="J207" s="553">
        <v>17</v>
      </c>
      <c r="K207" s="553">
        <v>29</v>
      </c>
      <c r="L207" s="553">
        <v>3</v>
      </c>
      <c r="M207" s="505" t="s">
        <v>137</v>
      </c>
      <c r="N207" s="500">
        <v>43047563350000</v>
      </c>
      <c r="O207" s="553" t="s">
        <v>786</v>
      </c>
      <c r="P207" s="650" t="s">
        <v>799</v>
      </c>
      <c r="Q207" s="564" t="s">
        <v>583</v>
      </c>
      <c r="R207" s="564">
        <v>1</v>
      </c>
    </row>
    <row r="208" spans="1:18" ht="15" customHeight="1" x14ac:dyDescent="0.25">
      <c r="A208" s="553">
        <v>3</v>
      </c>
      <c r="B208" s="553">
        <v>8</v>
      </c>
      <c r="C208" s="553">
        <v>2</v>
      </c>
      <c r="D208" s="553">
        <v>20</v>
      </c>
      <c r="E208" s="553">
        <v>1</v>
      </c>
      <c r="F208" s="553">
        <v>1</v>
      </c>
      <c r="G208" s="502" t="s">
        <v>489</v>
      </c>
      <c r="H208" s="553">
        <v>1335.4749999999999</v>
      </c>
      <c r="I208" s="553">
        <v>89</v>
      </c>
      <c r="J208" s="553">
        <v>17</v>
      </c>
      <c r="K208" s="553">
        <v>29</v>
      </c>
      <c r="L208" s="553">
        <v>3</v>
      </c>
      <c r="M208" s="505" t="s">
        <v>137</v>
      </c>
      <c r="N208" s="500">
        <v>43047563350000</v>
      </c>
      <c r="O208" s="553" t="s">
        <v>786</v>
      </c>
      <c r="P208" s="650" t="s">
        <v>800</v>
      </c>
      <c r="Q208" s="564" t="s">
        <v>583</v>
      </c>
      <c r="R208" s="564">
        <v>1</v>
      </c>
    </row>
    <row r="209" spans="1:18" ht="15" customHeight="1" x14ac:dyDescent="0.25">
      <c r="A209" s="553">
        <v>3</v>
      </c>
      <c r="B209" s="553">
        <v>8</v>
      </c>
      <c r="C209" s="553">
        <v>2</v>
      </c>
      <c r="D209" s="553">
        <v>20</v>
      </c>
      <c r="E209" s="553">
        <v>1</v>
      </c>
      <c r="F209" s="553">
        <v>1</v>
      </c>
      <c r="G209" s="553" t="s">
        <v>491</v>
      </c>
      <c r="H209" s="553">
        <v>1335.4749999999999</v>
      </c>
      <c r="I209" s="553">
        <v>89</v>
      </c>
      <c r="J209" s="553">
        <v>17</v>
      </c>
      <c r="K209" s="553">
        <v>29</v>
      </c>
      <c r="L209" s="553">
        <v>3</v>
      </c>
      <c r="M209" s="505" t="s">
        <v>137</v>
      </c>
      <c r="N209" s="500">
        <v>43047563350000</v>
      </c>
      <c r="O209" s="553" t="s">
        <v>786</v>
      </c>
      <c r="P209" s="650" t="s">
        <v>801</v>
      </c>
      <c r="Q209" s="564" t="s">
        <v>583</v>
      </c>
      <c r="R209" s="564">
        <v>1</v>
      </c>
    </row>
    <row r="210" spans="1:18" ht="15" customHeight="1" x14ac:dyDescent="0.25">
      <c r="A210" s="553">
        <v>3</v>
      </c>
      <c r="B210" s="553">
        <v>8</v>
      </c>
      <c r="C210" s="553">
        <v>2</v>
      </c>
      <c r="D210" s="553">
        <v>20</v>
      </c>
      <c r="E210" s="553">
        <v>1</v>
      </c>
      <c r="F210" s="553">
        <v>1</v>
      </c>
      <c r="G210" s="553" t="s">
        <v>494</v>
      </c>
      <c r="H210" s="553">
        <v>1335.4749999999999</v>
      </c>
      <c r="I210" s="553">
        <v>89</v>
      </c>
      <c r="J210" s="553">
        <v>17</v>
      </c>
      <c r="K210" s="553">
        <v>29</v>
      </c>
      <c r="L210" s="553">
        <v>3</v>
      </c>
      <c r="M210" s="505" t="s">
        <v>137</v>
      </c>
      <c r="N210" s="500">
        <v>43047563350000</v>
      </c>
      <c r="O210" s="553" t="s">
        <v>786</v>
      </c>
      <c r="P210" s="650" t="s">
        <v>802</v>
      </c>
      <c r="Q210" s="564" t="s">
        <v>583</v>
      </c>
      <c r="R210" s="564">
        <v>1</v>
      </c>
    </row>
    <row r="211" spans="1:18" ht="15" customHeight="1" x14ac:dyDescent="0.25">
      <c r="A211" s="553">
        <v>3</v>
      </c>
      <c r="B211" s="553">
        <v>2</v>
      </c>
      <c r="C211" s="553">
        <v>2</v>
      </c>
      <c r="D211" s="553">
        <v>3</v>
      </c>
      <c r="E211" s="553">
        <v>2</v>
      </c>
      <c r="F211" s="553">
        <v>2</v>
      </c>
      <c r="G211" s="553" t="s">
        <v>473</v>
      </c>
      <c r="H211" s="553">
        <v>1327.825</v>
      </c>
      <c r="I211" s="553">
        <v>0</v>
      </c>
      <c r="J211" s="553">
        <v>33</v>
      </c>
      <c r="K211" s="553">
        <v>26</v>
      </c>
      <c r="L211" s="553">
        <v>2</v>
      </c>
      <c r="M211" s="505" t="s">
        <v>137</v>
      </c>
      <c r="N211" s="500">
        <v>43013538670000</v>
      </c>
      <c r="O211" s="553" t="s">
        <v>599</v>
      </c>
      <c r="P211" s="650" t="s">
        <v>803</v>
      </c>
      <c r="Q211" s="564" t="s">
        <v>583</v>
      </c>
      <c r="R211" s="564">
        <v>2</v>
      </c>
    </row>
    <row r="212" spans="1:18" ht="15" customHeight="1" x14ac:dyDescent="0.25">
      <c r="A212" s="553">
        <v>3</v>
      </c>
      <c r="B212" s="553">
        <v>2</v>
      </c>
      <c r="C212" s="553">
        <v>2</v>
      </c>
      <c r="D212" s="553">
        <v>3</v>
      </c>
      <c r="E212" s="553">
        <v>2</v>
      </c>
      <c r="F212" s="553">
        <v>2</v>
      </c>
      <c r="G212" s="502" t="s">
        <v>476</v>
      </c>
      <c r="H212" s="553">
        <v>1327.825</v>
      </c>
      <c r="I212" s="553">
        <v>0</v>
      </c>
      <c r="J212" s="553">
        <v>33</v>
      </c>
      <c r="K212" s="553">
        <v>26</v>
      </c>
      <c r="L212" s="553">
        <v>2</v>
      </c>
      <c r="M212" s="505" t="s">
        <v>137</v>
      </c>
      <c r="N212" s="500">
        <v>43013538670000</v>
      </c>
      <c r="O212" s="553" t="s">
        <v>599</v>
      </c>
      <c r="P212" s="650" t="s">
        <v>804</v>
      </c>
      <c r="Q212" s="564" t="s">
        <v>583</v>
      </c>
      <c r="R212" s="564">
        <v>2</v>
      </c>
    </row>
    <row r="213" spans="1:18" ht="15" customHeight="1" x14ac:dyDescent="0.25">
      <c r="A213" s="553">
        <v>3</v>
      </c>
      <c r="B213" s="553">
        <v>2</v>
      </c>
      <c r="C213" s="553">
        <v>2</v>
      </c>
      <c r="D213" s="553">
        <v>3</v>
      </c>
      <c r="E213" s="553">
        <v>2</v>
      </c>
      <c r="F213" s="553">
        <v>2</v>
      </c>
      <c r="G213" s="553" t="s">
        <v>478</v>
      </c>
      <c r="H213" s="553">
        <v>1327.825</v>
      </c>
      <c r="I213" s="553">
        <v>0</v>
      </c>
      <c r="J213" s="553">
        <v>33</v>
      </c>
      <c r="K213" s="553">
        <v>26</v>
      </c>
      <c r="L213" s="553">
        <v>2</v>
      </c>
      <c r="M213" s="505" t="s">
        <v>137</v>
      </c>
      <c r="N213" s="500">
        <v>43013538670000</v>
      </c>
      <c r="O213" s="553" t="s">
        <v>599</v>
      </c>
      <c r="P213" s="650" t="s">
        <v>805</v>
      </c>
      <c r="Q213" s="564" t="s">
        <v>583</v>
      </c>
      <c r="R213" s="564">
        <v>2</v>
      </c>
    </row>
    <row r="214" spans="1:18" ht="15" customHeight="1" x14ac:dyDescent="0.25">
      <c r="A214" s="553">
        <v>3</v>
      </c>
      <c r="B214" s="553">
        <v>2</v>
      </c>
      <c r="C214" s="553">
        <v>2</v>
      </c>
      <c r="D214" s="553">
        <v>3</v>
      </c>
      <c r="E214" s="553">
        <v>2</v>
      </c>
      <c r="F214" s="553">
        <v>2</v>
      </c>
      <c r="G214" s="553" t="s">
        <v>484</v>
      </c>
      <c r="H214" s="553">
        <v>1327.825</v>
      </c>
      <c r="I214" s="553">
        <v>0</v>
      </c>
      <c r="J214" s="553">
        <v>33</v>
      </c>
      <c r="K214" s="553">
        <v>26</v>
      </c>
      <c r="L214" s="553">
        <v>2</v>
      </c>
      <c r="M214" s="505" t="s">
        <v>137</v>
      </c>
      <c r="N214" s="500">
        <v>43013538670000</v>
      </c>
      <c r="O214" s="553" t="s">
        <v>599</v>
      </c>
      <c r="P214" s="650" t="s">
        <v>806</v>
      </c>
      <c r="Q214" s="564" t="s">
        <v>583</v>
      </c>
      <c r="R214" s="564">
        <v>2</v>
      </c>
    </row>
    <row r="215" spans="1:18" ht="15" customHeight="1" x14ac:dyDescent="0.25">
      <c r="A215" s="553">
        <v>3</v>
      </c>
      <c r="B215" s="553">
        <v>2</v>
      </c>
      <c r="C215" s="553">
        <v>2</v>
      </c>
      <c r="D215" s="553">
        <v>3</v>
      </c>
      <c r="E215" s="553">
        <v>2</v>
      </c>
      <c r="F215" s="553">
        <v>2</v>
      </c>
      <c r="G215" s="553" t="s">
        <v>486</v>
      </c>
      <c r="H215" s="553">
        <v>1335.2750000000001</v>
      </c>
      <c r="I215" s="553">
        <v>0</v>
      </c>
      <c r="J215" s="553">
        <v>1</v>
      </c>
      <c r="K215" s="553">
        <v>43</v>
      </c>
      <c r="L215" s="553">
        <v>2</v>
      </c>
      <c r="M215" s="505" t="s">
        <v>137</v>
      </c>
      <c r="N215" s="500">
        <v>43013538670000</v>
      </c>
      <c r="O215" s="553" t="s">
        <v>599</v>
      </c>
      <c r="P215" s="650" t="s">
        <v>807</v>
      </c>
      <c r="Q215" s="564" t="s">
        <v>583</v>
      </c>
      <c r="R215" s="564">
        <v>2</v>
      </c>
    </row>
    <row r="216" spans="1:18" ht="15" customHeight="1" x14ac:dyDescent="0.25">
      <c r="A216" s="553">
        <v>3</v>
      </c>
      <c r="B216" s="553">
        <v>2</v>
      </c>
      <c r="C216" s="553">
        <v>2</v>
      </c>
      <c r="D216" s="553">
        <v>3</v>
      </c>
      <c r="E216" s="553">
        <v>2</v>
      </c>
      <c r="F216" s="553">
        <v>2</v>
      </c>
      <c r="G216" s="502" t="s">
        <v>488</v>
      </c>
      <c r="H216" s="553">
        <v>1335.2750000000001</v>
      </c>
      <c r="I216" s="553">
        <v>0</v>
      </c>
      <c r="J216" s="553">
        <v>1</v>
      </c>
      <c r="K216" s="553">
        <v>43</v>
      </c>
      <c r="L216" s="553">
        <v>2</v>
      </c>
      <c r="M216" s="505" t="s">
        <v>137</v>
      </c>
      <c r="N216" s="500">
        <v>43013538670000</v>
      </c>
      <c r="O216" s="553" t="s">
        <v>599</v>
      </c>
      <c r="P216" s="650" t="s">
        <v>808</v>
      </c>
      <c r="Q216" s="564" t="s">
        <v>583</v>
      </c>
      <c r="R216" s="564">
        <v>2</v>
      </c>
    </row>
    <row r="217" spans="1:18" ht="15" customHeight="1" x14ac:dyDescent="0.25">
      <c r="A217" s="553">
        <v>3</v>
      </c>
      <c r="B217" s="553">
        <v>2</v>
      </c>
      <c r="C217" s="553">
        <v>2</v>
      </c>
      <c r="D217" s="553">
        <v>3</v>
      </c>
      <c r="E217" s="553">
        <v>2</v>
      </c>
      <c r="F217" s="553">
        <v>2</v>
      </c>
      <c r="G217" s="553" t="s">
        <v>490</v>
      </c>
      <c r="H217" s="553">
        <v>1340.385</v>
      </c>
      <c r="I217" s="553">
        <v>0</v>
      </c>
      <c r="J217" s="553">
        <v>3</v>
      </c>
      <c r="K217" s="553">
        <v>49</v>
      </c>
      <c r="L217" s="553">
        <v>4</v>
      </c>
      <c r="M217" s="505" t="s">
        <v>137</v>
      </c>
      <c r="N217" s="500">
        <v>43013538670000</v>
      </c>
      <c r="O217" s="553" t="s">
        <v>599</v>
      </c>
      <c r="P217" s="650" t="s">
        <v>809</v>
      </c>
      <c r="Q217" s="564" t="s">
        <v>583</v>
      </c>
      <c r="R217" s="564">
        <v>2</v>
      </c>
    </row>
    <row r="218" spans="1:18" ht="15" customHeight="1" x14ac:dyDescent="0.25">
      <c r="A218" s="553">
        <v>3</v>
      </c>
      <c r="B218" s="553">
        <v>2</v>
      </c>
      <c r="C218" s="553">
        <v>2</v>
      </c>
      <c r="D218" s="553">
        <v>3</v>
      </c>
      <c r="E218" s="553">
        <v>2</v>
      </c>
      <c r="F218" s="553">
        <v>2</v>
      </c>
      <c r="G218" s="553" t="s">
        <v>493</v>
      </c>
      <c r="H218" s="553">
        <v>1340.385</v>
      </c>
      <c r="I218" s="553">
        <v>0</v>
      </c>
      <c r="J218" s="553">
        <v>3</v>
      </c>
      <c r="K218" s="553">
        <v>49</v>
      </c>
      <c r="L218" s="553">
        <v>4</v>
      </c>
      <c r="M218" s="505" t="s">
        <v>137</v>
      </c>
      <c r="N218" s="500">
        <v>43013538670000</v>
      </c>
      <c r="O218" s="553" t="s">
        <v>599</v>
      </c>
      <c r="P218" s="650" t="s">
        <v>810</v>
      </c>
      <c r="Q218" s="564" t="s">
        <v>583</v>
      </c>
      <c r="R218" s="564">
        <v>2</v>
      </c>
    </row>
    <row r="219" spans="1:18" ht="15" customHeight="1" x14ac:dyDescent="0.25">
      <c r="A219" s="553">
        <v>3</v>
      </c>
      <c r="B219" s="553">
        <v>2</v>
      </c>
      <c r="C219" s="553">
        <v>2</v>
      </c>
      <c r="D219" s="553">
        <v>3</v>
      </c>
      <c r="E219" s="553">
        <v>2</v>
      </c>
      <c r="F219" s="553">
        <v>2</v>
      </c>
      <c r="G219" s="553" t="s">
        <v>474</v>
      </c>
      <c r="H219" s="553">
        <v>1323.075</v>
      </c>
      <c r="I219" s="553">
        <v>89</v>
      </c>
      <c r="J219" s="553">
        <v>59</v>
      </c>
      <c r="K219" s="553">
        <v>59</v>
      </c>
      <c r="L219" s="553">
        <v>4</v>
      </c>
      <c r="M219" s="505" t="s">
        <v>137</v>
      </c>
      <c r="N219" s="500">
        <v>43013538670000</v>
      </c>
      <c r="O219" s="553" t="s">
        <v>599</v>
      </c>
      <c r="P219" s="650" t="s">
        <v>811</v>
      </c>
      <c r="Q219" s="564" t="s">
        <v>583</v>
      </c>
      <c r="R219" s="564">
        <v>2</v>
      </c>
    </row>
    <row r="220" spans="1:18" ht="15" customHeight="1" x14ac:dyDescent="0.25">
      <c r="A220" s="553">
        <v>3</v>
      </c>
      <c r="B220" s="553">
        <v>2</v>
      </c>
      <c r="C220" s="553">
        <v>2</v>
      </c>
      <c r="D220" s="553">
        <v>3</v>
      </c>
      <c r="E220" s="553">
        <v>2</v>
      </c>
      <c r="F220" s="553">
        <v>2</v>
      </c>
      <c r="G220" s="502" t="s">
        <v>477</v>
      </c>
      <c r="H220" s="553">
        <v>1323.075</v>
      </c>
      <c r="I220" s="553">
        <v>89</v>
      </c>
      <c r="J220" s="553">
        <v>59</v>
      </c>
      <c r="K220" s="553">
        <v>59</v>
      </c>
      <c r="L220" s="553">
        <v>4</v>
      </c>
      <c r="M220" s="505" t="s">
        <v>137</v>
      </c>
      <c r="N220" s="500">
        <v>43013538670000</v>
      </c>
      <c r="O220" s="553" t="s">
        <v>599</v>
      </c>
      <c r="P220" s="650" t="s">
        <v>812</v>
      </c>
      <c r="Q220" s="564" t="s">
        <v>583</v>
      </c>
      <c r="R220" s="564">
        <v>2</v>
      </c>
    </row>
    <row r="221" spans="1:18" ht="15" customHeight="1" x14ac:dyDescent="0.25">
      <c r="A221" s="553">
        <v>3</v>
      </c>
      <c r="B221" s="553">
        <v>2</v>
      </c>
      <c r="C221" s="553">
        <v>2</v>
      </c>
      <c r="D221" s="553">
        <v>3</v>
      </c>
      <c r="E221" s="553">
        <v>2</v>
      </c>
      <c r="F221" s="553">
        <v>2</v>
      </c>
      <c r="G221" s="553" t="s">
        <v>479</v>
      </c>
      <c r="H221" s="553">
        <v>1321.06</v>
      </c>
      <c r="I221" s="553">
        <v>89</v>
      </c>
      <c r="J221" s="553">
        <v>57</v>
      </c>
      <c r="K221" s="553">
        <v>32</v>
      </c>
      <c r="L221" s="553">
        <v>3</v>
      </c>
      <c r="M221" s="505" t="s">
        <v>137</v>
      </c>
      <c r="N221" s="500">
        <v>43013538670000</v>
      </c>
      <c r="O221" s="553" t="s">
        <v>599</v>
      </c>
      <c r="P221" s="650" t="s">
        <v>813</v>
      </c>
      <c r="Q221" s="564" t="s">
        <v>583</v>
      </c>
      <c r="R221" s="564">
        <v>2</v>
      </c>
    </row>
    <row r="222" spans="1:18" ht="15" customHeight="1" x14ac:dyDescent="0.25">
      <c r="A222" s="553">
        <v>3</v>
      </c>
      <c r="B222" s="553">
        <v>2</v>
      </c>
      <c r="C222" s="553">
        <v>2</v>
      </c>
      <c r="D222" s="553">
        <v>3</v>
      </c>
      <c r="E222" s="553">
        <v>2</v>
      </c>
      <c r="F222" s="553">
        <v>2</v>
      </c>
      <c r="G222" s="553" t="s">
        <v>485</v>
      </c>
      <c r="H222" s="553">
        <v>1321.06</v>
      </c>
      <c r="I222" s="553">
        <v>89</v>
      </c>
      <c r="J222" s="553">
        <v>57</v>
      </c>
      <c r="K222" s="553">
        <v>32</v>
      </c>
      <c r="L222" s="553">
        <v>3</v>
      </c>
      <c r="M222" s="505" t="s">
        <v>137</v>
      </c>
      <c r="N222" s="500">
        <v>43013538670000</v>
      </c>
      <c r="O222" s="553" t="s">
        <v>599</v>
      </c>
      <c r="P222" s="650" t="s">
        <v>814</v>
      </c>
      <c r="Q222" s="564" t="s">
        <v>583</v>
      </c>
      <c r="R222" s="564">
        <v>2</v>
      </c>
    </row>
    <row r="223" spans="1:18" ht="15" customHeight="1" x14ac:dyDescent="0.25">
      <c r="A223" s="553">
        <v>3</v>
      </c>
      <c r="B223" s="553">
        <v>2</v>
      </c>
      <c r="C223" s="553">
        <v>2</v>
      </c>
      <c r="D223" s="553">
        <v>3</v>
      </c>
      <c r="E223" s="553">
        <v>2</v>
      </c>
      <c r="F223" s="553">
        <v>2</v>
      </c>
      <c r="G223" s="553" t="s">
        <v>487</v>
      </c>
      <c r="H223" s="553">
        <v>1341.23</v>
      </c>
      <c r="I223" s="553">
        <v>89</v>
      </c>
      <c r="J223" s="553">
        <v>48</v>
      </c>
      <c r="K223" s="553">
        <v>31</v>
      </c>
      <c r="L223" s="553">
        <v>4</v>
      </c>
      <c r="M223" s="505" t="s">
        <v>137</v>
      </c>
      <c r="N223" s="500">
        <v>43013538670000</v>
      </c>
      <c r="O223" s="553" t="s">
        <v>599</v>
      </c>
      <c r="P223" s="650" t="s">
        <v>815</v>
      </c>
      <c r="Q223" s="564" t="s">
        <v>583</v>
      </c>
      <c r="R223" s="564">
        <v>2</v>
      </c>
    </row>
    <row r="224" spans="1:18" ht="15" customHeight="1" x14ac:dyDescent="0.25">
      <c r="A224" s="553">
        <v>3</v>
      </c>
      <c r="B224" s="553">
        <v>2</v>
      </c>
      <c r="C224" s="553">
        <v>2</v>
      </c>
      <c r="D224" s="553">
        <v>3</v>
      </c>
      <c r="E224" s="553">
        <v>2</v>
      </c>
      <c r="F224" s="553">
        <v>2</v>
      </c>
      <c r="G224" s="502" t="s">
        <v>489</v>
      </c>
      <c r="H224" s="553">
        <v>1341.23</v>
      </c>
      <c r="I224" s="553">
        <v>89</v>
      </c>
      <c r="J224" s="553">
        <v>48</v>
      </c>
      <c r="K224" s="553">
        <v>31</v>
      </c>
      <c r="L224" s="553">
        <v>4</v>
      </c>
      <c r="M224" s="505" t="s">
        <v>137</v>
      </c>
      <c r="N224" s="500">
        <v>43013538670000</v>
      </c>
      <c r="O224" s="553" t="s">
        <v>599</v>
      </c>
      <c r="P224" s="650" t="s">
        <v>816</v>
      </c>
      <c r="Q224" s="564" t="s">
        <v>583</v>
      </c>
      <c r="R224" s="564">
        <v>2</v>
      </c>
    </row>
    <row r="225" spans="1:18" ht="15" customHeight="1" x14ac:dyDescent="0.25">
      <c r="A225" s="553">
        <v>3</v>
      </c>
      <c r="B225" s="553">
        <v>2</v>
      </c>
      <c r="C225" s="553">
        <v>2</v>
      </c>
      <c r="D225" s="553">
        <v>3</v>
      </c>
      <c r="E225" s="553">
        <v>2</v>
      </c>
      <c r="F225" s="553">
        <v>2</v>
      </c>
      <c r="G225" s="553" t="s">
        <v>491</v>
      </c>
      <c r="H225" s="553">
        <v>1329.635</v>
      </c>
      <c r="I225" s="553">
        <v>89</v>
      </c>
      <c r="J225" s="553">
        <v>21</v>
      </c>
      <c r="K225" s="553">
        <v>57</v>
      </c>
      <c r="L225" s="553">
        <v>4</v>
      </c>
      <c r="M225" s="505" t="s">
        <v>137</v>
      </c>
      <c r="N225" s="500">
        <v>43013538670000</v>
      </c>
      <c r="O225" s="553" t="s">
        <v>599</v>
      </c>
      <c r="P225" s="650" t="s">
        <v>817</v>
      </c>
      <c r="Q225" s="564" t="s">
        <v>583</v>
      </c>
      <c r="R225" s="564">
        <v>2</v>
      </c>
    </row>
    <row r="226" spans="1:18" ht="14.25" customHeight="1" x14ac:dyDescent="0.25">
      <c r="A226" s="553">
        <v>3</v>
      </c>
      <c r="B226" s="553">
        <v>2</v>
      </c>
      <c r="C226" s="553">
        <v>2</v>
      </c>
      <c r="D226" s="553">
        <v>3</v>
      </c>
      <c r="E226" s="553">
        <v>2</v>
      </c>
      <c r="F226" s="553">
        <v>2</v>
      </c>
      <c r="G226" s="553" t="s">
        <v>494</v>
      </c>
      <c r="H226" s="553">
        <v>1329.635</v>
      </c>
      <c r="I226" s="553">
        <v>89</v>
      </c>
      <c r="J226" s="553">
        <v>21</v>
      </c>
      <c r="K226" s="553">
        <v>57</v>
      </c>
      <c r="L226" s="553">
        <v>4</v>
      </c>
      <c r="M226" s="505" t="s">
        <v>137</v>
      </c>
      <c r="N226" s="500">
        <v>43013538670000</v>
      </c>
      <c r="O226" s="553" t="s">
        <v>599</v>
      </c>
      <c r="P226" s="650" t="s">
        <v>818</v>
      </c>
      <c r="Q226" s="564" t="s">
        <v>583</v>
      </c>
      <c r="R226" s="564">
        <v>2</v>
      </c>
    </row>
    <row r="227" spans="1:18" ht="15" customHeight="1" x14ac:dyDescent="0.25">
      <c r="A227" s="564">
        <v>3</v>
      </c>
      <c r="B227" s="564">
        <v>3</v>
      </c>
      <c r="C227" s="564">
        <v>2</v>
      </c>
      <c r="D227" s="564">
        <v>1</v>
      </c>
      <c r="E227" s="564">
        <v>1</v>
      </c>
      <c r="F227" s="564">
        <v>2</v>
      </c>
      <c r="G227" s="564" t="s">
        <v>473</v>
      </c>
      <c r="H227" s="564">
        <v>1335.23</v>
      </c>
      <c r="I227" s="564">
        <v>0</v>
      </c>
      <c r="J227" s="564">
        <v>31</v>
      </c>
      <c r="K227" s="564">
        <v>3</v>
      </c>
      <c r="L227" s="564">
        <v>2</v>
      </c>
      <c r="M227" s="561" t="s">
        <v>137</v>
      </c>
      <c r="N227" s="651">
        <v>4304756724</v>
      </c>
      <c r="O227" s="564" t="s">
        <v>819</v>
      </c>
      <c r="P227" s="564" t="s">
        <v>820</v>
      </c>
      <c r="Q227" s="564"/>
      <c r="R227" s="564">
        <v>1</v>
      </c>
    </row>
    <row r="228" spans="1:18" ht="15" customHeight="1" x14ac:dyDescent="0.25">
      <c r="A228" s="564">
        <v>3</v>
      </c>
      <c r="B228" s="564">
        <v>3</v>
      </c>
      <c r="C228" s="564">
        <v>2</v>
      </c>
      <c r="D228" s="564">
        <v>1</v>
      </c>
      <c r="E228" s="564">
        <v>1</v>
      </c>
      <c r="F228" s="564">
        <v>2</v>
      </c>
      <c r="G228" s="521" t="s">
        <v>476</v>
      </c>
      <c r="H228" s="564">
        <v>1335.23</v>
      </c>
      <c r="I228" s="564">
        <v>0</v>
      </c>
      <c r="J228" s="564">
        <v>31</v>
      </c>
      <c r="K228" s="564">
        <v>3</v>
      </c>
      <c r="L228" s="564">
        <v>2</v>
      </c>
      <c r="M228" s="561" t="s">
        <v>137</v>
      </c>
      <c r="N228" s="651">
        <v>4304756724</v>
      </c>
      <c r="O228" s="564" t="s">
        <v>819</v>
      </c>
      <c r="P228" s="564" t="s">
        <v>821</v>
      </c>
      <c r="Q228" s="564"/>
      <c r="R228" s="564">
        <v>1</v>
      </c>
    </row>
    <row r="229" spans="1:18" ht="15" customHeight="1" x14ac:dyDescent="0.25">
      <c r="A229" s="564">
        <v>3</v>
      </c>
      <c r="B229" s="564">
        <v>3</v>
      </c>
      <c r="C229" s="564">
        <v>2</v>
      </c>
      <c r="D229" s="564">
        <v>1</v>
      </c>
      <c r="E229" s="564">
        <v>1</v>
      </c>
      <c r="F229" s="564">
        <v>2</v>
      </c>
      <c r="G229" s="564" t="s">
        <v>478</v>
      </c>
      <c r="H229" s="564">
        <v>1335.23</v>
      </c>
      <c r="I229" s="564">
        <v>0</v>
      </c>
      <c r="J229" s="564">
        <v>31</v>
      </c>
      <c r="K229" s="564">
        <v>3</v>
      </c>
      <c r="L229" s="564">
        <v>2</v>
      </c>
      <c r="M229" s="561" t="s">
        <v>137</v>
      </c>
      <c r="N229" s="651">
        <v>4304756724</v>
      </c>
      <c r="O229" s="564" t="s">
        <v>819</v>
      </c>
      <c r="P229" s="564" t="s">
        <v>822</v>
      </c>
      <c r="Q229" s="564"/>
      <c r="R229" s="564">
        <v>1</v>
      </c>
    </row>
    <row r="230" spans="1:18" ht="15" customHeight="1" x14ac:dyDescent="0.25">
      <c r="A230" s="564">
        <v>3</v>
      </c>
      <c r="B230" s="564">
        <v>3</v>
      </c>
      <c r="C230" s="564">
        <v>2</v>
      </c>
      <c r="D230" s="564">
        <v>1</v>
      </c>
      <c r="E230" s="564">
        <v>1</v>
      </c>
      <c r="F230" s="564">
        <v>2</v>
      </c>
      <c r="G230" s="564" t="s">
        <v>484</v>
      </c>
      <c r="H230" s="564">
        <v>1335.23</v>
      </c>
      <c r="I230" s="564">
        <v>0</v>
      </c>
      <c r="J230" s="564">
        <v>31</v>
      </c>
      <c r="K230" s="564">
        <v>3</v>
      </c>
      <c r="L230" s="564">
        <v>2</v>
      </c>
      <c r="M230" s="561" t="s">
        <v>137</v>
      </c>
      <c r="N230" s="651">
        <v>4304756724</v>
      </c>
      <c r="O230" s="564" t="s">
        <v>819</v>
      </c>
      <c r="P230" s="564" t="s">
        <v>823</v>
      </c>
      <c r="Q230" s="564"/>
      <c r="R230" s="564">
        <v>1</v>
      </c>
    </row>
    <row r="231" spans="1:18" ht="15" customHeight="1" x14ac:dyDescent="0.25">
      <c r="A231" s="564">
        <v>3</v>
      </c>
      <c r="B231" s="564">
        <v>3</v>
      </c>
      <c r="C231" s="564">
        <v>2</v>
      </c>
      <c r="D231" s="564">
        <v>1</v>
      </c>
      <c r="E231" s="564">
        <v>1</v>
      </c>
      <c r="F231" s="564">
        <v>2</v>
      </c>
      <c r="G231" s="564" t="s">
        <v>486</v>
      </c>
      <c r="H231" s="564">
        <v>1323.84</v>
      </c>
      <c r="I231" s="564">
        <v>0</v>
      </c>
      <c r="J231" s="564">
        <v>16</v>
      </c>
      <c r="K231" s="564">
        <v>33</v>
      </c>
      <c r="L231" s="564">
        <v>2</v>
      </c>
      <c r="M231" s="561" t="s">
        <v>137</v>
      </c>
      <c r="N231" s="651">
        <v>4304756724</v>
      </c>
      <c r="O231" s="564" t="s">
        <v>819</v>
      </c>
      <c r="P231" s="564" t="s">
        <v>824</v>
      </c>
      <c r="Q231" s="564"/>
      <c r="R231" s="564">
        <v>1</v>
      </c>
    </row>
    <row r="232" spans="1:18" ht="15" customHeight="1" x14ac:dyDescent="0.25">
      <c r="A232" s="564">
        <v>3</v>
      </c>
      <c r="B232" s="564">
        <v>3</v>
      </c>
      <c r="C232" s="564">
        <v>2</v>
      </c>
      <c r="D232" s="564">
        <v>1</v>
      </c>
      <c r="E232" s="564">
        <v>1</v>
      </c>
      <c r="F232" s="564">
        <v>2</v>
      </c>
      <c r="G232" s="521" t="s">
        <v>488</v>
      </c>
      <c r="H232" s="564">
        <v>1320.31</v>
      </c>
      <c r="I232" s="564">
        <v>0</v>
      </c>
      <c r="J232" s="564">
        <v>17</v>
      </c>
      <c r="K232" s="564">
        <v>9</v>
      </c>
      <c r="L232" s="564">
        <v>2</v>
      </c>
      <c r="M232" s="561" t="s">
        <v>137</v>
      </c>
      <c r="N232" s="651">
        <v>4304756724</v>
      </c>
      <c r="O232" s="564" t="s">
        <v>819</v>
      </c>
      <c r="P232" s="564" t="s">
        <v>825</v>
      </c>
      <c r="Q232" s="564"/>
      <c r="R232" s="564">
        <v>1</v>
      </c>
    </row>
    <row r="233" spans="1:18" ht="15" customHeight="1" x14ac:dyDescent="0.25">
      <c r="A233" s="564">
        <v>3</v>
      </c>
      <c r="B233" s="564">
        <v>3</v>
      </c>
      <c r="C233" s="564">
        <v>2</v>
      </c>
      <c r="D233" s="564">
        <v>1</v>
      </c>
      <c r="E233" s="564">
        <v>1</v>
      </c>
      <c r="F233" s="564">
        <v>2</v>
      </c>
      <c r="G233" s="564" t="s">
        <v>490</v>
      </c>
      <c r="H233" s="564">
        <v>1327.16</v>
      </c>
      <c r="I233" s="564">
        <v>0</v>
      </c>
      <c r="J233" s="564">
        <v>18</v>
      </c>
      <c r="K233" s="564">
        <v>29</v>
      </c>
      <c r="L233" s="564">
        <v>2</v>
      </c>
      <c r="M233" s="561" t="s">
        <v>137</v>
      </c>
      <c r="N233" s="651">
        <v>4304756724</v>
      </c>
      <c r="O233" s="564" t="s">
        <v>819</v>
      </c>
      <c r="P233" s="564" t="s">
        <v>826</v>
      </c>
      <c r="Q233" s="564"/>
      <c r="R233" s="564">
        <v>1</v>
      </c>
    </row>
    <row r="234" spans="1:18" ht="15" customHeight="1" x14ac:dyDescent="0.25">
      <c r="A234" s="564">
        <v>3</v>
      </c>
      <c r="B234" s="564">
        <v>3</v>
      </c>
      <c r="C234" s="564">
        <v>2</v>
      </c>
      <c r="D234" s="564">
        <v>1</v>
      </c>
      <c r="E234" s="564">
        <v>1</v>
      </c>
      <c r="F234" s="564">
        <v>2</v>
      </c>
      <c r="G234" s="564" t="s">
        <v>493</v>
      </c>
      <c r="H234" s="564">
        <v>1327.52</v>
      </c>
      <c r="I234" s="564">
        <v>0</v>
      </c>
      <c r="J234" s="564">
        <v>20</v>
      </c>
      <c r="K234" s="564">
        <v>26</v>
      </c>
      <c r="L234" s="564">
        <v>2</v>
      </c>
      <c r="M234" s="561" t="s">
        <v>137</v>
      </c>
      <c r="N234" s="651">
        <v>4304756724</v>
      </c>
      <c r="O234" s="564" t="s">
        <v>819</v>
      </c>
      <c r="P234" s="564" t="s">
        <v>827</v>
      </c>
      <c r="Q234" s="564"/>
      <c r="R234" s="564">
        <v>1</v>
      </c>
    </row>
    <row r="235" spans="1:18" ht="15" customHeight="1" x14ac:dyDescent="0.25">
      <c r="A235" s="564">
        <v>3</v>
      </c>
      <c r="B235" s="564">
        <v>3</v>
      </c>
      <c r="C235" s="564">
        <v>2</v>
      </c>
      <c r="D235" s="564">
        <v>1</v>
      </c>
      <c r="E235" s="564">
        <v>1</v>
      </c>
      <c r="F235" s="564">
        <v>2</v>
      </c>
      <c r="G235" s="564" t="s">
        <v>474</v>
      </c>
      <c r="H235" s="564">
        <v>1312.3</v>
      </c>
      <c r="I235" s="564">
        <v>89</v>
      </c>
      <c r="J235" s="564">
        <v>34</v>
      </c>
      <c r="K235" s="564">
        <v>50</v>
      </c>
      <c r="L235" s="564">
        <v>1</v>
      </c>
      <c r="M235" s="561" t="s">
        <v>137</v>
      </c>
      <c r="N235" s="651">
        <v>4304756724</v>
      </c>
      <c r="O235" s="564" t="s">
        <v>819</v>
      </c>
      <c r="P235" s="564" t="s">
        <v>828</v>
      </c>
      <c r="Q235" s="564"/>
      <c r="R235" s="564">
        <v>1</v>
      </c>
    </row>
    <row r="236" spans="1:18" ht="15" customHeight="1" x14ac:dyDescent="0.25">
      <c r="A236" s="564">
        <v>3</v>
      </c>
      <c r="B236" s="564">
        <v>3</v>
      </c>
      <c r="C236" s="564">
        <v>2</v>
      </c>
      <c r="D236" s="564">
        <v>1</v>
      </c>
      <c r="E236" s="564">
        <v>1</v>
      </c>
      <c r="F236" s="564">
        <v>2</v>
      </c>
      <c r="G236" s="521" t="s">
        <v>477</v>
      </c>
      <c r="H236" s="564">
        <v>1312.3</v>
      </c>
      <c r="I236" s="564">
        <v>89</v>
      </c>
      <c r="J236" s="564">
        <v>34</v>
      </c>
      <c r="K236" s="564">
        <v>50</v>
      </c>
      <c r="L236" s="564">
        <v>1</v>
      </c>
      <c r="M236" s="561" t="s">
        <v>137</v>
      </c>
      <c r="N236" s="651">
        <v>4304756724</v>
      </c>
      <c r="O236" s="564" t="s">
        <v>819</v>
      </c>
      <c r="P236" s="564" t="s">
        <v>829</v>
      </c>
      <c r="Q236" s="564"/>
      <c r="R236" s="564">
        <v>1</v>
      </c>
    </row>
    <row r="237" spans="1:18" ht="15" customHeight="1" x14ac:dyDescent="0.25">
      <c r="A237" s="564">
        <v>3</v>
      </c>
      <c r="B237" s="564">
        <v>3</v>
      </c>
      <c r="C237" s="564">
        <v>2</v>
      </c>
      <c r="D237" s="564">
        <v>1</v>
      </c>
      <c r="E237" s="564">
        <v>1</v>
      </c>
      <c r="F237" s="564">
        <v>2</v>
      </c>
      <c r="G237" s="564" t="s">
        <v>479</v>
      </c>
      <c r="H237" s="564">
        <v>1323.68</v>
      </c>
      <c r="I237" s="564">
        <v>89</v>
      </c>
      <c r="J237" s="564">
        <v>19</v>
      </c>
      <c r="K237" s="564">
        <v>48</v>
      </c>
      <c r="L237" s="564">
        <v>1</v>
      </c>
      <c r="M237" s="561" t="s">
        <v>137</v>
      </c>
      <c r="N237" s="651">
        <v>4304756724</v>
      </c>
      <c r="O237" s="564" t="s">
        <v>819</v>
      </c>
      <c r="P237" s="564" t="s">
        <v>830</v>
      </c>
      <c r="Q237" s="564"/>
      <c r="R237" s="564">
        <v>1</v>
      </c>
    </row>
    <row r="238" spans="1:18" ht="15" customHeight="1" x14ac:dyDescent="0.25">
      <c r="A238" s="564">
        <v>3</v>
      </c>
      <c r="B238" s="564">
        <v>3</v>
      </c>
      <c r="C238" s="564">
        <v>2</v>
      </c>
      <c r="D238" s="564">
        <v>1</v>
      </c>
      <c r="E238" s="564">
        <v>1</v>
      </c>
      <c r="F238" s="564">
        <v>2</v>
      </c>
      <c r="G238" s="564" t="s">
        <v>485</v>
      </c>
      <c r="H238" s="564">
        <v>1315.39</v>
      </c>
      <c r="I238" s="564">
        <v>89</v>
      </c>
      <c r="J238" s="564">
        <v>56</v>
      </c>
      <c r="K238" s="564">
        <v>43</v>
      </c>
      <c r="L238" s="564">
        <v>1</v>
      </c>
      <c r="M238" s="561" t="s">
        <v>137</v>
      </c>
      <c r="N238" s="651">
        <v>4304756724</v>
      </c>
      <c r="O238" s="564" t="s">
        <v>819</v>
      </c>
      <c r="P238" s="564" t="s">
        <v>831</v>
      </c>
      <c r="Q238" s="564"/>
      <c r="R238" s="564">
        <v>1</v>
      </c>
    </row>
    <row r="239" spans="1:18" ht="15" customHeight="1" x14ac:dyDescent="0.25">
      <c r="A239" s="564">
        <v>3</v>
      </c>
      <c r="B239" s="564">
        <v>3</v>
      </c>
      <c r="C239" s="564">
        <v>2</v>
      </c>
      <c r="D239" s="564">
        <v>1</v>
      </c>
      <c r="E239" s="564">
        <v>1</v>
      </c>
      <c r="F239" s="564">
        <v>2</v>
      </c>
      <c r="G239" s="564" t="s">
        <v>487</v>
      </c>
      <c r="H239" s="564">
        <v>1320.95</v>
      </c>
      <c r="I239" s="564">
        <v>89</v>
      </c>
      <c r="J239" s="564">
        <v>43</v>
      </c>
      <c r="K239" s="564">
        <v>23</v>
      </c>
      <c r="L239" s="564">
        <v>2</v>
      </c>
      <c r="M239" s="561" t="s">
        <v>137</v>
      </c>
      <c r="N239" s="651">
        <v>4304756724</v>
      </c>
      <c r="O239" s="564" t="s">
        <v>819</v>
      </c>
      <c r="P239" s="564" t="s">
        <v>832</v>
      </c>
      <c r="Q239" s="564"/>
      <c r="R239" s="564">
        <v>1</v>
      </c>
    </row>
    <row r="240" spans="1:18" ht="15" customHeight="1" x14ac:dyDescent="0.25">
      <c r="A240" s="564">
        <v>3</v>
      </c>
      <c r="B240" s="564">
        <v>3</v>
      </c>
      <c r="C240" s="564">
        <v>2</v>
      </c>
      <c r="D240" s="564">
        <v>1</v>
      </c>
      <c r="E240" s="564">
        <v>1</v>
      </c>
      <c r="F240" s="564">
        <v>2</v>
      </c>
      <c r="G240" s="521" t="s">
        <v>489</v>
      </c>
      <c r="H240" s="564">
        <v>1320.9</v>
      </c>
      <c r="I240" s="564">
        <v>89</v>
      </c>
      <c r="J240" s="564">
        <v>42</v>
      </c>
      <c r="K240" s="564">
        <v>59</v>
      </c>
      <c r="L240" s="564">
        <v>2</v>
      </c>
      <c r="M240" s="561" t="s">
        <v>137</v>
      </c>
      <c r="N240" s="651">
        <v>4304756724</v>
      </c>
      <c r="O240" s="564" t="s">
        <v>819</v>
      </c>
      <c r="P240" s="564" t="s">
        <v>833</v>
      </c>
      <c r="Q240" s="564"/>
      <c r="R240" s="564">
        <v>1</v>
      </c>
    </row>
    <row r="241" spans="1:18" ht="15" customHeight="1" x14ac:dyDescent="0.25">
      <c r="A241" s="564">
        <v>3</v>
      </c>
      <c r="B241" s="564">
        <v>3</v>
      </c>
      <c r="C241" s="564">
        <v>2</v>
      </c>
      <c r="D241" s="564">
        <v>1</v>
      </c>
      <c r="E241" s="564">
        <v>1</v>
      </c>
      <c r="F241" s="564">
        <v>2</v>
      </c>
      <c r="G241" s="564" t="s">
        <v>491</v>
      </c>
      <c r="H241" s="564">
        <v>1319.07</v>
      </c>
      <c r="I241" s="564">
        <v>89</v>
      </c>
      <c r="J241" s="564">
        <v>51</v>
      </c>
      <c r="K241" s="564">
        <v>38</v>
      </c>
      <c r="L241" s="564">
        <v>1</v>
      </c>
      <c r="M241" s="561" t="s">
        <v>137</v>
      </c>
      <c r="N241" s="651">
        <v>4304756724</v>
      </c>
      <c r="O241" s="564" t="s">
        <v>819</v>
      </c>
      <c r="P241" s="564" t="s">
        <v>834</v>
      </c>
      <c r="Q241" s="564"/>
      <c r="R241" s="564">
        <v>1</v>
      </c>
    </row>
    <row r="242" spans="1:18" ht="15" customHeight="1" x14ac:dyDescent="0.25">
      <c r="A242" s="564">
        <v>3</v>
      </c>
      <c r="B242" s="564">
        <v>3</v>
      </c>
      <c r="C242" s="564">
        <v>2</v>
      </c>
      <c r="D242" s="564">
        <v>1</v>
      </c>
      <c r="E242" s="564">
        <v>1</v>
      </c>
      <c r="F242" s="564">
        <v>2</v>
      </c>
      <c r="G242" s="564" t="s">
        <v>494</v>
      </c>
      <c r="H242" s="564">
        <v>1319.89</v>
      </c>
      <c r="I242" s="564">
        <v>89</v>
      </c>
      <c r="J242" s="564">
        <v>50</v>
      </c>
      <c r="K242" s="564">
        <v>25</v>
      </c>
      <c r="L242" s="564">
        <v>1</v>
      </c>
      <c r="M242" s="561" t="s">
        <v>137</v>
      </c>
      <c r="N242" s="651">
        <v>4304756724</v>
      </c>
      <c r="O242" s="564" t="s">
        <v>819</v>
      </c>
      <c r="P242" s="564" t="s">
        <v>835</v>
      </c>
      <c r="Q242" s="564"/>
      <c r="R242" s="564">
        <v>1</v>
      </c>
    </row>
    <row r="243" spans="1:18" ht="15" customHeight="1" x14ac:dyDescent="0.25">
      <c r="A243" s="553">
        <v>4</v>
      </c>
      <c r="B243" s="553">
        <v>8</v>
      </c>
      <c r="C243" s="553">
        <v>2</v>
      </c>
      <c r="D243" s="553">
        <v>20</v>
      </c>
      <c r="E243" s="553">
        <v>1</v>
      </c>
      <c r="F243" s="553">
        <v>1</v>
      </c>
      <c r="G243" s="553" t="s">
        <v>473</v>
      </c>
      <c r="H243" s="553">
        <v>1312.95</v>
      </c>
      <c r="I243" s="553">
        <v>0</v>
      </c>
      <c r="J243" s="553">
        <v>13</v>
      </c>
      <c r="K243" s="553">
        <v>36</v>
      </c>
      <c r="L243" s="553">
        <v>4</v>
      </c>
      <c r="M243" s="505" t="s">
        <v>137</v>
      </c>
      <c r="N243" s="500">
        <v>43047563350000</v>
      </c>
      <c r="O243" s="553" t="s">
        <v>786</v>
      </c>
      <c r="P243" s="650" t="s">
        <v>836</v>
      </c>
      <c r="Q243" s="564" t="s">
        <v>583</v>
      </c>
      <c r="R243" s="564">
        <v>2</v>
      </c>
    </row>
    <row r="244" spans="1:18" ht="15" customHeight="1" x14ac:dyDescent="0.25">
      <c r="A244" s="553">
        <v>4</v>
      </c>
      <c r="B244" s="553">
        <v>8</v>
      </c>
      <c r="C244" s="553">
        <v>2</v>
      </c>
      <c r="D244" s="553">
        <v>20</v>
      </c>
      <c r="E244" s="553">
        <v>1</v>
      </c>
      <c r="F244" s="553">
        <v>1</v>
      </c>
      <c r="G244" s="502" t="s">
        <v>476</v>
      </c>
      <c r="H244" s="553">
        <v>1312.95</v>
      </c>
      <c r="I244" s="553">
        <v>0</v>
      </c>
      <c r="J244" s="553">
        <v>13</v>
      </c>
      <c r="K244" s="553">
        <v>36</v>
      </c>
      <c r="L244" s="553">
        <v>4</v>
      </c>
      <c r="M244" s="505" t="s">
        <v>137</v>
      </c>
      <c r="N244" s="500">
        <v>43047563350000</v>
      </c>
      <c r="O244" s="553" t="s">
        <v>786</v>
      </c>
      <c r="P244" s="650" t="s">
        <v>837</v>
      </c>
      <c r="Q244" s="564" t="s">
        <v>583</v>
      </c>
      <c r="R244" s="564">
        <v>2</v>
      </c>
    </row>
    <row r="245" spans="1:18" ht="15" customHeight="1" x14ac:dyDescent="0.25">
      <c r="A245" s="553">
        <v>4</v>
      </c>
      <c r="B245" s="553">
        <v>8</v>
      </c>
      <c r="C245" s="553">
        <v>2</v>
      </c>
      <c r="D245" s="553">
        <v>20</v>
      </c>
      <c r="E245" s="553">
        <v>1</v>
      </c>
      <c r="F245" s="553">
        <v>1</v>
      </c>
      <c r="G245" s="553" t="s">
        <v>478</v>
      </c>
      <c r="H245" s="553">
        <v>1323.13</v>
      </c>
      <c r="I245" s="553">
        <v>1</v>
      </c>
      <c r="J245" s="553">
        <v>12</v>
      </c>
      <c r="K245" s="553">
        <v>49</v>
      </c>
      <c r="L245" s="553">
        <v>4</v>
      </c>
      <c r="M245" s="505" t="s">
        <v>137</v>
      </c>
      <c r="N245" s="500">
        <v>43047563350000</v>
      </c>
      <c r="O245" s="553" t="s">
        <v>786</v>
      </c>
      <c r="P245" s="650" t="s">
        <v>838</v>
      </c>
      <c r="Q245" s="564" t="s">
        <v>583</v>
      </c>
      <c r="R245" s="564">
        <v>2</v>
      </c>
    </row>
    <row r="246" spans="1:18" ht="15" customHeight="1" x14ac:dyDescent="0.25">
      <c r="A246" s="553">
        <v>4</v>
      </c>
      <c r="B246" s="553">
        <v>8</v>
      </c>
      <c r="C246" s="553">
        <v>2</v>
      </c>
      <c r="D246" s="553">
        <v>20</v>
      </c>
      <c r="E246" s="553">
        <v>1</v>
      </c>
      <c r="F246" s="553">
        <v>1</v>
      </c>
      <c r="G246" s="553" t="s">
        <v>484</v>
      </c>
      <c r="H246" s="553">
        <v>1321.35</v>
      </c>
      <c r="I246" s="553">
        <v>1</v>
      </c>
      <c r="J246" s="553">
        <v>12</v>
      </c>
      <c r="K246" s="553">
        <v>4</v>
      </c>
      <c r="L246" s="553">
        <v>4</v>
      </c>
      <c r="M246" s="505" t="s">
        <v>137</v>
      </c>
      <c r="N246" s="500">
        <v>43047563350000</v>
      </c>
      <c r="O246" s="553" t="s">
        <v>786</v>
      </c>
      <c r="P246" s="650" t="s">
        <v>839</v>
      </c>
      <c r="Q246" s="564" t="s">
        <v>583</v>
      </c>
      <c r="R246" s="564">
        <v>2</v>
      </c>
    </row>
    <row r="247" spans="1:18" ht="15" customHeight="1" x14ac:dyDescent="0.25">
      <c r="A247" s="553">
        <v>4</v>
      </c>
      <c r="B247" s="553">
        <v>8</v>
      </c>
      <c r="C247" s="553">
        <v>2</v>
      </c>
      <c r="D247" s="553">
        <v>20</v>
      </c>
      <c r="E247" s="553">
        <v>1</v>
      </c>
      <c r="F247" s="553">
        <v>1</v>
      </c>
      <c r="G247" s="553" t="s">
        <v>486</v>
      </c>
      <c r="H247" s="553">
        <v>1315.92</v>
      </c>
      <c r="I247" s="553">
        <v>0</v>
      </c>
      <c r="J247" s="553">
        <v>54</v>
      </c>
      <c r="K247" s="553">
        <v>5</v>
      </c>
      <c r="L247" s="553">
        <v>4</v>
      </c>
      <c r="M247" s="505" t="s">
        <v>137</v>
      </c>
      <c r="N247" s="500">
        <v>43047563350000</v>
      </c>
      <c r="O247" s="553" t="s">
        <v>786</v>
      </c>
      <c r="P247" s="650" t="s">
        <v>840</v>
      </c>
      <c r="Q247" s="564" t="s">
        <v>583</v>
      </c>
      <c r="R247" s="564">
        <v>2</v>
      </c>
    </row>
    <row r="248" spans="1:18" ht="15" customHeight="1" x14ac:dyDescent="0.25">
      <c r="A248" s="553">
        <v>4</v>
      </c>
      <c r="B248" s="553">
        <v>8</v>
      </c>
      <c r="C248" s="553">
        <v>2</v>
      </c>
      <c r="D248" s="553">
        <v>20</v>
      </c>
      <c r="E248" s="553">
        <v>1</v>
      </c>
      <c r="F248" s="553">
        <v>1</v>
      </c>
      <c r="G248" s="502" t="s">
        <v>488</v>
      </c>
      <c r="H248" s="553">
        <v>1315.92</v>
      </c>
      <c r="I248" s="553">
        <v>0</v>
      </c>
      <c r="J248" s="553">
        <v>54</v>
      </c>
      <c r="K248" s="553">
        <v>5</v>
      </c>
      <c r="L248" s="553">
        <v>4</v>
      </c>
      <c r="M248" s="505" t="s">
        <v>137</v>
      </c>
      <c r="N248" s="500">
        <v>43047563350000</v>
      </c>
      <c r="O248" s="553" t="s">
        <v>786</v>
      </c>
      <c r="P248" s="650" t="s">
        <v>841</v>
      </c>
      <c r="Q248" s="564" t="s">
        <v>583</v>
      </c>
      <c r="R248" s="564">
        <v>2</v>
      </c>
    </row>
    <row r="249" spans="1:18" ht="15" customHeight="1" x14ac:dyDescent="0.25">
      <c r="A249" s="553">
        <v>4</v>
      </c>
      <c r="B249" s="553">
        <v>8</v>
      </c>
      <c r="C249" s="553">
        <v>2</v>
      </c>
      <c r="D249" s="553">
        <v>20</v>
      </c>
      <c r="E249" s="553">
        <v>1</v>
      </c>
      <c r="F249" s="553">
        <v>1</v>
      </c>
      <c r="G249" s="553" t="s">
        <v>490</v>
      </c>
      <c r="H249" s="553">
        <v>1318.85</v>
      </c>
      <c r="I249" s="553">
        <v>1</v>
      </c>
      <c r="J249" s="553">
        <v>13</v>
      </c>
      <c r="K249" s="553">
        <v>1</v>
      </c>
      <c r="L249" s="553">
        <v>4</v>
      </c>
      <c r="M249" s="505" t="s">
        <v>137</v>
      </c>
      <c r="N249" s="500">
        <v>43047563350000</v>
      </c>
      <c r="O249" s="553" t="s">
        <v>786</v>
      </c>
      <c r="P249" s="650" t="s">
        <v>842</v>
      </c>
      <c r="Q249" s="564" t="s">
        <v>583</v>
      </c>
      <c r="R249" s="564">
        <v>2</v>
      </c>
    </row>
    <row r="250" spans="1:18" ht="15" customHeight="1" x14ac:dyDescent="0.25">
      <c r="A250" s="553">
        <v>4</v>
      </c>
      <c r="B250" s="553">
        <v>8</v>
      </c>
      <c r="C250" s="553">
        <v>2</v>
      </c>
      <c r="D250" s="553">
        <v>20</v>
      </c>
      <c r="E250" s="553">
        <v>1</v>
      </c>
      <c r="F250" s="553">
        <v>1</v>
      </c>
      <c r="G250" s="553" t="s">
        <v>493</v>
      </c>
      <c r="H250" s="553">
        <v>1318.85</v>
      </c>
      <c r="I250" s="553">
        <v>1</v>
      </c>
      <c r="J250" s="553">
        <v>10</v>
      </c>
      <c r="K250" s="553">
        <v>1</v>
      </c>
      <c r="L250" s="553">
        <v>4</v>
      </c>
      <c r="M250" s="505" t="s">
        <v>137</v>
      </c>
      <c r="N250" s="500">
        <v>43047563350000</v>
      </c>
      <c r="O250" s="553" t="s">
        <v>786</v>
      </c>
      <c r="P250" s="650" t="s">
        <v>843</v>
      </c>
      <c r="Q250" s="564" t="s">
        <v>583</v>
      </c>
      <c r="R250" s="564">
        <v>2</v>
      </c>
    </row>
    <row r="251" spans="1:18" ht="15" customHeight="1" x14ac:dyDescent="0.25">
      <c r="A251" s="553">
        <v>4</v>
      </c>
      <c r="B251" s="553">
        <v>8</v>
      </c>
      <c r="C251" s="553">
        <v>2</v>
      </c>
      <c r="D251" s="553">
        <v>20</v>
      </c>
      <c r="E251" s="553">
        <v>1</v>
      </c>
      <c r="F251" s="553">
        <v>1</v>
      </c>
      <c r="G251" s="553" t="s">
        <v>474</v>
      </c>
      <c r="H251" s="553">
        <v>1323.49</v>
      </c>
      <c r="I251" s="553">
        <v>88</v>
      </c>
      <c r="J251" s="553">
        <v>54</v>
      </c>
      <c r="K251" s="553">
        <v>54</v>
      </c>
      <c r="L251" s="553">
        <v>3</v>
      </c>
      <c r="M251" s="505" t="s">
        <v>137</v>
      </c>
      <c r="N251" s="500">
        <v>43047563350000</v>
      </c>
      <c r="O251" s="553" t="s">
        <v>786</v>
      </c>
      <c r="P251" s="650" t="s">
        <v>844</v>
      </c>
      <c r="Q251" s="564" t="s">
        <v>583</v>
      </c>
      <c r="R251" s="564">
        <v>2</v>
      </c>
    </row>
    <row r="252" spans="1:18" ht="15" customHeight="1" x14ac:dyDescent="0.25">
      <c r="A252" s="553">
        <v>4</v>
      </c>
      <c r="B252" s="553">
        <v>8</v>
      </c>
      <c r="C252" s="553">
        <v>2</v>
      </c>
      <c r="D252" s="553">
        <v>20</v>
      </c>
      <c r="E252" s="553">
        <v>1</v>
      </c>
      <c r="F252" s="553">
        <v>1</v>
      </c>
      <c r="G252" s="502" t="s">
        <v>477</v>
      </c>
      <c r="H252" s="553">
        <v>1307.0999999999999</v>
      </c>
      <c r="I252" s="553">
        <v>88</v>
      </c>
      <c r="J252" s="553">
        <v>18</v>
      </c>
      <c r="K252" s="553">
        <v>55</v>
      </c>
      <c r="L252" s="553">
        <v>3</v>
      </c>
      <c r="M252" s="505" t="s">
        <v>137</v>
      </c>
      <c r="N252" s="500">
        <v>43047563350000</v>
      </c>
      <c r="O252" s="553" t="s">
        <v>786</v>
      </c>
      <c r="P252" s="650" t="s">
        <v>845</v>
      </c>
      <c r="Q252" s="564" t="s">
        <v>583</v>
      </c>
      <c r="R252" s="564">
        <v>2</v>
      </c>
    </row>
    <row r="253" spans="1:18" ht="15" customHeight="1" x14ac:dyDescent="0.25">
      <c r="A253" s="553">
        <v>4</v>
      </c>
      <c r="B253" s="553">
        <v>8</v>
      </c>
      <c r="C253" s="553">
        <v>2</v>
      </c>
      <c r="D253" s="553">
        <v>20</v>
      </c>
      <c r="E253" s="553">
        <v>1</v>
      </c>
      <c r="F253" s="553">
        <v>1</v>
      </c>
      <c r="G253" s="553" t="s">
        <v>479</v>
      </c>
      <c r="H253" s="553">
        <v>1307.0999999999999</v>
      </c>
      <c r="I253" s="553">
        <v>88</v>
      </c>
      <c r="J253" s="553">
        <v>18</v>
      </c>
      <c r="K253" s="553">
        <v>55</v>
      </c>
      <c r="L253" s="553">
        <v>3</v>
      </c>
      <c r="M253" s="505" t="s">
        <v>137</v>
      </c>
      <c r="N253" s="500">
        <v>43047563350000</v>
      </c>
      <c r="O253" s="553" t="s">
        <v>786</v>
      </c>
      <c r="P253" s="650" t="s">
        <v>846</v>
      </c>
      <c r="Q253" s="564" t="s">
        <v>583</v>
      </c>
      <c r="R253" s="564">
        <v>2</v>
      </c>
    </row>
    <row r="254" spans="1:18" ht="15" customHeight="1" x14ac:dyDescent="0.25">
      <c r="A254" s="553">
        <v>4</v>
      </c>
      <c r="B254" s="553">
        <v>8</v>
      </c>
      <c r="C254" s="553">
        <v>2</v>
      </c>
      <c r="D254" s="553">
        <v>20</v>
      </c>
      <c r="E254" s="553">
        <v>1</v>
      </c>
      <c r="F254" s="553">
        <v>1</v>
      </c>
      <c r="G254" s="553" t="s">
        <v>485</v>
      </c>
      <c r="H254" s="553">
        <v>1352.83</v>
      </c>
      <c r="I254" s="553">
        <v>89</v>
      </c>
      <c r="J254" s="553">
        <v>52</v>
      </c>
      <c r="K254" s="553">
        <v>44</v>
      </c>
      <c r="L254" s="553">
        <v>4</v>
      </c>
      <c r="M254" s="505" t="s">
        <v>137</v>
      </c>
      <c r="N254" s="500">
        <v>43047563350000</v>
      </c>
      <c r="O254" s="553" t="s">
        <v>786</v>
      </c>
      <c r="P254" s="650" t="s">
        <v>847</v>
      </c>
      <c r="Q254" s="564" t="s">
        <v>583</v>
      </c>
      <c r="R254" s="564">
        <v>2</v>
      </c>
    </row>
    <row r="255" spans="1:18" ht="15" customHeight="1" x14ac:dyDescent="0.25">
      <c r="A255" s="553">
        <v>4</v>
      </c>
      <c r="B255" s="553">
        <v>8</v>
      </c>
      <c r="C255" s="553">
        <v>2</v>
      </c>
      <c r="D255" s="553">
        <v>20</v>
      </c>
      <c r="E255" s="553">
        <v>1</v>
      </c>
      <c r="F255" s="553">
        <v>1</v>
      </c>
      <c r="G255" s="553" t="s">
        <v>487</v>
      </c>
      <c r="H255" s="553">
        <v>1319.8175000000001</v>
      </c>
      <c r="I255" s="553">
        <v>89</v>
      </c>
      <c r="J255" s="553">
        <v>29</v>
      </c>
      <c r="K255" s="553">
        <v>4</v>
      </c>
      <c r="L255" s="553">
        <v>3</v>
      </c>
      <c r="M255" s="505" t="s">
        <v>137</v>
      </c>
      <c r="N255" s="500">
        <v>43047563350000</v>
      </c>
      <c r="O255" s="553" t="s">
        <v>786</v>
      </c>
      <c r="P255" s="650" t="s">
        <v>848</v>
      </c>
      <c r="Q255" s="564" t="s">
        <v>583</v>
      </c>
      <c r="R255" s="564">
        <v>2</v>
      </c>
    </row>
    <row r="256" spans="1:18" ht="15" customHeight="1" x14ac:dyDescent="0.25">
      <c r="A256" s="553">
        <v>4</v>
      </c>
      <c r="B256" s="553">
        <v>8</v>
      </c>
      <c r="C256" s="553">
        <v>2</v>
      </c>
      <c r="D256" s="553">
        <v>20</v>
      </c>
      <c r="E256" s="553">
        <v>1</v>
      </c>
      <c r="F256" s="553">
        <v>1</v>
      </c>
      <c r="G256" s="502" t="s">
        <v>489</v>
      </c>
      <c r="H256" s="553">
        <v>1319.8175000000001</v>
      </c>
      <c r="I256" s="553">
        <v>89</v>
      </c>
      <c r="J256" s="553">
        <v>29</v>
      </c>
      <c r="K256" s="553">
        <v>4</v>
      </c>
      <c r="L256" s="553">
        <v>3</v>
      </c>
      <c r="M256" s="505" t="s">
        <v>137</v>
      </c>
      <c r="N256" s="500">
        <v>43047563350000</v>
      </c>
      <c r="O256" s="553" t="s">
        <v>786</v>
      </c>
      <c r="P256" s="650" t="s">
        <v>849</v>
      </c>
      <c r="Q256" s="564" t="s">
        <v>583</v>
      </c>
      <c r="R256" s="564">
        <v>2</v>
      </c>
    </row>
    <row r="257" spans="1:18" ht="15" customHeight="1" x14ac:dyDescent="0.25">
      <c r="A257" s="553">
        <v>4</v>
      </c>
      <c r="B257" s="553">
        <v>8</v>
      </c>
      <c r="C257" s="553">
        <v>2</v>
      </c>
      <c r="D257" s="553">
        <v>20</v>
      </c>
      <c r="E257" s="553">
        <v>1</v>
      </c>
      <c r="F257" s="553">
        <v>1</v>
      </c>
      <c r="G257" s="553" t="s">
        <v>491</v>
      </c>
      <c r="H257" s="553">
        <v>1319.8175000000001</v>
      </c>
      <c r="I257" s="553">
        <v>89</v>
      </c>
      <c r="J257" s="553">
        <v>29</v>
      </c>
      <c r="K257" s="553">
        <v>4</v>
      </c>
      <c r="L257" s="553">
        <v>3</v>
      </c>
      <c r="M257" s="505" t="s">
        <v>137</v>
      </c>
      <c r="N257" s="500">
        <v>43047563350000</v>
      </c>
      <c r="O257" s="553" t="s">
        <v>786</v>
      </c>
      <c r="P257" s="650" t="s">
        <v>850</v>
      </c>
      <c r="Q257" s="564" t="s">
        <v>583</v>
      </c>
      <c r="R257" s="564">
        <v>2</v>
      </c>
    </row>
    <row r="258" spans="1:18" ht="15" customHeight="1" x14ac:dyDescent="0.25">
      <c r="A258" s="553">
        <v>4</v>
      </c>
      <c r="B258" s="553">
        <v>8</v>
      </c>
      <c r="C258" s="553">
        <v>2</v>
      </c>
      <c r="D258" s="553">
        <v>20</v>
      </c>
      <c r="E258" s="553">
        <v>1</v>
      </c>
      <c r="F258" s="553">
        <v>1</v>
      </c>
      <c r="G258" s="553" t="s">
        <v>494</v>
      </c>
      <c r="H258" s="553">
        <v>1319.8175000000001</v>
      </c>
      <c r="I258" s="553">
        <v>89</v>
      </c>
      <c r="J258" s="553">
        <v>29</v>
      </c>
      <c r="K258" s="553">
        <v>4</v>
      </c>
      <c r="L258" s="553">
        <v>3</v>
      </c>
      <c r="M258" s="505" t="s">
        <v>137</v>
      </c>
      <c r="N258" s="500">
        <v>43047563350000</v>
      </c>
      <c r="O258" s="553" t="s">
        <v>786</v>
      </c>
      <c r="P258" s="650" t="s">
        <v>851</v>
      </c>
      <c r="Q258" s="564" t="s">
        <v>583</v>
      </c>
      <c r="R258" s="564">
        <v>2</v>
      </c>
    </row>
    <row r="259" spans="1:18" ht="15" customHeight="1" x14ac:dyDescent="0.25">
      <c r="A259" s="553">
        <v>4</v>
      </c>
      <c r="B259" s="553">
        <v>2</v>
      </c>
      <c r="C259" s="553">
        <v>2</v>
      </c>
      <c r="D259" s="553">
        <v>2</v>
      </c>
      <c r="E259" s="553">
        <v>2</v>
      </c>
      <c r="F259" s="553">
        <v>2</v>
      </c>
      <c r="G259" s="553" t="s">
        <v>473</v>
      </c>
      <c r="H259" s="553">
        <v>1321.58</v>
      </c>
      <c r="I259" s="553">
        <v>0</v>
      </c>
      <c r="J259" s="553">
        <v>20</v>
      </c>
      <c r="K259" s="553">
        <v>27</v>
      </c>
      <c r="L259" s="553">
        <v>4</v>
      </c>
      <c r="M259" s="505" t="s">
        <v>137</v>
      </c>
      <c r="N259" s="500">
        <v>43013539130000</v>
      </c>
      <c r="O259" s="553" t="s">
        <v>852</v>
      </c>
      <c r="P259" s="650" t="s">
        <v>853</v>
      </c>
      <c r="Q259" s="564" t="s">
        <v>583</v>
      </c>
      <c r="R259" s="564">
        <v>1</v>
      </c>
    </row>
    <row r="260" spans="1:18" ht="15" customHeight="1" x14ac:dyDescent="0.25">
      <c r="A260" s="553">
        <v>4</v>
      </c>
      <c r="B260" s="553">
        <v>2</v>
      </c>
      <c r="C260" s="553">
        <v>2</v>
      </c>
      <c r="D260" s="553">
        <v>2</v>
      </c>
      <c r="E260" s="553">
        <v>2</v>
      </c>
      <c r="F260" s="553">
        <v>2</v>
      </c>
      <c r="G260" s="502" t="s">
        <v>476</v>
      </c>
      <c r="H260" s="553">
        <v>1321.58</v>
      </c>
      <c r="I260" s="553">
        <v>0</v>
      </c>
      <c r="J260" s="553">
        <v>20</v>
      </c>
      <c r="K260" s="553">
        <v>27</v>
      </c>
      <c r="L260" s="553">
        <v>4</v>
      </c>
      <c r="M260" s="505" t="s">
        <v>137</v>
      </c>
      <c r="N260" s="500">
        <v>43013539130000</v>
      </c>
      <c r="O260" s="553" t="s">
        <v>852</v>
      </c>
      <c r="P260" s="650" t="s">
        <v>854</v>
      </c>
      <c r="Q260" s="564" t="s">
        <v>583</v>
      </c>
      <c r="R260" s="564">
        <v>1</v>
      </c>
    </row>
    <row r="261" spans="1:18" ht="15" customHeight="1" x14ac:dyDescent="0.25">
      <c r="A261" s="553">
        <v>4</v>
      </c>
      <c r="B261" s="553">
        <v>2</v>
      </c>
      <c r="C261" s="553">
        <v>2</v>
      </c>
      <c r="D261" s="553">
        <v>2</v>
      </c>
      <c r="E261" s="553">
        <v>2</v>
      </c>
      <c r="F261" s="553">
        <v>2</v>
      </c>
      <c r="G261" s="553" t="s">
        <v>478</v>
      </c>
      <c r="H261" s="553">
        <v>1325.74</v>
      </c>
      <c r="I261" s="553">
        <v>0</v>
      </c>
      <c r="J261" s="553">
        <v>15</v>
      </c>
      <c r="K261" s="553">
        <v>50</v>
      </c>
      <c r="L261" s="553">
        <v>4</v>
      </c>
      <c r="M261" s="505" t="s">
        <v>137</v>
      </c>
      <c r="N261" s="500">
        <v>43013539130000</v>
      </c>
      <c r="O261" s="553" t="s">
        <v>852</v>
      </c>
      <c r="P261" s="650" t="s">
        <v>855</v>
      </c>
      <c r="Q261" s="564" t="s">
        <v>583</v>
      </c>
      <c r="R261" s="564">
        <v>1</v>
      </c>
    </row>
    <row r="262" spans="1:18" ht="15" customHeight="1" x14ac:dyDescent="0.25">
      <c r="A262" s="553">
        <v>4</v>
      </c>
      <c r="B262" s="553">
        <v>2</v>
      </c>
      <c r="C262" s="553">
        <v>2</v>
      </c>
      <c r="D262" s="553">
        <v>2</v>
      </c>
      <c r="E262" s="553">
        <v>2</v>
      </c>
      <c r="F262" s="553">
        <v>2</v>
      </c>
      <c r="G262" s="553" t="s">
        <v>484</v>
      </c>
      <c r="H262" s="553">
        <v>1325.74</v>
      </c>
      <c r="I262" s="553">
        <v>0</v>
      </c>
      <c r="J262" s="553">
        <v>15</v>
      </c>
      <c r="K262" s="553">
        <v>50</v>
      </c>
      <c r="L262" s="553">
        <v>4</v>
      </c>
      <c r="M262" s="505" t="s">
        <v>137</v>
      </c>
      <c r="N262" s="500">
        <v>43013539130000</v>
      </c>
      <c r="O262" s="553" t="s">
        <v>852</v>
      </c>
      <c r="P262" s="650" t="s">
        <v>856</v>
      </c>
      <c r="Q262" s="564" t="s">
        <v>583</v>
      </c>
      <c r="R262" s="564">
        <v>1</v>
      </c>
    </row>
    <row r="263" spans="1:18" ht="15" customHeight="1" x14ac:dyDescent="0.25">
      <c r="A263" s="553">
        <v>4</v>
      </c>
      <c r="B263" s="553">
        <v>2</v>
      </c>
      <c r="C263" s="553">
        <v>2</v>
      </c>
      <c r="D263" s="553">
        <v>2</v>
      </c>
      <c r="E263" s="553">
        <v>2</v>
      </c>
      <c r="F263" s="553">
        <v>2</v>
      </c>
      <c r="G263" s="553" t="s">
        <v>486</v>
      </c>
      <c r="H263" s="553">
        <v>1325.5350000000001</v>
      </c>
      <c r="I263" s="553">
        <v>0</v>
      </c>
      <c r="J263" s="553">
        <v>24</v>
      </c>
      <c r="K263" s="553">
        <v>51</v>
      </c>
      <c r="L263" s="553">
        <v>2</v>
      </c>
      <c r="M263" s="505" t="s">
        <v>137</v>
      </c>
      <c r="N263" s="500">
        <v>43013539130000</v>
      </c>
      <c r="O263" s="553" t="s">
        <v>852</v>
      </c>
      <c r="P263" s="650" t="s">
        <v>857</v>
      </c>
      <c r="Q263" s="564" t="s">
        <v>583</v>
      </c>
      <c r="R263" s="564">
        <v>1</v>
      </c>
    </row>
    <row r="264" spans="1:18" ht="15" customHeight="1" x14ac:dyDescent="0.25">
      <c r="A264" s="553">
        <v>4</v>
      </c>
      <c r="B264" s="553">
        <v>2</v>
      </c>
      <c r="C264" s="553">
        <v>2</v>
      </c>
      <c r="D264" s="553">
        <v>2</v>
      </c>
      <c r="E264" s="553">
        <v>2</v>
      </c>
      <c r="F264" s="553">
        <v>2</v>
      </c>
      <c r="G264" s="502" t="s">
        <v>488</v>
      </c>
      <c r="H264" s="553">
        <v>1325.5350000000001</v>
      </c>
      <c r="I264" s="553">
        <v>0</v>
      </c>
      <c r="J264" s="553">
        <v>24</v>
      </c>
      <c r="K264" s="553">
        <v>51</v>
      </c>
      <c r="L264" s="553">
        <v>2</v>
      </c>
      <c r="M264" s="505" t="s">
        <v>137</v>
      </c>
      <c r="N264" s="500">
        <v>43013539130000</v>
      </c>
      <c r="O264" s="553" t="s">
        <v>852</v>
      </c>
      <c r="P264" s="650" t="s">
        <v>858</v>
      </c>
      <c r="Q264" s="564" t="s">
        <v>583</v>
      </c>
      <c r="R264" s="564">
        <v>1</v>
      </c>
    </row>
    <row r="265" spans="1:18" ht="15" customHeight="1" x14ac:dyDescent="0.25">
      <c r="A265" s="553">
        <v>4</v>
      </c>
      <c r="B265" s="553">
        <v>2</v>
      </c>
      <c r="C265" s="553">
        <v>2</v>
      </c>
      <c r="D265" s="553">
        <v>2</v>
      </c>
      <c r="E265" s="553">
        <v>2</v>
      </c>
      <c r="F265" s="553">
        <v>2</v>
      </c>
      <c r="G265" s="553" t="s">
        <v>490</v>
      </c>
      <c r="H265" s="553">
        <v>1294.25</v>
      </c>
      <c r="I265" s="553">
        <v>0</v>
      </c>
      <c r="J265" s="553">
        <v>7</v>
      </c>
      <c r="K265" s="553">
        <v>25</v>
      </c>
      <c r="L265" s="553">
        <v>4</v>
      </c>
      <c r="M265" s="505" t="s">
        <v>137</v>
      </c>
      <c r="N265" s="500">
        <v>43013539130000</v>
      </c>
      <c r="O265" s="553" t="s">
        <v>852</v>
      </c>
      <c r="P265" s="650" t="s">
        <v>859</v>
      </c>
      <c r="Q265" s="564" t="s">
        <v>583</v>
      </c>
      <c r="R265" s="564">
        <v>1</v>
      </c>
    </row>
    <row r="266" spans="1:18" ht="15" customHeight="1" x14ac:dyDescent="0.25">
      <c r="A266" s="553">
        <v>4</v>
      </c>
      <c r="B266" s="553">
        <v>2</v>
      </c>
      <c r="C266" s="553">
        <v>2</v>
      </c>
      <c r="D266" s="553">
        <v>2</v>
      </c>
      <c r="E266" s="553">
        <v>2</v>
      </c>
      <c r="F266" s="553">
        <v>2</v>
      </c>
      <c r="G266" s="553" t="s">
        <v>493</v>
      </c>
      <c r="H266" s="553">
        <v>1294.25</v>
      </c>
      <c r="I266" s="553">
        <v>0</v>
      </c>
      <c r="J266" s="553">
        <v>7</v>
      </c>
      <c r="K266" s="553">
        <v>25</v>
      </c>
      <c r="L266" s="553">
        <v>4</v>
      </c>
      <c r="M266" s="505" t="s">
        <v>137</v>
      </c>
      <c r="N266" s="500">
        <v>43013539130000</v>
      </c>
      <c r="O266" s="553" t="s">
        <v>852</v>
      </c>
      <c r="P266" s="650" t="s">
        <v>860</v>
      </c>
      <c r="Q266" s="564" t="s">
        <v>583</v>
      </c>
      <c r="R266" s="564">
        <v>1</v>
      </c>
    </row>
    <row r="267" spans="1:18" ht="15" customHeight="1" x14ac:dyDescent="0.25">
      <c r="A267" s="553">
        <v>4</v>
      </c>
      <c r="B267" s="553">
        <v>2</v>
      </c>
      <c r="C267" s="553">
        <v>2</v>
      </c>
      <c r="D267" s="553">
        <v>2</v>
      </c>
      <c r="E267" s="553">
        <v>2</v>
      </c>
      <c r="F267" s="553">
        <v>2</v>
      </c>
      <c r="G267" s="553" t="s">
        <v>474</v>
      </c>
      <c r="H267" s="553">
        <v>1320.885</v>
      </c>
      <c r="I267" s="553">
        <v>89</v>
      </c>
      <c r="J267" s="553">
        <v>57</v>
      </c>
      <c r="K267" s="553">
        <v>30</v>
      </c>
      <c r="L267" s="553">
        <v>3</v>
      </c>
      <c r="M267" s="505" t="s">
        <v>137</v>
      </c>
      <c r="N267" s="500">
        <v>43013539130000</v>
      </c>
      <c r="O267" s="553" t="s">
        <v>852</v>
      </c>
      <c r="P267" s="650" t="s">
        <v>861</v>
      </c>
      <c r="Q267" s="564" t="s">
        <v>583</v>
      </c>
      <c r="R267" s="564">
        <v>1</v>
      </c>
    </row>
    <row r="268" spans="1:18" ht="15" customHeight="1" x14ac:dyDescent="0.25">
      <c r="A268" s="553">
        <v>4</v>
      </c>
      <c r="B268" s="553">
        <v>2</v>
      </c>
      <c r="C268" s="553">
        <v>2</v>
      </c>
      <c r="D268" s="553">
        <v>2</v>
      </c>
      <c r="E268" s="553">
        <v>2</v>
      </c>
      <c r="F268" s="553">
        <v>2</v>
      </c>
      <c r="G268" s="502" t="s">
        <v>477</v>
      </c>
      <c r="H268" s="553">
        <v>1320.885</v>
      </c>
      <c r="I268" s="553">
        <v>89</v>
      </c>
      <c r="J268" s="553">
        <v>57</v>
      </c>
      <c r="K268" s="553">
        <v>30</v>
      </c>
      <c r="L268" s="553">
        <v>3</v>
      </c>
      <c r="M268" s="505" t="s">
        <v>137</v>
      </c>
      <c r="N268" s="500">
        <v>43013539130000</v>
      </c>
      <c r="O268" s="553" t="s">
        <v>852</v>
      </c>
      <c r="P268" s="650" t="s">
        <v>862</v>
      </c>
      <c r="Q268" s="564" t="s">
        <v>583</v>
      </c>
      <c r="R268" s="564">
        <v>1</v>
      </c>
    </row>
    <row r="269" spans="1:18" ht="15" customHeight="1" x14ac:dyDescent="0.25">
      <c r="A269" s="553">
        <v>4</v>
      </c>
      <c r="B269" s="553">
        <v>2</v>
      </c>
      <c r="C269" s="553">
        <v>2</v>
      </c>
      <c r="D269" s="553">
        <v>2</v>
      </c>
      <c r="E269" s="553">
        <v>2</v>
      </c>
      <c r="F269" s="553">
        <v>2</v>
      </c>
      <c r="G269" s="553" t="s">
        <v>479</v>
      </c>
      <c r="H269" s="553">
        <v>1320.98</v>
      </c>
      <c r="I269" s="553">
        <v>89</v>
      </c>
      <c r="J269" s="553">
        <v>58</v>
      </c>
      <c r="K269" s="553">
        <v>47</v>
      </c>
      <c r="L269" s="553">
        <v>3</v>
      </c>
      <c r="M269" s="505" t="s">
        <v>137</v>
      </c>
      <c r="N269" s="500">
        <v>43013539130000</v>
      </c>
      <c r="O269" s="553" t="s">
        <v>852</v>
      </c>
      <c r="P269" s="650" t="s">
        <v>863</v>
      </c>
      <c r="Q269" s="564" t="s">
        <v>583</v>
      </c>
      <c r="R269" s="564">
        <v>1</v>
      </c>
    </row>
    <row r="270" spans="1:18" ht="15" customHeight="1" x14ac:dyDescent="0.25">
      <c r="A270" s="553">
        <v>4</v>
      </c>
      <c r="B270" s="553">
        <v>2</v>
      </c>
      <c r="C270" s="553">
        <v>2</v>
      </c>
      <c r="D270" s="553">
        <v>2</v>
      </c>
      <c r="E270" s="553">
        <v>2</v>
      </c>
      <c r="F270" s="553">
        <v>2</v>
      </c>
      <c r="G270" s="553" t="s">
        <v>485</v>
      </c>
      <c r="H270" s="553">
        <v>1320.98</v>
      </c>
      <c r="I270" s="553">
        <v>89</v>
      </c>
      <c r="J270" s="553">
        <v>58</v>
      </c>
      <c r="K270" s="553">
        <v>47</v>
      </c>
      <c r="L270" s="553">
        <v>3</v>
      </c>
      <c r="M270" s="505" t="s">
        <v>137</v>
      </c>
      <c r="N270" s="500">
        <v>43013539130000</v>
      </c>
      <c r="O270" s="553" t="s">
        <v>852</v>
      </c>
      <c r="P270" s="650" t="s">
        <v>864</v>
      </c>
      <c r="Q270" s="564" t="s">
        <v>583</v>
      </c>
      <c r="R270" s="564">
        <v>1</v>
      </c>
    </row>
    <row r="271" spans="1:18" ht="15" customHeight="1" x14ac:dyDescent="0.25">
      <c r="A271" s="553">
        <v>4</v>
      </c>
      <c r="B271" s="553">
        <v>2</v>
      </c>
      <c r="C271" s="553">
        <v>2</v>
      </c>
      <c r="D271" s="553">
        <v>2</v>
      </c>
      <c r="E271" s="553">
        <v>2</v>
      </c>
      <c r="F271" s="553">
        <v>2</v>
      </c>
      <c r="G271" s="553" t="s">
        <v>487</v>
      </c>
      <c r="H271" s="553">
        <v>1318.5150000000001</v>
      </c>
      <c r="I271" s="553">
        <v>89</v>
      </c>
      <c r="J271" s="553">
        <v>22</v>
      </c>
      <c r="K271" s="553">
        <v>18</v>
      </c>
      <c r="L271" s="553">
        <v>3</v>
      </c>
      <c r="M271" s="505" t="s">
        <v>137</v>
      </c>
      <c r="N271" s="500">
        <v>43013539130000</v>
      </c>
      <c r="O271" s="553" t="s">
        <v>852</v>
      </c>
      <c r="P271" s="650" t="s">
        <v>865</v>
      </c>
      <c r="Q271" s="564" t="s">
        <v>583</v>
      </c>
      <c r="R271" s="564">
        <v>1</v>
      </c>
    </row>
    <row r="272" spans="1:18" ht="15" customHeight="1" x14ac:dyDescent="0.25">
      <c r="A272" s="553">
        <v>4</v>
      </c>
      <c r="B272" s="553">
        <v>2</v>
      </c>
      <c r="C272" s="553">
        <v>2</v>
      </c>
      <c r="D272" s="553">
        <v>2</v>
      </c>
      <c r="E272" s="553">
        <v>2</v>
      </c>
      <c r="F272" s="553">
        <v>2</v>
      </c>
      <c r="G272" s="502" t="s">
        <v>489</v>
      </c>
      <c r="H272" s="553">
        <v>1318.5150000000001</v>
      </c>
      <c r="I272" s="553">
        <v>89</v>
      </c>
      <c r="J272" s="553">
        <v>22</v>
      </c>
      <c r="K272" s="553">
        <v>18</v>
      </c>
      <c r="L272" s="553">
        <v>3</v>
      </c>
      <c r="M272" s="505" t="s">
        <v>137</v>
      </c>
      <c r="N272" s="500">
        <v>43013539130000</v>
      </c>
      <c r="O272" s="553" t="s">
        <v>852</v>
      </c>
      <c r="P272" s="650" t="s">
        <v>866</v>
      </c>
      <c r="Q272" s="564" t="s">
        <v>583</v>
      </c>
      <c r="R272" s="564">
        <v>1</v>
      </c>
    </row>
    <row r="273" spans="1:18" ht="15" customHeight="1" x14ac:dyDescent="0.25">
      <c r="A273" s="553">
        <v>4</v>
      </c>
      <c r="B273" s="553">
        <v>2</v>
      </c>
      <c r="C273" s="553">
        <v>2</v>
      </c>
      <c r="D273" s="553">
        <v>2</v>
      </c>
      <c r="E273" s="553">
        <v>2</v>
      </c>
      <c r="F273" s="553">
        <v>2</v>
      </c>
      <c r="G273" s="553" t="s">
        <v>491</v>
      </c>
      <c r="H273" s="553">
        <v>1318.4749999999999</v>
      </c>
      <c r="I273" s="553">
        <v>89</v>
      </c>
      <c r="J273" s="553">
        <v>22</v>
      </c>
      <c r="K273" s="553">
        <v>11</v>
      </c>
      <c r="L273" s="553">
        <v>3</v>
      </c>
      <c r="M273" s="505" t="s">
        <v>137</v>
      </c>
      <c r="N273" s="500">
        <v>43013539130000</v>
      </c>
      <c r="O273" s="553" t="s">
        <v>852</v>
      </c>
      <c r="P273" s="650" t="s">
        <v>867</v>
      </c>
      <c r="Q273" s="564" t="s">
        <v>583</v>
      </c>
      <c r="R273" s="564">
        <v>1</v>
      </c>
    </row>
    <row r="274" spans="1:18" ht="15" customHeight="1" x14ac:dyDescent="0.25">
      <c r="A274" s="553">
        <v>4</v>
      </c>
      <c r="B274" s="553">
        <v>2</v>
      </c>
      <c r="C274" s="553">
        <v>2</v>
      </c>
      <c r="D274" s="553">
        <v>2</v>
      </c>
      <c r="E274" s="553">
        <v>2</v>
      </c>
      <c r="F274" s="553">
        <v>2</v>
      </c>
      <c r="G274" s="553" t="s">
        <v>494</v>
      </c>
      <c r="H274" s="553">
        <v>1318.4749999999999</v>
      </c>
      <c r="I274" s="553">
        <v>89</v>
      </c>
      <c r="J274" s="553">
        <v>22</v>
      </c>
      <c r="K274" s="553">
        <v>11</v>
      </c>
      <c r="L274" s="553">
        <v>3</v>
      </c>
      <c r="M274" s="505" t="s">
        <v>137</v>
      </c>
      <c r="N274" s="500">
        <v>43013539130000</v>
      </c>
      <c r="O274" s="553" t="s">
        <v>852</v>
      </c>
      <c r="P274" s="650" t="s">
        <v>868</v>
      </c>
      <c r="Q274" s="564" t="s">
        <v>583</v>
      </c>
      <c r="R274" s="564">
        <v>1</v>
      </c>
    </row>
    <row r="275" spans="1:18" ht="15" customHeight="1" x14ac:dyDescent="0.25">
      <c r="A275" s="553">
        <v>4</v>
      </c>
      <c r="B275" s="553">
        <v>2</v>
      </c>
      <c r="C275" s="553">
        <v>2</v>
      </c>
      <c r="D275" s="553">
        <v>3</v>
      </c>
      <c r="E275" s="553">
        <v>2</v>
      </c>
      <c r="F275" s="553">
        <v>2</v>
      </c>
      <c r="G275" s="553" t="s">
        <v>473</v>
      </c>
      <c r="H275" s="553">
        <v>1321.25</v>
      </c>
      <c r="I275" s="553">
        <v>0</v>
      </c>
      <c r="J275" s="553">
        <v>21</v>
      </c>
      <c r="K275" s="553">
        <v>17</v>
      </c>
      <c r="L275" s="553">
        <v>2</v>
      </c>
      <c r="M275" s="505" t="s">
        <v>137</v>
      </c>
      <c r="N275" s="652">
        <v>43013538740000</v>
      </c>
      <c r="O275" s="553" t="s">
        <v>869</v>
      </c>
      <c r="P275" s="650" t="s">
        <v>870</v>
      </c>
      <c r="Q275" s="564" t="s">
        <v>583</v>
      </c>
      <c r="R275" s="564">
        <v>2</v>
      </c>
    </row>
    <row r="276" spans="1:18" ht="15" customHeight="1" x14ac:dyDescent="0.25">
      <c r="A276" s="553">
        <v>4</v>
      </c>
      <c r="B276" s="553">
        <v>2</v>
      </c>
      <c r="C276" s="553">
        <v>2</v>
      </c>
      <c r="D276" s="553">
        <v>3</v>
      </c>
      <c r="E276" s="553">
        <v>2</v>
      </c>
      <c r="F276" s="553">
        <v>2</v>
      </c>
      <c r="G276" s="502" t="s">
        <v>476</v>
      </c>
      <c r="H276" s="553">
        <v>1321.25</v>
      </c>
      <c r="I276" s="553">
        <v>0</v>
      </c>
      <c r="J276" s="553">
        <v>21</v>
      </c>
      <c r="K276" s="553">
        <v>17</v>
      </c>
      <c r="L276" s="553">
        <v>2</v>
      </c>
      <c r="M276" s="505" t="s">
        <v>137</v>
      </c>
      <c r="N276" s="652">
        <v>43013538740000</v>
      </c>
      <c r="O276" s="553" t="s">
        <v>869</v>
      </c>
      <c r="P276" s="650" t="s">
        <v>871</v>
      </c>
      <c r="Q276" s="564" t="s">
        <v>583</v>
      </c>
      <c r="R276" s="564">
        <v>2</v>
      </c>
    </row>
    <row r="277" spans="1:18" ht="15" customHeight="1" x14ac:dyDescent="0.25">
      <c r="A277" s="553">
        <v>4</v>
      </c>
      <c r="B277" s="553">
        <v>2</v>
      </c>
      <c r="C277" s="553">
        <v>2</v>
      </c>
      <c r="D277" s="553">
        <v>3</v>
      </c>
      <c r="E277" s="553">
        <v>2</v>
      </c>
      <c r="F277" s="553">
        <v>2</v>
      </c>
      <c r="G277" s="553" t="s">
        <v>478</v>
      </c>
      <c r="H277" s="553">
        <v>1321.25</v>
      </c>
      <c r="I277" s="553">
        <v>0</v>
      </c>
      <c r="J277" s="553">
        <v>21</v>
      </c>
      <c r="K277" s="553">
        <v>17</v>
      </c>
      <c r="L277" s="553">
        <v>2</v>
      </c>
      <c r="M277" s="505" t="s">
        <v>137</v>
      </c>
      <c r="N277" s="652">
        <v>43013538740000</v>
      </c>
      <c r="O277" s="553" t="s">
        <v>869</v>
      </c>
      <c r="P277" s="650" t="s">
        <v>872</v>
      </c>
      <c r="Q277" s="564" t="s">
        <v>583</v>
      </c>
      <c r="R277" s="564">
        <v>2</v>
      </c>
    </row>
    <row r="278" spans="1:18" ht="15" customHeight="1" x14ac:dyDescent="0.25">
      <c r="A278" s="553">
        <v>4</v>
      </c>
      <c r="B278" s="553">
        <v>2</v>
      </c>
      <c r="C278" s="553">
        <v>2</v>
      </c>
      <c r="D278" s="553">
        <v>3</v>
      </c>
      <c r="E278" s="553">
        <v>2</v>
      </c>
      <c r="F278" s="553">
        <v>2</v>
      </c>
      <c r="G278" s="553" t="s">
        <v>484</v>
      </c>
      <c r="H278" s="553">
        <v>1321.25</v>
      </c>
      <c r="I278" s="553">
        <v>0</v>
      </c>
      <c r="J278" s="553">
        <v>21</v>
      </c>
      <c r="K278" s="553">
        <v>17</v>
      </c>
      <c r="L278" s="553">
        <v>2</v>
      </c>
      <c r="M278" s="505" t="s">
        <v>137</v>
      </c>
      <c r="N278" s="652">
        <v>43013538740000</v>
      </c>
      <c r="O278" s="553" t="s">
        <v>869</v>
      </c>
      <c r="P278" s="650" t="s">
        <v>873</v>
      </c>
      <c r="Q278" s="564" t="s">
        <v>583</v>
      </c>
      <c r="R278" s="564">
        <v>2</v>
      </c>
    </row>
    <row r="279" spans="1:18" ht="15" customHeight="1" x14ac:dyDescent="0.25">
      <c r="A279" s="553">
        <v>4</v>
      </c>
      <c r="B279" s="553">
        <v>2</v>
      </c>
      <c r="C279" s="553">
        <v>2</v>
      </c>
      <c r="D279" s="553">
        <v>3</v>
      </c>
      <c r="E279" s="553">
        <v>2</v>
      </c>
      <c r="F279" s="553">
        <v>2</v>
      </c>
      <c r="G279" s="553" t="s">
        <v>486</v>
      </c>
      <c r="H279" s="553">
        <v>1327.825</v>
      </c>
      <c r="I279" s="553">
        <v>0</v>
      </c>
      <c r="J279" s="553">
        <v>33</v>
      </c>
      <c r="K279" s="553">
        <v>26</v>
      </c>
      <c r="L279" s="553">
        <v>2</v>
      </c>
      <c r="M279" s="505" t="s">
        <v>137</v>
      </c>
      <c r="N279" s="652">
        <v>43013538740000</v>
      </c>
      <c r="O279" s="553" t="s">
        <v>869</v>
      </c>
      <c r="P279" s="650" t="s">
        <v>874</v>
      </c>
      <c r="Q279" s="564" t="s">
        <v>583</v>
      </c>
      <c r="R279" s="564">
        <v>2</v>
      </c>
    </row>
    <row r="280" spans="1:18" ht="15" customHeight="1" x14ac:dyDescent="0.25">
      <c r="A280" s="553">
        <v>4</v>
      </c>
      <c r="B280" s="553">
        <v>2</v>
      </c>
      <c r="C280" s="553">
        <v>2</v>
      </c>
      <c r="D280" s="553">
        <v>3</v>
      </c>
      <c r="E280" s="553">
        <v>2</v>
      </c>
      <c r="F280" s="553">
        <v>2</v>
      </c>
      <c r="G280" s="502" t="s">
        <v>488</v>
      </c>
      <c r="H280" s="553">
        <v>1327.825</v>
      </c>
      <c r="I280" s="553">
        <v>0</v>
      </c>
      <c r="J280" s="553">
        <v>33</v>
      </c>
      <c r="K280" s="553">
        <v>26</v>
      </c>
      <c r="L280" s="553">
        <v>2</v>
      </c>
      <c r="M280" s="505" t="s">
        <v>137</v>
      </c>
      <c r="N280" s="652">
        <v>43013538740000</v>
      </c>
      <c r="O280" s="553" t="s">
        <v>869</v>
      </c>
      <c r="P280" s="650" t="s">
        <v>875</v>
      </c>
      <c r="Q280" s="564" t="s">
        <v>583</v>
      </c>
      <c r="R280" s="564">
        <v>2</v>
      </c>
    </row>
    <row r="281" spans="1:18" ht="15" customHeight="1" x14ac:dyDescent="0.25">
      <c r="A281" s="553">
        <v>4</v>
      </c>
      <c r="B281" s="553">
        <v>2</v>
      </c>
      <c r="C281" s="553">
        <v>2</v>
      </c>
      <c r="D281" s="553">
        <v>3</v>
      </c>
      <c r="E281" s="553">
        <v>2</v>
      </c>
      <c r="F281" s="553">
        <v>2</v>
      </c>
      <c r="G281" s="553" t="s">
        <v>490</v>
      </c>
      <c r="H281" s="553">
        <v>1327.825</v>
      </c>
      <c r="I281" s="553">
        <v>0</v>
      </c>
      <c r="J281" s="553">
        <v>33</v>
      </c>
      <c r="K281" s="553">
        <v>26</v>
      </c>
      <c r="L281" s="553">
        <v>2</v>
      </c>
      <c r="M281" s="505" t="s">
        <v>137</v>
      </c>
      <c r="N281" s="652">
        <v>43013538740000</v>
      </c>
      <c r="O281" s="553" t="s">
        <v>869</v>
      </c>
      <c r="P281" s="650" t="s">
        <v>876</v>
      </c>
      <c r="Q281" s="564" t="s">
        <v>583</v>
      </c>
      <c r="R281" s="564">
        <v>2</v>
      </c>
    </row>
    <row r="282" spans="1:18" ht="15" customHeight="1" x14ac:dyDescent="0.25">
      <c r="A282" s="553">
        <v>4</v>
      </c>
      <c r="B282" s="553">
        <v>2</v>
      </c>
      <c r="C282" s="553">
        <v>2</v>
      </c>
      <c r="D282" s="553">
        <v>3</v>
      </c>
      <c r="E282" s="553">
        <v>2</v>
      </c>
      <c r="F282" s="553">
        <v>2</v>
      </c>
      <c r="G282" s="553" t="s">
        <v>493</v>
      </c>
      <c r="H282" s="553">
        <v>1327.825</v>
      </c>
      <c r="I282" s="553">
        <v>0</v>
      </c>
      <c r="J282" s="553">
        <v>33</v>
      </c>
      <c r="K282" s="553">
        <v>26</v>
      </c>
      <c r="L282" s="553">
        <v>2</v>
      </c>
      <c r="M282" s="505" t="s">
        <v>137</v>
      </c>
      <c r="N282" s="652">
        <v>43013538740000</v>
      </c>
      <c r="O282" s="553" t="s">
        <v>869</v>
      </c>
      <c r="P282" s="650" t="s">
        <v>877</v>
      </c>
      <c r="Q282" s="564" t="s">
        <v>583</v>
      </c>
      <c r="R282" s="564">
        <v>2</v>
      </c>
    </row>
    <row r="283" spans="1:18" ht="15" customHeight="1" x14ac:dyDescent="0.25">
      <c r="A283" s="553">
        <v>4</v>
      </c>
      <c r="B283" s="553">
        <v>2</v>
      </c>
      <c r="C283" s="553">
        <v>2</v>
      </c>
      <c r="D283" s="553">
        <v>3</v>
      </c>
      <c r="E283" s="553">
        <v>2</v>
      </c>
      <c r="F283" s="553">
        <v>2</v>
      </c>
      <c r="G283" s="553" t="s">
        <v>474</v>
      </c>
      <c r="H283" s="553">
        <v>1344.82</v>
      </c>
      <c r="I283" s="553">
        <v>89</v>
      </c>
      <c r="J283" s="553">
        <v>53</v>
      </c>
      <c r="K283" s="553">
        <v>39</v>
      </c>
      <c r="L283" s="553">
        <v>3</v>
      </c>
      <c r="M283" s="505" t="s">
        <v>137</v>
      </c>
      <c r="N283" s="652">
        <v>43013538740000</v>
      </c>
      <c r="O283" s="553" t="s">
        <v>869</v>
      </c>
      <c r="P283" s="650" t="s">
        <v>878</v>
      </c>
      <c r="Q283" s="564" t="s">
        <v>583</v>
      </c>
      <c r="R283" s="564">
        <v>2</v>
      </c>
    </row>
    <row r="284" spans="1:18" ht="15" customHeight="1" x14ac:dyDescent="0.25">
      <c r="A284" s="553">
        <v>4</v>
      </c>
      <c r="B284" s="553">
        <v>2</v>
      </c>
      <c r="C284" s="553">
        <v>2</v>
      </c>
      <c r="D284" s="553">
        <v>3</v>
      </c>
      <c r="E284" s="553">
        <v>2</v>
      </c>
      <c r="F284" s="553">
        <v>2</v>
      </c>
      <c r="G284" s="502" t="s">
        <v>477</v>
      </c>
      <c r="H284" s="553">
        <v>1318.05</v>
      </c>
      <c r="I284" s="553">
        <v>89</v>
      </c>
      <c r="J284" s="553">
        <v>59</v>
      </c>
      <c r="K284" s="553">
        <v>23</v>
      </c>
      <c r="L284" s="553">
        <v>3</v>
      </c>
      <c r="M284" s="505" t="s">
        <v>137</v>
      </c>
      <c r="N284" s="652">
        <v>43013538740000</v>
      </c>
      <c r="O284" s="553" t="s">
        <v>869</v>
      </c>
      <c r="P284" s="650" t="s">
        <v>879</v>
      </c>
      <c r="Q284" s="564" t="s">
        <v>583</v>
      </c>
      <c r="R284" s="564">
        <v>2</v>
      </c>
    </row>
    <row r="285" spans="1:18" ht="15" customHeight="1" x14ac:dyDescent="0.25">
      <c r="A285" s="553">
        <v>4</v>
      </c>
      <c r="B285" s="553">
        <v>2</v>
      </c>
      <c r="C285" s="553">
        <v>2</v>
      </c>
      <c r="D285" s="553">
        <v>3</v>
      </c>
      <c r="E285" s="553">
        <v>2</v>
      </c>
      <c r="F285" s="553">
        <v>2</v>
      </c>
      <c r="G285" s="553" t="s">
        <v>479</v>
      </c>
      <c r="H285" s="553">
        <v>1316.9549999999999</v>
      </c>
      <c r="I285" s="553">
        <v>89</v>
      </c>
      <c r="J285" s="553">
        <v>44</v>
      </c>
      <c r="K285" s="553">
        <v>41</v>
      </c>
      <c r="L285" s="553">
        <v>4</v>
      </c>
      <c r="M285" s="505" t="s">
        <v>137</v>
      </c>
      <c r="N285" s="652">
        <v>43013538740000</v>
      </c>
      <c r="O285" s="553" t="s">
        <v>869</v>
      </c>
      <c r="P285" s="650" t="s">
        <v>880</v>
      </c>
      <c r="Q285" s="564" t="s">
        <v>583</v>
      </c>
      <c r="R285" s="564">
        <v>2</v>
      </c>
    </row>
    <row r="286" spans="1:18" ht="15" customHeight="1" x14ac:dyDescent="0.25">
      <c r="A286" s="553">
        <v>4</v>
      </c>
      <c r="B286" s="553">
        <v>2</v>
      </c>
      <c r="C286" s="553">
        <v>2</v>
      </c>
      <c r="D286" s="553">
        <v>3</v>
      </c>
      <c r="E286" s="553">
        <v>2</v>
      </c>
      <c r="F286" s="553">
        <v>2</v>
      </c>
      <c r="G286" s="553" t="s">
        <v>485</v>
      </c>
      <c r="H286" s="553">
        <v>1316.9549999999999</v>
      </c>
      <c r="I286" s="553">
        <v>89</v>
      </c>
      <c r="J286" s="553">
        <v>44</v>
      </c>
      <c r="K286" s="553">
        <v>41</v>
      </c>
      <c r="L286" s="553">
        <v>4</v>
      </c>
      <c r="M286" s="505" t="s">
        <v>137</v>
      </c>
      <c r="N286" s="652">
        <v>43013538740000</v>
      </c>
      <c r="O286" s="553" t="s">
        <v>869</v>
      </c>
      <c r="P286" s="650" t="s">
        <v>881</v>
      </c>
      <c r="Q286" s="564" t="s">
        <v>583</v>
      </c>
      <c r="R286" s="564">
        <v>2</v>
      </c>
    </row>
    <row r="287" spans="1:18" ht="15" customHeight="1" x14ac:dyDescent="0.25">
      <c r="A287" s="553">
        <v>4</v>
      </c>
      <c r="B287" s="553">
        <v>2</v>
      </c>
      <c r="C287" s="553">
        <v>2</v>
      </c>
      <c r="D287" s="553">
        <v>3</v>
      </c>
      <c r="E287" s="553">
        <v>2</v>
      </c>
      <c r="F287" s="553">
        <v>2</v>
      </c>
      <c r="G287" s="553" t="s">
        <v>487</v>
      </c>
      <c r="H287" s="553">
        <v>1316.47</v>
      </c>
      <c r="I287" s="553">
        <v>89</v>
      </c>
      <c r="J287" s="553">
        <v>47</v>
      </c>
      <c r="K287" s="553">
        <v>11</v>
      </c>
      <c r="L287" s="553">
        <v>4</v>
      </c>
      <c r="M287" s="505" t="s">
        <v>137</v>
      </c>
      <c r="N287" s="652">
        <v>43013538740000</v>
      </c>
      <c r="O287" s="553" t="s">
        <v>869</v>
      </c>
      <c r="P287" s="650" t="s">
        <v>882</v>
      </c>
      <c r="Q287" s="564" t="s">
        <v>583</v>
      </c>
      <c r="R287" s="564">
        <v>2</v>
      </c>
    </row>
    <row r="288" spans="1:18" ht="15" customHeight="1" x14ac:dyDescent="0.25">
      <c r="A288" s="553">
        <v>4</v>
      </c>
      <c r="B288" s="553">
        <v>2</v>
      </c>
      <c r="C288" s="553">
        <v>2</v>
      </c>
      <c r="D288" s="553">
        <v>3</v>
      </c>
      <c r="E288" s="553">
        <v>2</v>
      </c>
      <c r="F288" s="553">
        <v>2</v>
      </c>
      <c r="G288" s="502" t="s">
        <v>489</v>
      </c>
      <c r="H288" s="553">
        <v>1316.47</v>
      </c>
      <c r="I288" s="553">
        <v>89</v>
      </c>
      <c r="J288" s="553">
        <v>47</v>
      </c>
      <c r="K288" s="553">
        <v>11</v>
      </c>
      <c r="L288" s="553">
        <v>4</v>
      </c>
      <c r="M288" s="505" t="s">
        <v>137</v>
      </c>
      <c r="N288" s="652">
        <v>43013538740000</v>
      </c>
      <c r="O288" s="553" t="s">
        <v>869</v>
      </c>
      <c r="P288" s="650" t="s">
        <v>883</v>
      </c>
      <c r="Q288" s="564" t="s">
        <v>583</v>
      </c>
      <c r="R288" s="564">
        <v>2</v>
      </c>
    </row>
    <row r="289" spans="1:18" ht="15" customHeight="1" x14ac:dyDescent="0.25">
      <c r="A289" s="553">
        <v>4</v>
      </c>
      <c r="B289" s="553">
        <v>2</v>
      </c>
      <c r="C289" s="553">
        <v>2</v>
      </c>
      <c r="D289" s="553">
        <v>3</v>
      </c>
      <c r="E289" s="553">
        <v>2</v>
      </c>
      <c r="F289" s="553">
        <v>2</v>
      </c>
      <c r="G289" s="553" t="s">
        <v>491</v>
      </c>
      <c r="H289" s="553">
        <v>1320.77</v>
      </c>
      <c r="I289" s="553">
        <v>89</v>
      </c>
      <c r="J289" s="553">
        <v>28</v>
      </c>
      <c r="K289" s="553">
        <v>39</v>
      </c>
      <c r="L289" s="553">
        <v>4</v>
      </c>
      <c r="M289" s="505" t="s">
        <v>137</v>
      </c>
      <c r="N289" s="652">
        <v>43013538740000</v>
      </c>
      <c r="O289" s="553" t="s">
        <v>869</v>
      </c>
      <c r="P289" s="650" t="s">
        <v>884</v>
      </c>
      <c r="Q289" s="564" t="s">
        <v>583</v>
      </c>
      <c r="R289" s="564">
        <v>2</v>
      </c>
    </row>
    <row r="290" spans="1:18" ht="15" customHeight="1" x14ac:dyDescent="0.25">
      <c r="A290" s="553">
        <v>4</v>
      </c>
      <c r="B290" s="553">
        <v>2</v>
      </c>
      <c r="C290" s="553">
        <v>2</v>
      </c>
      <c r="D290" s="553">
        <v>3</v>
      </c>
      <c r="E290" s="553">
        <v>2</v>
      </c>
      <c r="F290" s="553">
        <v>2</v>
      </c>
      <c r="G290" s="553" t="s">
        <v>494</v>
      </c>
      <c r="H290" s="553">
        <v>1324.24</v>
      </c>
      <c r="I290" s="553">
        <v>89</v>
      </c>
      <c r="J290" s="553">
        <v>25</v>
      </c>
      <c r="K290" s="553">
        <v>30</v>
      </c>
      <c r="L290" s="553">
        <v>4</v>
      </c>
      <c r="M290" s="505" t="s">
        <v>137</v>
      </c>
      <c r="N290" s="652">
        <v>43013538740000</v>
      </c>
      <c r="O290" s="553" t="s">
        <v>869</v>
      </c>
      <c r="P290" s="650" t="s">
        <v>885</v>
      </c>
      <c r="Q290" s="564" t="s">
        <v>583</v>
      </c>
      <c r="R290" s="564">
        <v>2</v>
      </c>
    </row>
    <row r="291" spans="1:18" ht="15" customHeight="1" x14ac:dyDescent="0.25">
      <c r="A291" s="564">
        <v>4</v>
      </c>
      <c r="B291" s="564">
        <v>4</v>
      </c>
      <c r="C291" s="564">
        <v>2</v>
      </c>
      <c r="D291" s="564">
        <v>1</v>
      </c>
      <c r="E291" s="564">
        <v>2</v>
      </c>
      <c r="F291" s="564">
        <v>2</v>
      </c>
      <c r="G291" s="564" t="s">
        <v>473</v>
      </c>
      <c r="H291" s="564">
        <v>1410.44</v>
      </c>
      <c r="I291" s="564">
        <v>0</v>
      </c>
      <c r="J291" s="564">
        <v>55</v>
      </c>
      <c r="K291" s="564">
        <v>1</v>
      </c>
      <c r="L291" s="564">
        <v>2</v>
      </c>
      <c r="M291" s="561" t="s">
        <v>137</v>
      </c>
      <c r="N291" s="520"/>
      <c r="O291" s="564"/>
      <c r="P291" s="564" t="s">
        <v>886</v>
      </c>
      <c r="Q291" s="564"/>
      <c r="R291" s="564">
        <v>1</v>
      </c>
    </row>
    <row r="292" spans="1:18" ht="15" customHeight="1" x14ac:dyDescent="0.25">
      <c r="A292" s="564">
        <v>4</v>
      </c>
      <c r="B292" s="564">
        <v>4</v>
      </c>
      <c r="C292" s="564">
        <v>2</v>
      </c>
      <c r="D292" s="564">
        <v>1</v>
      </c>
      <c r="E292" s="564">
        <v>2</v>
      </c>
      <c r="F292" s="564">
        <v>2</v>
      </c>
      <c r="G292" s="521" t="s">
        <v>476</v>
      </c>
      <c r="H292" s="564">
        <v>1410.44</v>
      </c>
      <c r="I292" s="564">
        <v>0</v>
      </c>
      <c r="J292" s="564">
        <v>55</v>
      </c>
      <c r="K292" s="564">
        <v>1</v>
      </c>
      <c r="L292" s="564">
        <v>2</v>
      </c>
      <c r="M292" s="561" t="s">
        <v>137</v>
      </c>
      <c r="N292" s="520"/>
      <c r="O292" s="564"/>
      <c r="P292" s="564" t="s">
        <v>887</v>
      </c>
      <c r="Q292" s="564"/>
      <c r="R292" s="564">
        <v>1</v>
      </c>
    </row>
    <row r="293" spans="1:18" ht="15" customHeight="1" x14ac:dyDescent="0.25">
      <c r="A293" s="564">
        <v>4</v>
      </c>
      <c r="B293" s="564">
        <v>4</v>
      </c>
      <c r="C293" s="564">
        <v>2</v>
      </c>
      <c r="D293" s="564">
        <v>1</v>
      </c>
      <c r="E293" s="564">
        <v>2</v>
      </c>
      <c r="F293" s="564">
        <v>2</v>
      </c>
      <c r="G293" s="564" t="s">
        <v>478</v>
      </c>
      <c r="H293" s="564">
        <v>1309.9000000000001</v>
      </c>
      <c r="I293" s="564">
        <v>0</v>
      </c>
      <c r="J293" s="564">
        <v>45</v>
      </c>
      <c r="K293" s="564">
        <v>50</v>
      </c>
      <c r="L293" s="564">
        <v>2</v>
      </c>
      <c r="M293" s="561" t="s">
        <v>137</v>
      </c>
      <c r="N293" s="520"/>
      <c r="O293" s="564"/>
      <c r="P293" s="564" t="s">
        <v>888</v>
      </c>
      <c r="Q293" s="564"/>
      <c r="R293" s="564">
        <v>1</v>
      </c>
    </row>
    <row r="294" spans="1:18" ht="15" customHeight="1" x14ac:dyDescent="0.25">
      <c r="A294" s="564">
        <v>4</v>
      </c>
      <c r="B294" s="564">
        <v>4</v>
      </c>
      <c r="C294" s="564">
        <v>2</v>
      </c>
      <c r="D294" s="564">
        <v>1</v>
      </c>
      <c r="E294" s="564">
        <v>2</v>
      </c>
      <c r="F294" s="564">
        <v>2</v>
      </c>
      <c r="G294" s="564" t="s">
        <v>484</v>
      </c>
      <c r="H294" s="564">
        <v>1309.9000000000001</v>
      </c>
      <c r="I294" s="564">
        <v>0</v>
      </c>
      <c r="J294" s="564">
        <v>45</v>
      </c>
      <c r="K294" s="564">
        <v>50</v>
      </c>
      <c r="L294" s="564">
        <v>2</v>
      </c>
      <c r="M294" s="561" t="s">
        <v>137</v>
      </c>
      <c r="N294" s="520"/>
      <c r="O294" s="564"/>
      <c r="P294" s="564" t="s">
        <v>889</v>
      </c>
      <c r="Q294" s="564"/>
      <c r="R294" s="564">
        <v>1</v>
      </c>
    </row>
    <row r="295" spans="1:18" ht="15" customHeight="1" x14ac:dyDescent="0.25">
      <c r="A295" s="564">
        <v>4</v>
      </c>
      <c r="B295" s="564">
        <v>4</v>
      </c>
      <c r="C295" s="564">
        <v>2</v>
      </c>
      <c r="D295" s="564">
        <v>1</v>
      </c>
      <c r="E295" s="564">
        <v>2</v>
      </c>
      <c r="F295" s="564">
        <v>2</v>
      </c>
      <c r="G295" s="564" t="s">
        <v>486</v>
      </c>
      <c r="H295" s="564">
        <v>1348.4649999999999</v>
      </c>
      <c r="I295" s="564">
        <v>0</v>
      </c>
      <c r="J295" s="564">
        <v>25</v>
      </c>
      <c r="K295" s="564">
        <v>0</v>
      </c>
      <c r="L295" s="564">
        <v>2</v>
      </c>
      <c r="M295" s="561" t="s">
        <v>137</v>
      </c>
      <c r="N295" s="520"/>
      <c r="O295" s="564"/>
      <c r="P295" s="564" t="s">
        <v>890</v>
      </c>
      <c r="Q295" s="564"/>
      <c r="R295" s="564">
        <v>1</v>
      </c>
    </row>
    <row r="296" spans="1:18" ht="15" customHeight="1" x14ac:dyDescent="0.25">
      <c r="A296" s="564">
        <v>4</v>
      </c>
      <c r="B296" s="564">
        <v>4</v>
      </c>
      <c r="C296" s="564">
        <v>2</v>
      </c>
      <c r="D296" s="564">
        <v>1</v>
      </c>
      <c r="E296" s="564">
        <v>2</v>
      </c>
      <c r="F296" s="564">
        <v>2</v>
      </c>
      <c r="G296" s="521" t="s">
        <v>488</v>
      </c>
      <c r="H296" s="564">
        <v>1348.4649999999999</v>
      </c>
      <c r="I296" s="564">
        <v>0</v>
      </c>
      <c r="J296" s="564">
        <v>25</v>
      </c>
      <c r="K296" s="564">
        <v>0</v>
      </c>
      <c r="L296" s="564">
        <v>2</v>
      </c>
      <c r="M296" s="561" t="s">
        <v>137</v>
      </c>
      <c r="N296" s="520"/>
      <c r="O296" s="564"/>
      <c r="P296" s="564" t="s">
        <v>891</v>
      </c>
      <c r="Q296" s="564"/>
      <c r="R296" s="564">
        <v>1</v>
      </c>
    </row>
    <row r="297" spans="1:18" ht="15" customHeight="1" x14ac:dyDescent="0.25">
      <c r="A297" s="564">
        <v>4</v>
      </c>
      <c r="B297" s="564">
        <v>4</v>
      </c>
      <c r="C297" s="564">
        <v>2</v>
      </c>
      <c r="D297" s="564">
        <v>1</v>
      </c>
      <c r="E297" s="564">
        <v>2</v>
      </c>
      <c r="F297" s="564">
        <v>2</v>
      </c>
      <c r="G297" s="564" t="s">
        <v>490</v>
      </c>
      <c r="H297" s="564">
        <v>1348.4649999999999</v>
      </c>
      <c r="I297" s="564">
        <v>0</v>
      </c>
      <c r="J297" s="564">
        <v>25</v>
      </c>
      <c r="K297" s="564">
        <v>0</v>
      </c>
      <c r="L297" s="564">
        <v>2</v>
      </c>
      <c r="M297" s="561" t="s">
        <v>137</v>
      </c>
      <c r="N297" s="520"/>
      <c r="O297" s="564"/>
      <c r="P297" s="564" t="s">
        <v>892</v>
      </c>
      <c r="Q297" s="564"/>
      <c r="R297" s="564">
        <v>1</v>
      </c>
    </row>
    <row r="298" spans="1:18" ht="15" customHeight="1" x14ac:dyDescent="0.25">
      <c r="A298" s="564">
        <v>4</v>
      </c>
      <c r="B298" s="564">
        <v>4</v>
      </c>
      <c r="C298" s="564">
        <v>2</v>
      </c>
      <c r="D298" s="564">
        <v>1</v>
      </c>
      <c r="E298" s="564">
        <v>2</v>
      </c>
      <c r="F298" s="564">
        <v>2</v>
      </c>
      <c r="G298" s="564" t="s">
        <v>493</v>
      </c>
      <c r="H298" s="564">
        <v>1348.4649999999999</v>
      </c>
      <c r="I298" s="564">
        <v>0</v>
      </c>
      <c r="J298" s="564">
        <v>25</v>
      </c>
      <c r="K298" s="564">
        <v>0</v>
      </c>
      <c r="L298" s="564">
        <v>2</v>
      </c>
      <c r="M298" s="561" t="s">
        <v>137</v>
      </c>
      <c r="N298" s="520"/>
      <c r="O298" s="564"/>
      <c r="P298" s="564" t="s">
        <v>893</v>
      </c>
      <c r="Q298" s="564"/>
      <c r="R298" s="564">
        <v>1</v>
      </c>
    </row>
    <row r="299" spans="1:18" ht="15" customHeight="1" x14ac:dyDescent="0.25">
      <c r="A299" s="564">
        <v>4</v>
      </c>
      <c r="B299" s="564">
        <v>4</v>
      </c>
      <c r="C299" s="564">
        <v>2</v>
      </c>
      <c r="D299" s="564">
        <v>1</v>
      </c>
      <c r="E299" s="564">
        <v>2</v>
      </c>
      <c r="F299" s="564">
        <v>2</v>
      </c>
      <c r="G299" s="564" t="s">
        <v>474</v>
      </c>
      <c r="H299" s="564">
        <v>1320.0450000000001</v>
      </c>
      <c r="I299" s="564">
        <v>89</v>
      </c>
      <c r="J299" s="564">
        <v>31</v>
      </c>
      <c r="K299" s="564">
        <v>8</v>
      </c>
      <c r="L299" s="564">
        <v>4</v>
      </c>
      <c r="M299" s="561" t="s">
        <v>137</v>
      </c>
      <c r="N299" s="520"/>
      <c r="O299" s="564"/>
      <c r="P299" s="564" t="s">
        <v>894</v>
      </c>
      <c r="Q299" s="564"/>
      <c r="R299" s="564">
        <v>1</v>
      </c>
    </row>
    <row r="300" spans="1:18" ht="15" customHeight="1" x14ac:dyDescent="0.25">
      <c r="A300" s="564">
        <v>4</v>
      </c>
      <c r="B300" s="564">
        <v>4</v>
      </c>
      <c r="C300" s="564">
        <v>2</v>
      </c>
      <c r="D300" s="564">
        <v>1</v>
      </c>
      <c r="E300" s="564">
        <v>2</v>
      </c>
      <c r="F300" s="564">
        <v>2</v>
      </c>
      <c r="G300" s="521" t="s">
        <v>477</v>
      </c>
      <c r="H300" s="564">
        <v>1320.0450000000001</v>
      </c>
      <c r="I300" s="564">
        <v>89</v>
      </c>
      <c r="J300" s="564">
        <v>31</v>
      </c>
      <c r="K300" s="564">
        <v>8</v>
      </c>
      <c r="L300" s="564">
        <v>4</v>
      </c>
      <c r="M300" s="561" t="s">
        <v>137</v>
      </c>
      <c r="N300" s="520"/>
      <c r="O300" s="564"/>
      <c r="P300" s="564" t="s">
        <v>895</v>
      </c>
      <c r="Q300" s="564"/>
      <c r="R300" s="564">
        <v>1</v>
      </c>
    </row>
    <row r="301" spans="1:18" ht="15" customHeight="1" x14ac:dyDescent="0.25">
      <c r="A301" s="564">
        <v>4</v>
      </c>
      <c r="B301" s="564">
        <v>4</v>
      </c>
      <c r="C301" s="564">
        <v>2</v>
      </c>
      <c r="D301" s="564">
        <v>1</v>
      </c>
      <c r="E301" s="564">
        <v>2</v>
      </c>
      <c r="F301" s="564">
        <v>2</v>
      </c>
      <c r="G301" s="564" t="s">
        <v>479</v>
      </c>
      <c r="H301" s="564">
        <v>1305.81</v>
      </c>
      <c r="I301" s="564">
        <v>89</v>
      </c>
      <c r="J301" s="564">
        <v>26</v>
      </c>
      <c r="K301" s="564">
        <v>3</v>
      </c>
      <c r="L301" s="564">
        <v>4</v>
      </c>
      <c r="M301" s="561" t="s">
        <v>137</v>
      </c>
      <c r="N301" s="520"/>
      <c r="O301" s="564"/>
      <c r="P301" s="564" t="s">
        <v>896</v>
      </c>
      <c r="Q301" s="564"/>
      <c r="R301" s="564">
        <v>1</v>
      </c>
    </row>
    <row r="302" spans="1:18" ht="15" customHeight="1" x14ac:dyDescent="0.25">
      <c r="A302" s="564">
        <v>4</v>
      </c>
      <c r="B302" s="564">
        <v>4</v>
      </c>
      <c r="C302" s="564">
        <v>2</v>
      </c>
      <c r="D302" s="564">
        <v>1</v>
      </c>
      <c r="E302" s="564">
        <v>2</v>
      </c>
      <c r="F302" s="564">
        <v>2</v>
      </c>
      <c r="G302" s="564" t="s">
        <v>485</v>
      </c>
      <c r="H302" s="564">
        <v>1305.81</v>
      </c>
      <c r="I302" s="564">
        <v>89</v>
      </c>
      <c r="J302" s="564">
        <v>26</v>
      </c>
      <c r="K302" s="564">
        <v>3</v>
      </c>
      <c r="L302" s="564">
        <v>4</v>
      </c>
      <c r="M302" s="561" t="s">
        <v>137</v>
      </c>
      <c r="N302" s="520"/>
      <c r="O302" s="564"/>
      <c r="P302" s="564" t="s">
        <v>897</v>
      </c>
      <c r="Q302" s="564"/>
      <c r="R302" s="564">
        <v>1</v>
      </c>
    </row>
    <row r="303" spans="1:18" ht="15" customHeight="1" x14ac:dyDescent="0.25">
      <c r="A303" s="564">
        <v>4</v>
      </c>
      <c r="B303" s="564">
        <v>4</v>
      </c>
      <c r="C303" s="564">
        <v>2</v>
      </c>
      <c r="D303" s="564">
        <v>1</v>
      </c>
      <c r="E303" s="564">
        <v>2</v>
      </c>
      <c r="F303" s="564">
        <v>2</v>
      </c>
      <c r="G303" s="564" t="s">
        <v>487</v>
      </c>
      <c r="H303" s="564">
        <v>1326.68</v>
      </c>
      <c r="I303" s="564">
        <v>89</v>
      </c>
      <c r="J303" s="564">
        <v>45</v>
      </c>
      <c r="K303" s="564">
        <v>2</v>
      </c>
      <c r="L303" s="564">
        <v>4</v>
      </c>
      <c r="M303" s="561" t="s">
        <v>137</v>
      </c>
      <c r="N303" s="520"/>
      <c r="O303" s="564"/>
      <c r="P303" s="564" t="s">
        <v>898</v>
      </c>
      <c r="Q303" s="564"/>
      <c r="R303" s="564">
        <v>1</v>
      </c>
    </row>
    <row r="304" spans="1:18" ht="15" customHeight="1" x14ac:dyDescent="0.25">
      <c r="A304" s="564">
        <v>4</v>
      </c>
      <c r="B304" s="564">
        <v>4</v>
      </c>
      <c r="C304" s="564">
        <v>2</v>
      </c>
      <c r="D304" s="564">
        <v>1</v>
      </c>
      <c r="E304" s="564">
        <v>2</v>
      </c>
      <c r="F304" s="564">
        <v>2</v>
      </c>
      <c r="G304" s="521" t="s">
        <v>489</v>
      </c>
      <c r="H304" s="564">
        <v>1326.68</v>
      </c>
      <c r="I304" s="564">
        <v>89</v>
      </c>
      <c r="J304" s="564">
        <v>45</v>
      </c>
      <c r="K304" s="564">
        <v>2</v>
      </c>
      <c r="L304" s="564">
        <v>4</v>
      </c>
      <c r="M304" s="561" t="s">
        <v>137</v>
      </c>
      <c r="N304" s="520"/>
      <c r="O304" s="564"/>
      <c r="P304" s="564" t="s">
        <v>899</v>
      </c>
      <c r="Q304" s="564"/>
      <c r="R304" s="564">
        <v>1</v>
      </c>
    </row>
    <row r="305" spans="1:18" ht="15" customHeight="1" x14ac:dyDescent="0.25">
      <c r="A305" s="564">
        <v>4</v>
      </c>
      <c r="B305" s="564">
        <v>4</v>
      </c>
      <c r="C305" s="564">
        <v>2</v>
      </c>
      <c r="D305" s="564">
        <v>1</v>
      </c>
      <c r="E305" s="564">
        <v>2</v>
      </c>
      <c r="F305" s="564">
        <v>2</v>
      </c>
      <c r="G305" s="564" t="s">
        <v>491</v>
      </c>
      <c r="H305" s="564">
        <v>1319.9</v>
      </c>
      <c r="I305" s="564">
        <v>89</v>
      </c>
      <c r="J305" s="564">
        <v>47</v>
      </c>
      <c r="K305" s="564">
        <v>32</v>
      </c>
      <c r="L305" s="564">
        <v>3</v>
      </c>
      <c r="M305" s="561" t="s">
        <v>137</v>
      </c>
      <c r="N305" s="520"/>
      <c r="O305" s="564"/>
      <c r="P305" s="564" t="s">
        <v>900</v>
      </c>
      <c r="Q305" s="564"/>
      <c r="R305" s="564">
        <v>1</v>
      </c>
    </row>
    <row r="306" spans="1:18" ht="15" customHeight="1" x14ac:dyDescent="0.25">
      <c r="A306" s="564">
        <v>4</v>
      </c>
      <c r="B306" s="564">
        <v>4</v>
      </c>
      <c r="C306" s="564">
        <v>2</v>
      </c>
      <c r="D306" s="564">
        <v>1</v>
      </c>
      <c r="E306" s="564">
        <v>2</v>
      </c>
      <c r="F306" s="564">
        <v>2</v>
      </c>
      <c r="G306" s="564" t="s">
        <v>494</v>
      </c>
      <c r="H306" s="564">
        <v>1319.23</v>
      </c>
      <c r="I306" s="564">
        <v>89</v>
      </c>
      <c r="J306" s="564">
        <v>46</v>
      </c>
      <c r="K306" s="564">
        <v>32</v>
      </c>
      <c r="L306" s="564">
        <v>3</v>
      </c>
      <c r="M306" s="561" t="s">
        <v>137</v>
      </c>
      <c r="N306" s="520"/>
      <c r="O306" s="564"/>
      <c r="P306" s="564" t="s">
        <v>901</v>
      </c>
      <c r="Q306" s="564"/>
      <c r="R306" s="564">
        <v>1</v>
      </c>
    </row>
    <row r="307" spans="1:18" ht="15" customHeight="1" x14ac:dyDescent="0.25">
      <c r="A307" s="564">
        <v>4</v>
      </c>
      <c r="B307" s="564">
        <v>9</v>
      </c>
      <c r="C307" s="564">
        <v>2</v>
      </c>
      <c r="D307" s="564">
        <v>22</v>
      </c>
      <c r="E307" s="564">
        <v>1</v>
      </c>
      <c r="F307" s="564">
        <v>1</v>
      </c>
      <c r="G307" s="564" t="s">
        <v>473</v>
      </c>
      <c r="H307" s="564">
        <v>1340.9849999999999</v>
      </c>
      <c r="I307" s="564">
        <v>0</v>
      </c>
      <c r="J307" s="564">
        <v>2</v>
      </c>
      <c r="K307" s="564">
        <v>32</v>
      </c>
      <c r="L307" s="564">
        <v>4</v>
      </c>
      <c r="M307" s="561" t="s">
        <v>137</v>
      </c>
      <c r="N307" s="651">
        <v>4304756526</v>
      </c>
      <c r="O307" s="564" t="s">
        <v>902</v>
      </c>
      <c r="P307" s="564" t="s">
        <v>903</v>
      </c>
      <c r="Q307" s="564"/>
      <c r="R307" s="564">
        <v>2</v>
      </c>
    </row>
    <row r="308" spans="1:18" ht="15" customHeight="1" x14ac:dyDescent="0.25">
      <c r="A308" s="564">
        <v>4</v>
      </c>
      <c r="B308" s="564">
        <v>9</v>
      </c>
      <c r="C308" s="564">
        <v>2</v>
      </c>
      <c r="D308" s="564">
        <v>22</v>
      </c>
      <c r="E308" s="564">
        <v>1</v>
      </c>
      <c r="F308" s="564">
        <v>1</v>
      </c>
      <c r="G308" s="521" t="s">
        <v>476</v>
      </c>
      <c r="H308" s="564">
        <v>1340.9849999999999</v>
      </c>
      <c r="I308" s="564">
        <v>0</v>
      </c>
      <c r="J308" s="564">
        <v>2</v>
      </c>
      <c r="K308" s="564">
        <v>32</v>
      </c>
      <c r="L308" s="564">
        <v>4</v>
      </c>
      <c r="M308" s="561" t="s">
        <v>137</v>
      </c>
      <c r="N308" s="651">
        <v>4304756526</v>
      </c>
      <c r="O308" s="564" t="s">
        <v>902</v>
      </c>
      <c r="P308" s="564" t="s">
        <v>904</v>
      </c>
      <c r="Q308" s="564"/>
      <c r="R308" s="564">
        <v>2</v>
      </c>
    </row>
    <row r="309" spans="1:18" ht="15" customHeight="1" x14ac:dyDescent="0.25">
      <c r="A309" s="564">
        <v>4</v>
      </c>
      <c r="B309" s="564">
        <v>9</v>
      </c>
      <c r="C309" s="564">
        <v>2</v>
      </c>
      <c r="D309" s="564">
        <v>22</v>
      </c>
      <c r="E309" s="564">
        <v>1</v>
      </c>
      <c r="F309" s="564">
        <v>1</v>
      </c>
      <c r="G309" s="564" t="s">
        <v>478</v>
      </c>
      <c r="H309" s="564">
        <v>1324.8050000000001</v>
      </c>
      <c r="I309" s="564">
        <v>0</v>
      </c>
      <c r="J309" s="564">
        <v>0</v>
      </c>
      <c r="K309" s="564">
        <v>23</v>
      </c>
      <c r="L309" s="564">
        <v>4</v>
      </c>
      <c r="M309" s="561" t="s">
        <v>137</v>
      </c>
      <c r="N309" s="651">
        <v>4304756526</v>
      </c>
      <c r="O309" s="564" t="s">
        <v>902</v>
      </c>
      <c r="P309" s="564" t="s">
        <v>905</v>
      </c>
      <c r="Q309" s="564"/>
      <c r="R309" s="564">
        <v>2</v>
      </c>
    </row>
    <row r="310" spans="1:18" ht="15" customHeight="1" x14ac:dyDescent="0.25">
      <c r="A310" s="564">
        <v>4</v>
      </c>
      <c r="B310" s="564">
        <v>9</v>
      </c>
      <c r="C310" s="564">
        <v>2</v>
      </c>
      <c r="D310" s="564">
        <v>22</v>
      </c>
      <c r="E310" s="564">
        <v>1</v>
      </c>
      <c r="F310" s="564">
        <v>1</v>
      </c>
      <c r="G310" s="564" t="s">
        <v>484</v>
      </c>
      <c r="H310" s="564">
        <v>1324.8050000000001</v>
      </c>
      <c r="I310" s="564">
        <v>0</v>
      </c>
      <c r="J310" s="564">
        <v>0</v>
      </c>
      <c r="K310" s="564">
        <v>23</v>
      </c>
      <c r="L310" s="564">
        <v>4</v>
      </c>
      <c r="M310" s="561" t="s">
        <v>137</v>
      </c>
      <c r="N310" s="651">
        <v>4304756526</v>
      </c>
      <c r="O310" s="564" t="s">
        <v>902</v>
      </c>
      <c r="P310" s="564" t="s">
        <v>906</v>
      </c>
      <c r="Q310" s="564"/>
      <c r="R310" s="564">
        <v>2</v>
      </c>
    </row>
    <row r="311" spans="1:18" ht="15" customHeight="1" x14ac:dyDescent="0.25">
      <c r="A311" s="564">
        <v>4</v>
      </c>
      <c r="B311" s="564">
        <v>9</v>
      </c>
      <c r="C311" s="564">
        <v>2</v>
      </c>
      <c r="D311" s="564">
        <v>22</v>
      </c>
      <c r="E311" s="564">
        <v>1</v>
      </c>
      <c r="F311" s="564">
        <v>1</v>
      </c>
      <c r="G311" s="564" t="s">
        <v>486</v>
      </c>
      <c r="H311" s="564">
        <v>1317.41</v>
      </c>
      <c r="I311" s="564">
        <v>0</v>
      </c>
      <c r="J311" s="564">
        <v>7</v>
      </c>
      <c r="K311" s="564">
        <v>22</v>
      </c>
      <c r="L311" s="564">
        <v>4</v>
      </c>
      <c r="M311" s="561" t="s">
        <v>137</v>
      </c>
      <c r="N311" s="651">
        <v>4304756526</v>
      </c>
      <c r="O311" s="564" t="s">
        <v>902</v>
      </c>
      <c r="P311" s="564" t="s">
        <v>907</v>
      </c>
      <c r="Q311" s="564"/>
      <c r="R311" s="564">
        <v>2</v>
      </c>
    </row>
    <row r="312" spans="1:18" ht="15" customHeight="1" x14ac:dyDescent="0.25">
      <c r="A312" s="564">
        <v>4</v>
      </c>
      <c r="B312" s="564">
        <v>9</v>
      </c>
      <c r="C312" s="564">
        <v>2</v>
      </c>
      <c r="D312" s="564">
        <v>22</v>
      </c>
      <c r="E312" s="564">
        <v>1</v>
      </c>
      <c r="F312" s="564">
        <v>1</v>
      </c>
      <c r="G312" s="521" t="s">
        <v>488</v>
      </c>
      <c r="H312" s="564">
        <v>1317.41</v>
      </c>
      <c r="I312" s="564">
        <v>0</v>
      </c>
      <c r="J312" s="564">
        <v>7</v>
      </c>
      <c r="K312" s="564">
        <v>22</v>
      </c>
      <c r="L312" s="564">
        <v>4</v>
      </c>
      <c r="M312" s="561" t="s">
        <v>137</v>
      </c>
      <c r="N312" s="651">
        <v>4304756526</v>
      </c>
      <c r="O312" s="564" t="s">
        <v>902</v>
      </c>
      <c r="P312" s="564" t="s">
        <v>908</v>
      </c>
      <c r="Q312" s="564"/>
      <c r="R312" s="564">
        <v>2</v>
      </c>
    </row>
    <row r="313" spans="1:18" ht="15" customHeight="1" x14ac:dyDescent="0.25">
      <c r="A313" s="564">
        <v>4</v>
      </c>
      <c r="B313" s="564">
        <v>9</v>
      </c>
      <c r="C313" s="564">
        <v>2</v>
      </c>
      <c r="D313" s="564">
        <v>22</v>
      </c>
      <c r="E313" s="564">
        <v>1</v>
      </c>
      <c r="F313" s="564">
        <v>1</v>
      </c>
      <c r="G313" s="564" t="s">
        <v>490</v>
      </c>
      <c r="H313" s="564">
        <v>1322.37</v>
      </c>
      <c r="I313" s="564">
        <v>0</v>
      </c>
      <c r="J313" s="564">
        <v>14</v>
      </c>
      <c r="K313" s="564">
        <v>10</v>
      </c>
      <c r="L313" s="564">
        <v>4</v>
      </c>
      <c r="M313" s="561" t="s">
        <v>137</v>
      </c>
      <c r="N313" s="651">
        <v>4304756526</v>
      </c>
      <c r="O313" s="564" t="s">
        <v>902</v>
      </c>
      <c r="P313" s="564" t="s">
        <v>909</v>
      </c>
      <c r="Q313" s="564"/>
      <c r="R313" s="564">
        <v>2</v>
      </c>
    </row>
    <row r="314" spans="1:18" ht="15" customHeight="1" x14ac:dyDescent="0.25">
      <c r="A314" s="564">
        <v>4</v>
      </c>
      <c r="B314" s="564">
        <v>9</v>
      </c>
      <c r="C314" s="564">
        <v>2</v>
      </c>
      <c r="D314" s="564">
        <v>22</v>
      </c>
      <c r="E314" s="564">
        <v>1</v>
      </c>
      <c r="F314" s="564">
        <v>1</v>
      </c>
      <c r="G314" s="564" t="s">
        <v>493</v>
      </c>
      <c r="H314" s="564">
        <v>1322.37</v>
      </c>
      <c r="I314" s="564">
        <v>0</v>
      </c>
      <c r="J314" s="564">
        <v>14</v>
      </c>
      <c r="K314" s="564">
        <v>10</v>
      </c>
      <c r="L314" s="564">
        <v>4</v>
      </c>
      <c r="M314" s="561" t="s">
        <v>137</v>
      </c>
      <c r="N314" s="651">
        <v>4304756526</v>
      </c>
      <c r="O314" s="564" t="s">
        <v>902</v>
      </c>
      <c r="P314" s="564" t="s">
        <v>910</v>
      </c>
      <c r="Q314" s="564"/>
      <c r="R314" s="564">
        <v>2</v>
      </c>
    </row>
    <row r="315" spans="1:18" ht="15" customHeight="1" x14ac:dyDescent="0.25">
      <c r="A315" s="564">
        <v>4</v>
      </c>
      <c r="B315" s="564">
        <v>9</v>
      </c>
      <c r="C315" s="564">
        <v>2</v>
      </c>
      <c r="D315" s="564">
        <v>22</v>
      </c>
      <c r="E315" s="564">
        <v>1</v>
      </c>
      <c r="F315" s="564">
        <v>1</v>
      </c>
      <c r="G315" s="564" t="s">
        <v>474</v>
      </c>
      <c r="H315" s="564">
        <v>1321.01</v>
      </c>
      <c r="I315" s="564">
        <v>89</v>
      </c>
      <c r="J315" s="564">
        <v>45</v>
      </c>
      <c r="K315" s="564">
        <v>26</v>
      </c>
      <c r="L315" s="564">
        <v>4</v>
      </c>
      <c r="M315" s="561" t="s">
        <v>137</v>
      </c>
      <c r="N315" s="651">
        <v>4304756526</v>
      </c>
      <c r="O315" s="564" t="s">
        <v>902</v>
      </c>
      <c r="P315" s="564" t="s">
        <v>911</v>
      </c>
      <c r="Q315" s="564"/>
      <c r="R315" s="564">
        <v>2</v>
      </c>
    </row>
    <row r="316" spans="1:18" ht="15" customHeight="1" x14ac:dyDescent="0.25">
      <c r="A316" s="564">
        <v>4</v>
      </c>
      <c r="B316" s="564">
        <v>9</v>
      </c>
      <c r="C316" s="564">
        <v>2</v>
      </c>
      <c r="D316" s="564">
        <v>22</v>
      </c>
      <c r="E316" s="564">
        <v>1</v>
      </c>
      <c r="F316" s="564">
        <v>1</v>
      </c>
      <c r="G316" s="521" t="s">
        <v>477</v>
      </c>
      <c r="H316" s="564">
        <v>1321.01</v>
      </c>
      <c r="I316" s="564">
        <v>89</v>
      </c>
      <c r="J316" s="564">
        <v>45</v>
      </c>
      <c r="K316" s="564">
        <v>26</v>
      </c>
      <c r="L316" s="564">
        <v>4</v>
      </c>
      <c r="M316" s="561" t="s">
        <v>137</v>
      </c>
      <c r="N316" s="651">
        <v>4304756526</v>
      </c>
      <c r="O316" s="564" t="s">
        <v>902</v>
      </c>
      <c r="P316" s="564" t="s">
        <v>912</v>
      </c>
      <c r="Q316" s="564"/>
      <c r="R316" s="564">
        <v>2</v>
      </c>
    </row>
    <row r="317" spans="1:18" ht="15" customHeight="1" x14ac:dyDescent="0.25">
      <c r="A317" s="564">
        <v>4</v>
      </c>
      <c r="B317" s="564">
        <v>9</v>
      </c>
      <c r="C317" s="564">
        <v>2</v>
      </c>
      <c r="D317" s="564">
        <v>22</v>
      </c>
      <c r="E317" s="564">
        <v>1</v>
      </c>
      <c r="F317" s="564">
        <v>1</v>
      </c>
      <c r="G317" s="564" t="s">
        <v>479</v>
      </c>
      <c r="H317" s="564">
        <v>1313.36</v>
      </c>
      <c r="I317" s="564">
        <v>89</v>
      </c>
      <c r="J317" s="564">
        <v>12</v>
      </c>
      <c r="K317" s="564">
        <v>43</v>
      </c>
      <c r="L317" s="564">
        <v>4</v>
      </c>
      <c r="M317" s="561" t="s">
        <v>137</v>
      </c>
      <c r="N317" s="651">
        <v>4304756526</v>
      </c>
      <c r="O317" s="564" t="s">
        <v>902</v>
      </c>
      <c r="P317" s="564" t="s">
        <v>913</v>
      </c>
      <c r="Q317" s="564"/>
      <c r="R317" s="564">
        <v>2</v>
      </c>
    </row>
    <row r="318" spans="1:18" ht="15" customHeight="1" x14ac:dyDescent="0.25">
      <c r="A318" s="564">
        <v>4</v>
      </c>
      <c r="B318" s="564">
        <v>9</v>
      </c>
      <c r="C318" s="564">
        <v>2</v>
      </c>
      <c r="D318" s="564">
        <v>22</v>
      </c>
      <c r="E318" s="564">
        <v>1</v>
      </c>
      <c r="F318" s="564">
        <v>1</v>
      </c>
      <c r="G318" s="564" t="s">
        <v>485</v>
      </c>
      <c r="H318" s="564">
        <v>1313.36</v>
      </c>
      <c r="I318" s="564">
        <v>89</v>
      </c>
      <c r="J318" s="564">
        <v>12</v>
      </c>
      <c r="K318" s="564">
        <v>43</v>
      </c>
      <c r="L318" s="564">
        <v>4</v>
      </c>
      <c r="M318" s="561" t="s">
        <v>137</v>
      </c>
      <c r="N318" s="651">
        <v>4304756526</v>
      </c>
      <c r="O318" s="564" t="s">
        <v>902</v>
      </c>
      <c r="P318" s="564" t="s">
        <v>914</v>
      </c>
      <c r="Q318" s="564"/>
      <c r="R318" s="564">
        <v>2</v>
      </c>
    </row>
    <row r="319" spans="1:18" ht="15" customHeight="1" x14ac:dyDescent="0.25">
      <c r="A319" s="564">
        <v>4</v>
      </c>
      <c r="B319" s="564">
        <v>9</v>
      </c>
      <c r="C319" s="564">
        <v>2</v>
      </c>
      <c r="D319" s="564">
        <v>22</v>
      </c>
      <c r="E319" s="564">
        <v>1</v>
      </c>
      <c r="F319" s="564">
        <v>1</v>
      </c>
      <c r="G319" s="564" t="s">
        <v>487</v>
      </c>
      <c r="H319" s="564">
        <v>1320.835</v>
      </c>
      <c r="I319" s="564">
        <v>89</v>
      </c>
      <c r="J319" s="564">
        <v>57</v>
      </c>
      <c r="K319" s="564">
        <v>13</v>
      </c>
      <c r="L319" s="564">
        <v>3</v>
      </c>
      <c r="M319" s="561" t="s">
        <v>137</v>
      </c>
      <c r="N319" s="651">
        <v>4304756526</v>
      </c>
      <c r="O319" s="564" t="s">
        <v>902</v>
      </c>
      <c r="P319" s="564" t="s">
        <v>915</v>
      </c>
      <c r="Q319" s="564"/>
      <c r="R319" s="564">
        <v>2</v>
      </c>
    </row>
    <row r="320" spans="1:18" ht="15" customHeight="1" x14ac:dyDescent="0.25">
      <c r="A320" s="564">
        <v>4</v>
      </c>
      <c r="B320" s="564">
        <v>9</v>
      </c>
      <c r="C320" s="564">
        <v>2</v>
      </c>
      <c r="D320" s="564">
        <v>22</v>
      </c>
      <c r="E320" s="564">
        <v>1</v>
      </c>
      <c r="F320" s="564">
        <v>1</v>
      </c>
      <c r="G320" s="521" t="s">
        <v>489</v>
      </c>
      <c r="H320" s="564">
        <v>1320.835</v>
      </c>
      <c r="I320" s="564">
        <v>89</v>
      </c>
      <c r="J320" s="564">
        <v>57</v>
      </c>
      <c r="K320" s="564">
        <v>13</v>
      </c>
      <c r="L320" s="564">
        <v>3</v>
      </c>
      <c r="M320" s="561" t="s">
        <v>137</v>
      </c>
      <c r="N320" s="651">
        <v>4304756526</v>
      </c>
      <c r="O320" s="564" t="s">
        <v>902</v>
      </c>
      <c r="P320" s="564" t="s">
        <v>916</v>
      </c>
      <c r="Q320" s="564"/>
      <c r="R320" s="564">
        <v>2</v>
      </c>
    </row>
    <row r="321" spans="1:18" ht="15" customHeight="1" x14ac:dyDescent="0.25">
      <c r="A321" s="564">
        <v>4</v>
      </c>
      <c r="B321" s="564">
        <v>9</v>
      </c>
      <c r="C321" s="564">
        <v>2</v>
      </c>
      <c r="D321" s="564">
        <v>22</v>
      </c>
      <c r="E321" s="564">
        <v>1</v>
      </c>
      <c r="F321" s="564">
        <v>1</v>
      </c>
      <c r="G321" s="564" t="s">
        <v>491</v>
      </c>
      <c r="H321" s="564">
        <v>1320.5350000000001</v>
      </c>
      <c r="I321" s="564">
        <v>89</v>
      </c>
      <c r="J321" s="564">
        <v>56</v>
      </c>
      <c r="K321" s="564">
        <v>37</v>
      </c>
      <c r="L321" s="564">
        <v>3</v>
      </c>
      <c r="M321" s="561" t="s">
        <v>137</v>
      </c>
      <c r="N321" s="651">
        <v>4304756526</v>
      </c>
      <c r="O321" s="564" t="s">
        <v>902</v>
      </c>
      <c r="P321" s="564" t="s">
        <v>917</v>
      </c>
      <c r="Q321" s="564"/>
      <c r="R321" s="564">
        <v>2</v>
      </c>
    </row>
    <row r="322" spans="1:18" ht="15" customHeight="1" x14ac:dyDescent="0.25">
      <c r="A322" s="564">
        <v>4</v>
      </c>
      <c r="B322" s="564">
        <v>9</v>
      </c>
      <c r="C322" s="564">
        <v>2</v>
      </c>
      <c r="D322" s="564">
        <v>22</v>
      </c>
      <c r="E322" s="564">
        <v>1</v>
      </c>
      <c r="F322" s="564">
        <v>1</v>
      </c>
      <c r="G322" s="564" t="s">
        <v>494</v>
      </c>
      <c r="H322" s="564">
        <v>1320.5350000000001</v>
      </c>
      <c r="I322" s="564">
        <v>89</v>
      </c>
      <c r="J322" s="564">
        <v>56</v>
      </c>
      <c r="K322" s="564">
        <v>37</v>
      </c>
      <c r="L322" s="564">
        <v>3</v>
      </c>
      <c r="M322" s="561" t="s">
        <v>137</v>
      </c>
      <c r="N322" s="651">
        <v>4304756526</v>
      </c>
      <c r="O322" s="564" t="s">
        <v>902</v>
      </c>
      <c r="P322" s="564" t="s">
        <v>918</v>
      </c>
      <c r="Q322" s="564"/>
      <c r="R322" s="564">
        <v>2</v>
      </c>
    </row>
    <row r="323" spans="1:18" s="484" customFormat="1" ht="15" customHeight="1" x14ac:dyDescent="0.25">
      <c r="A323" s="564">
        <v>4</v>
      </c>
      <c r="B323" s="564">
        <v>3</v>
      </c>
      <c r="C323" s="564">
        <v>2</v>
      </c>
      <c r="D323" s="564">
        <v>1</v>
      </c>
      <c r="E323" s="564">
        <v>1</v>
      </c>
      <c r="F323" s="564">
        <v>2</v>
      </c>
      <c r="G323" s="564" t="s">
        <v>473</v>
      </c>
      <c r="H323" s="564">
        <v>1362.175</v>
      </c>
      <c r="I323" s="564">
        <v>0</v>
      </c>
      <c r="J323" s="564">
        <v>19</v>
      </c>
      <c r="K323" s="564">
        <v>46</v>
      </c>
      <c r="L323" s="564">
        <v>4</v>
      </c>
      <c r="M323" s="561" t="s">
        <v>137</v>
      </c>
      <c r="N323" s="651">
        <v>4304756723</v>
      </c>
      <c r="O323" s="564" t="s">
        <v>919</v>
      </c>
      <c r="P323" s="564" t="s">
        <v>920</v>
      </c>
      <c r="Q323" s="564"/>
      <c r="R323" s="564">
        <v>1</v>
      </c>
    </row>
    <row r="324" spans="1:18" s="484" customFormat="1" ht="15" customHeight="1" x14ac:dyDescent="0.25">
      <c r="A324" s="564">
        <v>4</v>
      </c>
      <c r="B324" s="564">
        <v>3</v>
      </c>
      <c r="C324" s="564">
        <v>2</v>
      </c>
      <c r="D324" s="564">
        <v>1</v>
      </c>
      <c r="E324" s="564">
        <v>1</v>
      </c>
      <c r="F324" s="564">
        <v>2</v>
      </c>
      <c r="G324" s="521" t="s">
        <v>476</v>
      </c>
      <c r="H324" s="564">
        <v>1362.175</v>
      </c>
      <c r="I324" s="564">
        <v>0</v>
      </c>
      <c r="J324" s="564">
        <v>19</v>
      </c>
      <c r="K324" s="564">
        <v>46</v>
      </c>
      <c r="L324" s="564">
        <v>4</v>
      </c>
      <c r="M324" s="561" t="s">
        <v>137</v>
      </c>
      <c r="N324" s="651">
        <v>4304756723</v>
      </c>
      <c r="O324" s="564" t="s">
        <v>919</v>
      </c>
      <c r="P324" s="564" t="s">
        <v>921</v>
      </c>
      <c r="Q324" s="564"/>
      <c r="R324" s="564">
        <v>1</v>
      </c>
    </row>
    <row r="325" spans="1:18" s="484" customFormat="1" ht="15" customHeight="1" x14ac:dyDescent="0.25">
      <c r="A325" s="564">
        <v>4</v>
      </c>
      <c r="B325" s="564">
        <v>3</v>
      </c>
      <c r="C325" s="564">
        <v>2</v>
      </c>
      <c r="D325" s="564">
        <v>1</v>
      </c>
      <c r="E325" s="564">
        <v>1</v>
      </c>
      <c r="F325" s="564">
        <v>2</v>
      </c>
      <c r="G325" s="564" t="s">
        <v>478</v>
      </c>
      <c r="H325" s="564">
        <v>1325.23</v>
      </c>
      <c r="I325" s="564">
        <v>0</v>
      </c>
      <c r="J325" s="564">
        <v>30</v>
      </c>
      <c r="K325" s="564">
        <v>24</v>
      </c>
      <c r="L325" s="564">
        <v>2</v>
      </c>
      <c r="M325" s="561" t="s">
        <v>137</v>
      </c>
      <c r="N325" s="651">
        <v>4304756723</v>
      </c>
      <c r="O325" s="564" t="s">
        <v>919</v>
      </c>
      <c r="P325" s="564" t="s">
        <v>922</v>
      </c>
      <c r="Q325" s="564"/>
      <c r="R325" s="564">
        <v>1</v>
      </c>
    </row>
    <row r="326" spans="1:18" s="484" customFormat="1" ht="15" customHeight="1" x14ac:dyDescent="0.25">
      <c r="A326" s="564">
        <v>4</v>
      </c>
      <c r="B326" s="564">
        <v>3</v>
      </c>
      <c r="C326" s="564">
        <v>2</v>
      </c>
      <c r="D326" s="564">
        <v>1</v>
      </c>
      <c r="E326" s="564">
        <v>1</v>
      </c>
      <c r="F326" s="564">
        <v>2</v>
      </c>
      <c r="G326" s="564" t="s">
        <v>484</v>
      </c>
      <c r="H326" s="564">
        <v>1325.23</v>
      </c>
      <c r="I326" s="564">
        <v>0</v>
      </c>
      <c r="J326" s="564">
        <v>30</v>
      </c>
      <c r="K326" s="564">
        <v>24</v>
      </c>
      <c r="L326" s="564">
        <v>2</v>
      </c>
      <c r="M326" s="561" t="s">
        <v>137</v>
      </c>
      <c r="N326" s="651">
        <v>4304756723</v>
      </c>
      <c r="O326" s="564" t="s">
        <v>919</v>
      </c>
      <c r="P326" s="564" t="s">
        <v>923</v>
      </c>
      <c r="Q326" s="564"/>
      <c r="R326" s="564">
        <v>1</v>
      </c>
    </row>
    <row r="327" spans="1:18" s="484" customFormat="1" ht="15" customHeight="1" x14ac:dyDescent="0.25">
      <c r="A327" s="564">
        <v>4</v>
      </c>
      <c r="B327" s="564">
        <v>3</v>
      </c>
      <c r="C327" s="564">
        <v>2</v>
      </c>
      <c r="D327" s="564">
        <v>1</v>
      </c>
      <c r="E327" s="564">
        <v>1</v>
      </c>
      <c r="F327" s="564">
        <v>2</v>
      </c>
      <c r="G327" s="564" t="s">
        <v>486</v>
      </c>
      <c r="H327" s="564">
        <v>1335.23</v>
      </c>
      <c r="I327" s="564">
        <v>0</v>
      </c>
      <c r="J327" s="564">
        <v>31</v>
      </c>
      <c r="K327" s="564">
        <v>3</v>
      </c>
      <c r="L327" s="564">
        <v>2</v>
      </c>
      <c r="M327" s="561" t="s">
        <v>137</v>
      </c>
      <c r="N327" s="651">
        <v>4304756723</v>
      </c>
      <c r="O327" s="564" t="s">
        <v>919</v>
      </c>
      <c r="P327" s="564" t="s">
        <v>924</v>
      </c>
      <c r="Q327" s="564"/>
      <c r="R327" s="564">
        <v>1</v>
      </c>
    </row>
    <row r="328" spans="1:18" s="484" customFormat="1" ht="15" customHeight="1" x14ac:dyDescent="0.25">
      <c r="A328" s="564">
        <v>4</v>
      </c>
      <c r="B328" s="564">
        <v>3</v>
      </c>
      <c r="C328" s="564">
        <v>2</v>
      </c>
      <c r="D328" s="564">
        <v>1</v>
      </c>
      <c r="E328" s="564">
        <v>1</v>
      </c>
      <c r="F328" s="564">
        <v>2</v>
      </c>
      <c r="G328" s="521" t="s">
        <v>488</v>
      </c>
      <c r="H328" s="564">
        <v>1335.23</v>
      </c>
      <c r="I328" s="564">
        <v>0</v>
      </c>
      <c r="J328" s="564">
        <v>31</v>
      </c>
      <c r="K328" s="564">
        <v>3</v>
      </c>
      <c r="L328" s="564">
        <v>2</v>
      </c>
      <c r="M328" s="561" t="s">
        <v>137</v>
      </c>
      <c r="N328" s="651">
        <v>4304756723</v>
      </c>
      <c r="O328" s="564" t="s">
        <v>919</v>
      </c>
      <c r="P328" s="564" t="s">
        <v>925</v>
      </c>
      <c r="Q328" s="564"/>
      <c r="R328" s="564">
        <v>1</v>
      </c>
    </row>
    <row r="329" spans="1:18" s="484" customFormat="1" ht="15" customHeight="1" x14ac:dyDescent="0.25">
      <c r="A329" s="564">
        <v>4</v>
      </c>
      <c r="B329" s="564">
        <v>3</v>
      </c>
      <c r="C329" s="564">
        <v>2</v>
      </c>
      <c r="D329" s="564">
        <v>1</v>
      </c>
      <c r="E329" s="564">
        <v>1</v>
      </c>
      <c r="F329" s="564">
        <v>2</v>
      </c>
      <c r="G329" s="564" t="s">
        <v>490</v>
      </c>
      <c r="H329" s="564">
        <v>1335.23</v>
      </c>
      <c r="I329" s="564">
        <v>0</v>
      </c>
      <c r="J329" s="564">
        <v>31</v>
      </c>
      <c r="K329" s="564">
        <v>3</v>
      </c>
      <c r="L329" s="564">
        <v>2</v>
      </c>
      <c r="M329" s="561" t="s">
        <v>137</v>
      </c>
      <c r="N329" s="651">
        <v>4304756723</v>
      </c>
      <c r="O329" s="564" t="s">
        <v>919</v>
      </c>
      <c r="P329" s="564" t="s">
        <v>926</v>
      </c>
      <c r="Q329" s="564"/>
      <c r="R329" s="564">
        <v>1</v>
      </c>
    </row>
    <row r="330" spans="1:18" s="484" customFormat="1" ht="15" customHeight="1" x14ac:dyDescent="0.25">
      <c r="A330" s="564">
        <v>4</v>
      </c>
      <c r="B330" s="564">
        <v>3</v>
      </c>
      <c r="C330" s="564">
        <v>2</v>
      </c>
      <c r="D330" s="564">
        <v>1</v>
      </c>
      <c r="E330" s="564">
        <v>1</v>
      </c>
      <c r="F330" s="564">
        <v>2</v>
      </c>
      <c r="G330" s="564" t="s">
        <v>493</v>
      </c>
      <c r="H330" s="564">
        <v>1335.23</v>
      </c>
      <c r="I330" s="564">
        <v>0</v>
      </c>
      <c r="J330" s="564">
        <v>31</v>
      </c>
      <c r="K330" s="564">
        <v>3</v>
      </c>
      <c r="L330" s="564">
        <v>2</v>
      </c>
      <c r="M330" s="561" t="s">
        <v>137</v>
      </c>
      <c r="N330" s="651">
        <v>4304756723</v>
      </c>
      <c r="O330" s="564" t="s">
        <v>919</v>
      </c>
      <c r="P330" s="564" t="s">
        <v>927</v>
      </c>
      <c r="Q330" s="564"/>
      <c r="R330" s="564">
        <v>1</v>
      </c>
    </row>
    <row r="331" spans="1:18" s="484" customFormat="1" ht="15" customHeight="1" x14ac:dyDescent="0.25">
      <c r="A331" s="564">
        <v>4</v>
      </c>
      <c r="B331" s="564">
        <v>3</v>
      </c>
      <c r="C331" s="564">
        <v>2</v>
      </c>
      <c r="D331" s="564">
        <v>1</v>
      </c>
      <c r="E331" s="564">
        <v>1</v>
      </c>
      <c r="F331" s="564">
        <v>2</v>
      </c>
      <c r="G331" s="564" t="s">
        <v>474</v>
      </c>
      <c r="H331" s="564">
        <v>1319.7</v>
      </c>
      <c r="I331" s="564">
        <v>89</v>
      </c>
      <c r="J331" s="564">
        <v>48</v>
      </c>
      <c r="K331" s="564">
        <v>45</v>
      </c>
      <c r="L331" s="564">
        <v>1</v>
      </c>
      <c r="M331" s="561" t="s">
        <v>137</v>
      </c>
      <c r="N331" s="651">
        <v>4304756723</v>
      </c>
      <c r="O331" s="564" t="s">
        <v>919</v>
      </c>
      <c r="P331" s="564" t="s">
        <v>928</v>
      </c>
      <c r="Q331" s="564"/>
      <c r="R331" s="564">
        <v>1</v>
      </c>
    </row>
    <row r="332" spans="1:18" s="484" customFormat="1" ht="15" customHeight="1" x14ac:dyDescent="0.25">
      <c r="A332" s="564">
        <v>4</v>
      </c>
      <c r="B332" s="564">
        <v>3</v>
      </c>
      <c r="C332" s="564">
        <v>2</v>
      </c>
      <c r="D332" s="564">
        <v>1</v>
      </c>
      <c r="E332" s="564">
        <v>1</v>
      </c>
      <c r="F332" s="564">
        <v>2</v>
      </c>
      <c r="G332" s="521" t="s">
        <v>477</v>
      </c>
      <c r="H332" s="564">
        <v>1319.7</v>
      </c>
      <c r="I332" s="564">
        <v>89</v>
      </c>
      <c r="J332" s="564">
        <v>48</v>
      </c>
      <c r="K332" s="564">
        <v>45</v>
      </c>
      <c r="L332" s="564">
        <v>1</v>
      </c>
      <c r="M332" s="561" t="s">
        <v>137</v>
      </c>
      <c r="N332" s="651">
        <v>4304756723</v>
      </c>
      <c r="O332" s="564" t="s">
        <v>919</v>
      </c>
      <c r="P332" s="564" t="s">
        <v>929</v>
      </c>
      <c r="Q332" s="564"/>
      <c r="R332" s="564">
        <v>1</v>
      </c>
    </row>
    <row r="333" spans="1:18" s="484" customFormat="1" ht="15" customHeight="1" x14ac:dyDescent="0.25">
      <c r="A333" s="564">
        <v>4</v>
      </c>
      <c r="B333" s="564">
        <v>3</v>
      </c>
      <c r="C333" s="564">
        <v>2</v>
      </c>
      <c r="D333" s="564">
        <v>1</v>
      </c>
      <c r="E333" s="564">
        <v>1</v>
      </c>
      <c r="F333" s="564">
        <v>2</v>
      </c>
      <c r="G333" s="564" t="s">
        <v>479</v>
      </c>
      <c r="H333" s="564">
        <v>1333.615</v>
      </c>
      <c r="I333" s="564">
        <v>89</v>
      </c>
      <c r="J333" s="564">
        <v>36</v>
      </c>
      <c r="K333" s="564">
        <v>29</v>
      </c>
      <c r="L333" s="564">
        <v>1</v>
      </c>
      <c r="M333" s="561" t="s">
        <v>137</v>
      </c>
      <c r="N333" s="651">
        <v>4304756723</v>
      </c>
      <c r="O333" s="564" t="s">
        <v>919</v>
      </c>
      <c r="P333" s="564" t="s">
        <v>930</v>
      </c>
      <c r="Q333" s="564"/>
      <c r="R333" s="564">
        <v>1</v>
      </c>
    </row>
    <row r="334" spans="1:18" s="484" customFormat="1" ht="15" customHeight="1" x14ac:dyDescent="0.25">
      <c r="A334" s="564">
        <v>4</v>
      </c>
      <c r="B334" s="564">
        <v>3</v>
      </c>
      <c r="C334" s="564">
        <v>2</v>
      </c>
      <c r="D334" s="564">
        <v>1</v>
      </c>
      <c r="E334" s="564">
        <v>1</v>
      </c>
      <c r="F334" s="564">
        <v>2</v>
      </c>
      <c r="G334" s="564" t="s">
        <v>485</v>
      </c>
      <c r="H334" s="564">
        <v>1333.615</v>
      </c>
      <c r="I334" s="564">
        <v>89</v>
      </c>
      <c r="J334" s="564">
        <v>36</v>
      </c>
      <c r="K334" s="564">
        <v>29</v>
      </c>
      <c r="L334" s="564">
        <v>1</v>
      </c>
      <c r="M334" s="561" t="s">
        <v>137</v>
      </c>
      <c r="N334" s="651">
        <v>4304756723</v>
      </c>
      <c r="O334" s="564" t="s">
        <v>919</v>
      </c>
      <c r="P334" s="564" t="s">
        <v>931</v>
      </c>
      <c r="Q334" s="564"/>
      <c r="R334" s="564">
        <v>1</v>
      </c>
    </row>
    <row r="335" spans="1:18" s="484" customFormat="1" ht="15" customHeight="1" x14ac:dyDescent="0.25">
      <c r="A335" s="564">
        <v>4</v>
      </c>
      <c r="B335" s="564">
        <v>3</v>
      </c>
      <c r="C335" s="564">
        <v>2</v>
      </c>
      <c r="D335" s="564">
        <v>1</v>
      </c>
      <c r="E335" s="564">
        <v>1</v>
      </c>
      <c r="F335" s="564">
        <v>2</v>
      </c>
      <c r="G335" s="564" t="s">
        <v>487</v>
      </c>
      <c r="H335" s="564">
        <v>1319.52</v>
      </c>
      <c r="I335" s="564">
        <v>89</v>
      </c>
      <c r="J335" s="564">
        <v>55</v>
      </c>
      <c r="K335" s="564">
        <v>24</v>
      </c>
      <c r="L335" s="564">
        <v>2</v>
      </c>
      <c r="M335" s="561" t="s">
        <v>137</v>
      </c>
      <c r="N335" s="651">
        <v>4304756723</v>
      </c>
      <c r="O335" s="564" t="s">
        <v>919</v>
      </c>
      <c r="P335" s="564" t="s">
        <v>932</v>
      </c>
      <c r="Q335" s="564"/>
      <c r="R335" s="564">
        <v>1</v>
      </c>
    </row>
    <row r="336" spans="1:18" s="484" customFormat="1" ht="15" customHeight="1" x14ac:dyDescent="0.25">
      <c r="A336" s="564">
        <v>4</v>
      </c>
      <c r="B336" s="564">
        <v>3</v>
      </c>
      <c r="C336" s="564">
        <v>2</v>
      </c>
      <c r="D336" s="564">
        <v>1</v>
      </c>
      <c r="E336" s="564">
        <v>1</v>
      </c>
      <c r="F336" s="564">
        <v>2</v>
      </c>
      <c r="G336" s="521" t="s">
        <v>489</v>
      </c>
      <c r="H336" s="564">
        <v>1319.52</v>
      </c>
      <c r="I336" s="564">
        <v>89</v>
      </c>
      <c r="J336" s="564">
        <v>55</v>
      </c>
      <c r="K336" s="564">
        <v>24</v>
      </c>
      <c r="L336" s="564">
        <v>2</v>
      </c>
      <c r="M336" s="561" t="s">
        <v>137</v>
      </c>
      <c r="N336" s="651">
        <v>4304756723</v>
      </c>
      <c r="O336" s="564" t="s">
        <v>919</v>
      </c>
      <c r="P336" s="564" t="s">
        <v>933</v>
      </c>
      <c r="Q336" s="564"/>
      <c r="R336" s="564">
        <v>1</v>
      </c>
    </row>
    <row r="337" spans="1:18" s="484" customFormat="1" ht="15" customHeight="1" x14ac:dyDescent="0.25">
      <c r="A337" s="564">
        <v>4</v>
      </c>
      <c r="B337" s="564">
        <v>3</v>
      </c>
      <c r="C337" s="564">
        <v>2</v>
      </c>
      <c r="D337" s="564">
        <v>1</v>
      </c>
      <c r="E337" s="564">
        <v>1</v>
      </c>
      <c r="F337" s="564">
        <v>2</v>
      </c>
      <c r="G337" s="564" t="s">
        <v>491</v>
      </c>
      <c r="H337" s="564">
        <v>1362.355</v>
      </c>
      <c r="I337" s="564">
        <v>89</v>
      </c>
      <c r="J337" s="564">
        <v>55</v>
      </c>
      <c r="K337" s="564">
        <v>13</v>
      </c>
      <c r="L337" s="564">
        <v>2</v>
      </c>
      <c r="M337" s="561" t="s">
        <v>137</v>
      </c>
      <c r="N337" s="651">
        <v>4304756723</v>
      </c>
      <c r="O337" s="564" t="s">
        <v>919</v>
      </c>
      <c r="P337" s="564" t="s">
        <v>934</v>
      </c>
      <c r="Q337" s="564"/>
      <c r="R337" s="564">
        <v>1</v>
      </c>
    </row>
    <row r="338" spans="1:18" s="484" customFormat="1" ht="15" customHeight="1" x14ac:dyDescent="0.25">
      <c r="A338" s="564">
        <v>4</v>
      </c>
      <c r="B338" s="564">
        <v>3</v>
      </c>
      <c r="C338" s="564">
        <v>2</v>
      </c>
      <c r="D338" s="564">
        <v>1</v>
      </c>
      <c r="E338" s="564">
        <v>1</v>
      </c>
      <c r="F338" s="564">
        <v>2</v>
      </c>
      <c r="G338" s="564" t="s">
        <v>494</v>
      </c>
      <c r="H338" s="564">
        <v>1362.355</v>
      </c>
      <c r="I338" s="564">
        <v>89</v>
      </c>
      <c r="J338" s="564">
        <v>55</v>
      </c>
      <c r="K338" s="564">
        <v>13</v>
      </c>
      <c r="L338" s="564">
        <v>2</v>
      </c>
      <c r="M338" s="561" t="s">
        <v>137</v>
      </c>
      <c r="N338" s="651">
        <v>4304756723</v>
      </c>
      <c r="O338" s="564" t="s">
        <v>919</v>
      </c>
      <c r="P338" s="564" t="s">
        <v>935</v>
      </c>
      <c r="Q338" s="564"/>
      <c r="R338" s="564">
        <v>1</v>
      </c>
    </row>
    <row r="339" spans="1:18" ht="15" customHeight="1" x14ac:dyDescent="0.25">
      <c r="A339" s="553">
        <v>5</v>
      </c>
      <c r="B339" s="553">
        <v>2</v>
      </c>
      <c r="C339" s="553">
        <v>2</v>
      </c>
      <c r="D339" s="553">
        <v>2</v>
      </c>
      <c r="E339" s="553">
        <v>2</v>
      </c>
      <c r="F339" s="553">
        <v>2</v>
      </c>
      <c r="G339" s="553" t="s">
        <v>473</v>
      </c>
      <c r="H339" s="553">
        <v>1315.91</v>
      </c>
      <c r="I339" s="553">
        <v>0</v>
      </c>
      <c r="J339" s="553">
        <v>1</v>
      </c>
      <c r="K339" s="553">
        <v>5</v>
      </c>
      <c r="L339" s="553">
        <v>4</v>
      </c>
      <c r="M339" s="505" t="s">
        <v>137</v>
      </c>
      <c r="N339" s="500">
        <v>43013539130000</v>
      </c>
      <c r="O339" s="553" t="s">
        <v>852</v>
      </c>
      <c r="P339" s="650" t="s">
        <v>936</v>
      </c>
      <c r="Q339" s="564" t="s">
        <v>583</v>
      </c>
      <c r="R339" s="564">
        <v>2</v>
      </c>
    </row>
    <row r="340" spans="1:18" ht="15" customHeight="1" x14ac:dyDescent="0.25">
      <c r="A340" s="553">
        <v>5</v>
      </c>
      <c r="B340" s="553">
        <v>2</v>
      </c>
      <c r="C340" s="553">
        <v>2</v>
      </c>
      <c r="D340" s="553">
        <v>2</v>
      </c>
      <c r="E340" s="553">
        <v>2</v>
      </c>
      <c r="F340" s="553">
        <v>2</v>
      </c>
      <c r="G340" s="502" t="s">
        <v>476</v>
      </c>
      <c r="H340" s="553">
        <v>1315.91</v>
      </c>
      <c r="I340" s="553">
        <v>0</v>
      </c>
      <c r="J340" s="553">
        <v>1</v>
      </c>
      <c r="K340" s="553">
        <v>5</v>
      </c>
      <c r="L340" s="553">
        <v>4</v>
      </c>
      <c r="M340" s="505" t="s">
        <v>137</v>
      </c>
      <c r="N340" s="500">
        <v>43013539130000</v>
      </c>
      <c r="O340" s="553" t="s">
        <v>852</v>
      </c>
      <c r="P340" s="650" t="s">
        <v>937</v>
      </c>
      <c r="Q340" s="564" t="s">
        <v>583</v>
      </c>
      <c r="R340" s="564">
        <v>2</v>
      </c>
    </row>
    <row r="341" spans="1:18" ht="15" customHeight="1" x14ac:dyDescent="0.25">
      <c r="A341" s="553">
        <v>5</v>
      </c>
      <c r="B341" s="553">
        <v>2</v>
      </c>
      <c r="C341" s="553">
        <v>2</v>
      </c>
      <c r="D341" s="553">
        <v>2</v>
      </c>
      <c r="E341" s="553">
        <v>2</v>
      </c>
      <c r="F341" s="553">
        <v>2</v>
      </c>
      <c r="G341" s="553" t="s">
        <v>478</v>
      </c>
      <c r="H341" s="553">
        <v>1320.59</v>
      </c>
      <c r="I341" s="553">
        <v>0</v>
      </c>
      <c r="J341" s="553">
        <v>0</v>
      </c>
      <c r="K341" s="553">
        <v>5</v>
      </c>
      <c r="L341" s="553">
        <v>4</v>
      </c>
      <c r="M341" s="505" t="s">
        <v>137</v>
      </c>
      <c r="N341" s="500">
        <v>43013539130000</v>
      </c>
      <c r="O341" s="553" t="s">
        <v>852</v>
      </c>
      <c r="P341" s="650" t="s">
        <v>938</v>
      </c>
      <c r="Q341" s="564" t="s">
        <v>583</v>
      </c>
      <c r="R341" s="564">
        <v>2</v>
      </c>
    </row>
    <row r="342" spans="1:18" ht="15" customHeight="1" x14ac:dyDescent="0.25">
      <c r="A342" s="553">
        <v>5</v>
      </c>
      <c r="B342" s="553">
        <v>2</v>
      </c>
      <c r="C342" s="553">
        <v>2</v>
      </c>
      <c r="D342" s="553">
        <v>2</v>
      </c>
      <c r="E342" s="553">
        <v>2</v>
      </c>
      <c r="F342" s="553">
        <v>2</v>
      </c>
      <c r="G342" s="553" t="s">
        <v>484</v>
      </c>
      <c r="H342" s="553">
        <v>1320.59</v>
      </c>
      <c r="I342" s="553">
        <v>0</v>
      </c>
      <c r="J342" s="553">
        <v>0</v>
      </c>
      <c r="K342" s="553">
        <v>5</v>
      </c>
      <c r="L342" s="553">
        <v>4</v>
      </c>
      <c r="M342" s="505" t="s">
        <v>137</v>
      </c>
      <c r="N342" s="500">
        <v>43013539130000</v>
      </c>
      <c r="O342" s="553" t="s">
        <v>852</v>
      </c>
      <c r="P342" s="650" t="s">
        <v>939</v>
      </c>
      <c r="Q342" s="564" t="s">
        <v>583</v>
      </c>
      <c r="R342" s="564">
        <v>2</v>
      </c>
    </row>
    <row r="343" spans="1:18" ht="15" customHeight="1" x14ac:dyDescent="0.25">
      <c r="A343" s="553">
        <v>5</v>
      </c>
      <c r="B343" s="553">
        <v>2</v>
      </c>
      <c r="C343" s="553">
        <v>2</v>
      </c>
      <c r="D343" s="553">
        <v>2</v>
      </c>
      <c r="E343" s="553">
        <v>2</v>
      </c>
      <c r="F343" s="553">
        <v>2</v>
      </c>
      <c r="G343" s="553" t="s">
        <v>486</v>
      </c>
      <c r="H343" s="553">
        <v>1321.58</v>
      </c>
      <c r="I343" s="553">
        <v>0</v>
      </c>
      <c r="J343" s="553">
        <v>20</v>
      </c>
      <c r="K343" s="553">
        <v>27</v>
      </c>
      <c r="L343" s="553">
        <v>4</v>
      </c>
      <c r="M343" s="505" t="s">
        <v>137</v>
      </c>
      <c r="N343" s="500">
        <v>43013539130000</v>
      </c>
      <c r="O343" s="553" t="s">
        <v>852</v>
      </c>
      <c r="P343" s="650" t="s">
        <v>940</v>
      </c>
      <c r="Q343" s="564" t="s">
        <v>583</v>
      </c>
      <c r="R343" s="564">
        <v>2</v>
      </c>
    </row>
    <row r="344" spans="1:18" ht="15" customHeight="1" x14ac:dyDescent="0.25">
      <c r="A344" s="553">
        <v>5</v>
      </c>
      <c r="B344" s="553">
        <v>2</v>
      </c>
      <c r="C344" s="553">
        <v>2</v>
      </c>
      <c r="D344" s="553">
        <v>2</v>
      </c>
      <c r="E344" s="553">
        <v>2</v>
      </c>
      <c r="F344" s="553">
        <v>2</v>
      </c>
      <c r="G344" s="502" t="s">
        <v>488</v>
      </c>
      <c r="H344" s="553">
        <v>1321.58</v>
      </c>
      <c r="I344" s="553">
        <v>0</v>
      </c>
      <c r="J344" s="553">
        <v>20</v>
      </c>
      <c r="K344" s="553">
        <v>27</v>
      </c>
      <c r="L344" s="553">
        <v>4</v>
      </c>
      <c r="M344" s="505" t="s">
        <v>137</v>
      </c>
      <c r="N344" s="500">
        <v>43013539130000</v>
      </c>
      <c r="O344" s="553" t="s">
        <v>852</v>
      </c>
      <c r="P344" s="650" t="s">
        <v>941</v>
      </c>
      <c r="Q344" s="564" t="s">
        <v>583</v>
      </c>
      <c r="R344" s="564">
        <v>2</v>
      </c>
    </row>
    <row r="345" spans="1:18" ht="15" customHeight="1" x14ac:dyDescent="0.25">
      <c r="A345" s="553">
        <v>5</v>
      </c>
      <c r="B345" s="553">
        <v>2</v>
      </c>
      <c r="C345" s="553">
        <v>2</v>
      </c>
      <c r="D345" s="553">
        <v>2</v>
      </c>
      <c r="E345" s="553">
        <v>2</v>
      </c>
      <c r="F345" s="553">
        <v>2</v>
      </c>
      <c r="G345" s="553" t="s">
        <v>490</v>
      </c>
      <c r="H345" s="553">
        <v>1325.74</v>
      </c>
      <c r="I345" s="553">
        <v>0</v>
      </c>
      <c r="J345" s="553">
        <v>15</v>
      </c>
      <c r="K345" s="553">
        <v>50</v>
      </c>
      <c r="L345" s="553">
        <v>4</v>
      </c>
      <c r="M345" s="505" t="s">
        <v>137</v>
      </c>
      <c r="N345" s="500">
        <v>43013539130000</v>
      </c>
      <c r="O345" s="553" t="s">
        <v>852</v>
      </c>
      <c r="P345" s="650" t="s">
        <v>942</v>
      </c>
      <c r="Q345" s="564" t="s">
        <v>583</v>
      </c>
      <c r="R345" s="564">
        <v>2</v>
      </c>
    </row>
    <row r="346" spans="1:18" ht="15" customHeight="1" x14ac:dyDescent="0.25">
      <c r="A346" s="553">
        <v>5</v>
      </c>
      <c r="B346" s="553">
        <v>2</v>
      </c>
      <c r="C346" s="553">
        <v>2</v>
      </c>
      <c r="D346" s="553">
        <v>2</v>
      </c>
      <c r="E346" s="553">
        <v>2</v>
      </c>
      <c r="F346" s="553">
        <v>2</v>
      </c>
      <c r="G346" s="553" t="s">
        <v>493</v>
      </c>
      <c r="H346" s="553">
        <v>1325.74</v>
      </c>
      <c r="I346" s="553">
        <v>0</v>
      </c>
      <c r="J346" s="553">
        <v>15</v>
      </c>
      <c r="K346" s="553">
        <v>50</v>
      </c>
      <c r="L346" s="553">
        <v>4</v>
      </c>
      <c r="M346" s="505" t="s">
        <v>137</v>
      </c>
      <c r="N346" s="500">
        <v>43013539130000</v>
      </c>
      <c r="O346" s="553" t="s">
        <v>852</v>
      </c>
      <c r="P346" s="650" t="s">
        <v>943</v>
      </c>
      <c r="Q346" s="564" t="s">
        <v>583</v>
      </c>
      <c r="R346" s="564">
        <v>2</v>
      </c>
    </row>
    <row r="347" spans="1:18" ht="15" customHeight="1" x14ac:dyDescent="0.25">
      <c r="A347" s="553">
        <v>5</v>
      </c>
      <c r="B347" s="553">
        <v>2</v>
      </c>
      <c r="C347" s="553">
        <v>2</v>
      </c>
      <c r="D347" s="553">
        <v>2</v>
      </c>
      <c r="E347" s="553">
        <v>2</v>
      </c>
      <c r="F347" s="553">
        <v>2</v>
      </c>
      <c r="G347" s="553" t="s">
        <v>474</v>
      </c>
      <c r="H347" s="553">
        <v>1321.615</v>
      </c>
      <c r="I347" s="553">
        <v>89</v>
      </c>
      <c r="J347" s="553">
        <v>59</v>
      </c>
      <c r="K347" s="553">
        <v>57</v>
      </c>
      <c r="L347" s="553">
        <v>3</v>
      </c>
      <c r="M347" s="505" t="s">
        <v>137</v>
      </c>
      <c r="N347" s="500">
        <v>43013539130000</v>
      </c>
      <c r="O347" s="553" t="s">
        <v>852</v>
      </c>
      <c r="P347" s="650" t="s">
        <v>944</v>
      </c>
      <c r="Q347" s="564" t="s">
        <v>583</v>
      </c>
      <c r="R347" s="564">
        <v>2</v>
      </c>
    </row>
    <row r="348" spans="1:18" ht="15" customHeight="1" x14ac:dyDescent="0.25">
      <c r="A348" s="553">
        <v>5</v>
      </c>
      <c r="B348" s="553">
        <v>2</v>
      </c>
      <c r="C348" s="553">
        <v>2</v>
      </c>
      <c r="D348" s="553">
        <v>2</v>
      </c>
      <c r="E348" s="553">
        <v>2</v>
      </c>
      <c r="F348" s="553">
        <v>2</v>
      </c>
      <c r="G348" s="502" t="s">
        <v>477</v>
      </c>
      <c r="H348" s="553">
        <v>1321.615</v>
      </c>
      <c r="I348" s="553">
        <v>89</v>
      </c>
      <c r="J348" s="553">
        <v>59</v>
      </c>
      <c r="K348" s="553">
        <v>57</v>
      </c>
      <c r="L348" s="553">
        <v>3</v>
      </c>
      <c r="M348" s="505" t="s">
        <v>137</v>
      </c>
      <c r="N348" s="500">
        <v>43013539130000</v>
      </c>
      <c r="O348" s="553" t="s">
        <v>852</v>
      </c>
      <c r="P348" s="650" t="s">
        <v>945</v>
      </c>
      <c r="Q348" s="564" t="s">
        <v>583</v>
      </c>
      <c r="R348" s="564">
        <v>2</v>
      </c>
    </row>
    <row r="349" spans="1:18" ht="15" customHeight="1" x14ac:dyDescent="0.25">
      <c r="A349" s="553">
        <v>5</v>
      </c>
      <c r="B349" s="553">
        <v>2</v>
      </c>
      <c r="C349" s="553">
        <v>2</v>
      </c>
      <c r="D349" s="553">
        <v>2</v>
      </c>
      <c r="E349" s="553">
        <v>2</v>
      </c>
      <c r="F349" s="553">
        <v>2</v>
      </c>
      <c r="G349" s="553" t="s">
        <v>479</v>
      </c>
      <c r="H349" s="553">
        <v>1315.68</v>
      </c>
      <c r="I349" s="553">
        <v>89</v>
      </c>
      <c r="J349" s="553">
        <v>58</v>
      </c>
      <c r="K349" s="553">
        <v>23</v>
      </c>
      <c r="L349" s="553">
        <v>3</v>
      </c>
      <c r="M349" s="505" t="s">
        <v>137</v>
      </c>
      <c r="N349" s="500">
        <v>43013539130000</v>
      </c>
      <c r="O349" s="553" t="s">
        <v>852</v>
      </c>
      <c r="P349" s="650" t="s">
        <v>946</v>
      </c>
      <c r="Q349" s="564" t="s">
        <v>583</v>
      </c>
      <c r="R349" s="564">
        <v>2</v>
      </c>
    </row>
    <row r="350" spans="1:18" ht="15" customHeight="1" x14ac:dyDescent="0.25">
      <c r="A350" s="553">
        <v>5</v>
      </c>
      <c r="B350" s="553">
        <v>2</v>
      </c>
      <c r="C350" s="553">
        <v>2</v>
      </c>
      <c r="D350" s="553">
        <v>2</v>
      </c>
      <c r="E350" s="553">
        <v>2</v>
      </c>
      <c r="F350" s="553">
        <v>2</v>
      </c>
      <c r="G350" s="553" t="s">
        <v>485</v>
      </c>
      <c r="H350" s="553">
        <v>1315.68</v>
      </c>
      <c r="I350" s="553">
        <v>89</v>
      </c>
      <c r="J350" s="553">
        <v>58</v>
      </c>
      <c r="K350" s="553">
        <v>23</v>
      </c>
      <c r="L350" s="553">
        <v>3</v>
      </c>
      <c r="M350" s="505" t="s">
        <v>137</v>
      </c>
      <c r="N350" s="500">
        <v>43013539130000</v>
      </c>
      <c r="O350" s="553" t="s">
        <v>852</v>
      </c>
      <c r="P350" s="650" t="s">
        <v>947</v>
      </c>
      <c r="Q350" s="564" t="s">
        <v>583</v>
      </c>
      <c r="R350" s="564">
        <v>2</v>
      </c>
    </row>
    <row r="351" spans="1:18" ht="15" customHeight="1" x14ac:dyDescent="0.25">
      <c r="A351" s="553">
        <v>5</v>
      </c>
      <c r="B351" s="553">
        <v>2</v>
      </c>
      <c r="C351" s="553">
        <v>2</v>
      </c>
      <c r="D351" s="553">
        <v>2</v>
      </c>
      <c r="E351" s="553">
        <v>2</v>
      </c>
      <c r="F351" s="553">
        <v>2</v>
      </c>
      <c r="G351" s="553" t="s">
        <v>487</v>
      </c>
      <c r="H351" s="553">
        <v>1317.415</v>
      </c>
      <c r="I351" s="553">
        <v>89</v>
      </c>
      <c r="J351" s="553">
        <v>46</v>
      </c>
      <c r="K351" s="553">
        <v>32</v>
      </c>
      <c r="L351" s="553">
        <v>4</v>
      </c>
      <c r="M351" s="505" t="s">
        <v>137</v>
      </c>
      <c r="N351" s="500">
        <v>43013539130000</v>
      </c>
      <c r="O351" s="553" t="s">
        <v>852</v>
      </c>
      <c r="P351" s="650" t="s">
        <v>948</v>
      </c>
      <c r="Q351" s="564" t="s">
        <v>583</v>
      </c>
      <c r="R351" s="564">
        <v>2</v>
      </c>
    </row>
    <row r="352" spans="1:18" ht="15" customHeight="1" x14ac:dyDescent="0.25">
      <c r="A352" s="553">
        <v>5</v>
      </c>
      <c r="B352" s="553">
        <v>2</v>
      </c>
      <c r="C352" s="553">
        <v>2</v>
      </c>
      <c r="D352" s="553">
        <v>2</v>
      </c>
      <c r="E352" s="553">
        <v>2</v>
      </c>
      <c r="F352" s="553">
        <v>2</v>
      </c>
      <c r="G352" s="502" t="s">
        <v>489</v>
      </c>
      <c r="H352" s="553">
        <v>1317.415</v>
      </c>
      <c r="I352" s="553">
        <v>89</v>
      </c>
      <c r="J352" s="553">
        <v>46</v>
      </c>
      <c r="K352" s="553">
        <v>32</v>
      </c>
      <c r="L352" s="553">
        <v>4</v>
      </c>
      <c r="M352" s="505" t="s">
        <v>137</v>
      </c>
      <c r="N352" s="500">
        <v>43013539130000</v>
      </c>
      <c r="O352" s="553" t="s">
        <v>852</v>
      </c>
      <c r="P352" s="650" t="s">
        <v>949</v>
      </c>
      <c r="Q352" s="564" t="s">
        <v>583</v>
      </c>
      <c r="R352" s="564">
        <v>2</v>
      </c>
    </row>
    <row r="353" spans="1:18" ht="15" customHeight="1" x14ac:dyDescent="0.25">
      <c r="A353" s="553">
        <v>5</v>
      </c>
      <c r="B353" s="553">
        <v>2</v>
      </c>
      <c r="C353" s="553">
        <v>2</v>
      </c>
      <c r="D353" s="553">
        <v>2</v>
      </c>
      <c r="E353" s="553">
        <v>2</v>
      </c>
      <c r="F353" s="553">
        <v>2</v>
      </c>
      <c r="G353" s="553" t="s">
        <v>491</v>
      </c>
      <c r="H353" s="553">
        <v>1317.4</v>
      </c>
      <c r="I353" s="553">
        <v>89</v>
      </c>
      <c r="J353" s="553">
        <v>47</v>
      </c>
      <c r="K353" s="553">
        <v>0</v>
      </c>
      <c r="L353" s="553">
        <v>4</v>
      </c>
      <c r="M353" s="505" t="s">
        <v>137</v>
      </c>
      <c r="N353" s="500">
        <v>43013539130000</v>
      </c>
      <c r="O353" s="553" t="s">
        <v>852</v>
      </c>
      <c r="P353" s="650" t="s">
        <v>950</v>
      </c>
      <c r="Q353" s="564" t="s">
        <v>583</v>
      </c>
      <c r="R353" s="564">
        <v>2</v>
      </c>
    </row>
    <row r="354" spans="1:18" ht="15" customHeight="1" x14ac:dyDescent="0.25">
      <c r="A354" s="553">
        <v>5</v>
      </c>
      <c r="B354" s="553">
        <v>2</v>
      </c>
      <c r="C354" s="553">
        <v>2</v>
      </c>
      <c r="D354" s="553">
        <v>2</v>
      </c>
      <c r="E354" s="553">
        <v>2</v>
      </c>
      <c r="F354" s="553">
        <v>2</v>
      </c>
      <c r="G354" s="553" t="s">
        <v>494</v>
      </c>
      <c r="H354" s="553">
        <v>1317.4</v>
      </c>
      <c r="I354" s="553">
        <v>89</v>
      </c>
      <c r="J354" s="553">
        <v>47</v>
      </c>
      <c r="K354" s="553">
        <v>0</v>
      </c>
      <c r="L354" s="553">
        <v>4</v>
      </c>
      <c r="M354" s="505" t="s">
        <v>137</v>
      </c>
      <c r="N354" s="500">
        <v>43013539130000</v>
      </c>
      <c r="O354" s="553" t="s">
        <v>852</v>
      </c>
      <c r="P354" s="650" t="s">
        <v>951</v>
      </c>
      <c r="Q354" s="564" t="s">
        <v>583</v>
      </c>
      <c r="R354" s="564">
        <v>2</v>
      </c>
    </row>
    <row r="355" spans="1:18" ht="15" customHeight="1" x14ac:dyDescent="0.25">
      <c r="A355" s="553">
        <v>5</v>
      </c>
      <c r="B355" s="553">
        <v>2</v>
      </c>
      <c r="C355" s="553">
        <v>2</v>
      </c>
      <c r="D355" s="553">
        <v>3</v>
      </c>
      <c r="E355" s="553">
        <v>2</v>
      </c>
      <c r="F355" s="553">
        <v>2</v>
      </c>
      <c r="G355" s="553" t="s">
        <v>473</v>
      </c>
      <c r="H355" s="553">
        <v>1320.2950000000001</v>
      </c>
      <c r="I355" s="553">
        <v>0</v>
      </c>
      <c r="J355" s="553">
        <v>1</v>
      </c>
      <c r="K355" s="553">
        <v>1</v>
      </c>
      <c r="L355" s="553">
        <v>2</v>
      </c>
      <c r="M355" s="505" t="s">
        <v>137</v>
      </c>
      <c r="N355" s="500">
        <v>43013538730000</v>
      </c>
      <c r="O355" s="553" t="s">
        <v>952</v>
      </c>
      <c r="P355" s="650" t="s">
        <v>953</v>
      </c>
      <c r="Q355" s="564" t="s">
        <v>583</v>
      </c>
      <c r="R355" s="564">
        <v>1</v>
      </c>
    </row>
    <row r="356" spans="1:18" ht="15" customHeight="1" x14ac:dyDescent="0.25">
      <c r="A356" s="553">
        <v>5</v>
      </c>
      <c r="B356" s="553">
        <v>2</v>
      </c>
      <c r="C356" s="553">
        <v>2</v>
      </c>
      <c r="D356" s="553">
        <v>3</v>
      </c>
      <c r="E356" s="553">
        <v>2</v>
      </c>
      <c r="F356" s="553">
        <v>2</v>
      </c>
      <c r="G356" s="502" t="s">
        <v>476</v>
      </c>
      <c r="H356" s="553">
        <v>1320.2950000000001</v>
      </c>
      <c r="I356" s="553">
        <v>0</v>
      </c>
      <c r="J356" s="553">
        <v>1</v>
      </c>
      <c r="K356" s="553">
        <v>1</v>
      </c>
      <c r="L356" s="553">
        <v>2</v>
      </c>
      <c r="M356" s="505" t="s">
        <v>137</v>
      </c>
      <c r="N356" s="500">
        <v>43013538730000</v>
      </c>
      <c r="O356" s="553" t="s">
        <v>952</v>
      </c>
      <c r="P356" s="650" t="s">
        <v>954</v>
      </c>
      <c r="Q356" s="564" t="s">
        <v>583</v>
      </c>
      <c r="R356" s="564">
        <v>1</v>
      </c>
    </row>
    <row r="357" spans="1:18" ht="15" customHeight="1" x14ac:dyDescent="0.25">
      <c r="A357" s="553">
        <v>5</v>
      </c>
      <c r="B357" s="553">
        <v>2</v>
      </c>
      <c r="C357" s="553">
        <v>2</v>
      </c>
      <c r="D357" s="553">
        <v>3</v>
      </c>
      <c r="E357" s="553">
        <v>2</v>
      </c>
      <c r="F357" s="553">
        <v>2</v>
      </c>
      <c r="G357" s="553" t="s">
        <v>478</v>
      </c>
      <c r="H357" s="553">
        <v>1317.4749999999999</v>
      </c>
      <c r="I357" s="553">
        <v>0</v>
      </c>
      <c r="J357" s="553">
        <v>7</v>
      </c>
      <c r="K357" s="553">
        <v>27</v>
      </c>
      <c r="L357" s="553">
        <v>4</v>
      </c>
      <c r="M357" s="505" t="s">
        <v>137</v>
      </c>
      <c r="N357" s="500">
        <v>43013538730000</v>
      </c>
      <c r="O357" s="553" t="s">
        <v>952</v>
      </c>
      <c r="P357" s="650" t="s">
        <v>955</v>
      </c>
      <c r="Q357" s="564" t="s">
        <v>583</v>
      </c>
      <c r="R357" s="564">
        <v>1</v>
      </c>
    </row>
    <row r="358" spans="1:18" ht="15" customHeight="1" x14ac:dyDescent="0.25">
      <c r="A358" s="553">
        <v>5</v>
      </c>
      <c r="B358" s="553">
        <v>2</v>
      </c>
      <c r="C358" s="553">
        <v>2</v>
      </c>
      <c r="D358" s="553">
        <v>3</v>
      </c>
      <c r="E358" s="553">
        <v>2</v>
      </c>
      <c r="F358" s="553">
        <v>2</v>
      </c>
      <c r="G358" s="553" t="s">
        <v>484</v>
      </c>
      <c r="H358" s="553">
        <v>1317.4749999999999</v>
      </c>
      <c r="I358" s="553">
        <v>0</v>
      </c>
      <c r="J358" s="553">
        <v>7</v>
      </c>
      <c r="K358" s="553">
        <v>27</v>
      </c>
      <c r="L358" s="553">
        <v>4</v>
      </c>
      <c r="M358" s="505" t="s">
        <v>137</v>
      </c>
      <c r="N358" s="500">
        <v>43013538730000</v>
      </c>
      <c r="O358" s="553" t="s">
        <v>952</v>
      </c>
      <c r="P358" s="650" t="s">
        <v>956</v>
      </c>
      <c r="Q358" s="564" t="s">
        <v>583</v>
      </c>
      <c r="R358" s="564">
        <v>1</v>
      </c>
    </row>
    <row r="359" spans="1:18" ht="15" customHeight="1" x14ac:dyDescent="0.25">
      <c r="A359" s="553">
        <v>5</v>
      </c>
      <c r="B359" s="553">
        <v>2</v>
      </c>
      <c r="C359" s="553">
        <v>2</v>
      </c>
      <c r="D359" s="553">
        <v>3</v>
      </c>
      <c r="E359" s="553">
        <v>2</v>
      </c>
      <c r="F359" s="553">
        <v>2</v>
      </c>
      <c r="G359" s="553" t="s">
        <v>486</v>
      </c>
      <c r="H359" s="553">
        <v>1321.25</v>
      </c>
      <c r="I359" s="553">
        <v>0</v>
      </c>
      <c r="J359" s="553">
        <v>21</v>
      </c>
      <c r="K359" s="553">
        <v>17</v>
      </c>
      <c r="L359" s="553">
        <v>2</v>
      </c>
      <c r="M359" s="505" t="s">
        <v>137</v>
      </c>
      <c r="N359" s="500">
        <v>43013538730000</v>
      </c>
      <c r="O359" s="553" t="s">
        <v>952</v>
      </c>
      <c r="P359" s="650" t="s">
        <v>957</v>
      </c>
      <c r="Q359" s="564" t="s">
        <v>583</v>
      </c>
      <c r="R359" s="564">
        <v>1</v>
      </c>
    </row>
    <row r="360" spans="1:18" ht="15" customHeight="1" x14ac:dyDescent="0.25">
      <c r="A360" s="553">
        <v>5</v>
      </c>
      <c r="B360" s="553">
        <v>2</v>
      </c>
      <c r="C360" s="553">
        <v>2</v>
      </c>
      <c r="D360" s="553">
        <v>3</v>
      </c>
      <c r="E360" s="553">
        <v>2</v>
      </c>
      <c r="F360" s="553">
        <v>2</v>
      </c>
      <c r="G360" s="502" t="s">
        <v>488</v>
      </c>
      <c r="H360" s="553">
        <v>1321.25</v>
      </c>
      <c r="I360" s="553">
        <v>0</v>
      </c>
      <c r="J360" s="553">
        <v>21</v>
      </c>
      <c r="K360" s="553">
        <v>17</v>
      </c>
      <c r="L360" s="553">
        <v>2</v>
      </c>
      <c r="M360" s="505" t="s">
        <v>137</v>
      </c>
      <c r="N360" s="500">
        <v>43013538730000</v>
      </c>
      <c r="O360" s="553" t="s">
        <v>952</v>
      </c>
      <c r="P360" s="650" t="s">
        <v>958</v>
      </c>
      <c r="Q360" s="564" t="s">
        <v>583</v>
      </c>
      <c r="R360" s="564">
        <v>1</v>
      </c>
    </row>
    <row r="361" spans="1:18" ht="15" customHeight="1" x14ac:dyDescent="0.25">
      <c r="A361" s="553">
        <v>5</v>
      </c>
      <c r="B361" s="553">
        <v>2</v>
      </c>
      <c r="C361" s="553">
        <v>2</v>
      </c>
      <c r="D361" s="553">
        <v>3</v>
      </c>
      <c r="E361" s="553">
        <v>2</v>
      </c>
      <c r="F361" s="553">
        <v>2</v>
      </c>
      <c r="G361" s="553" t="s">
        <v>490</v>
      </c>
      <c r="H361" s="553">
        <v>1321.25</v>
      </c>
      <c r="I361" s="553">
        <v>0</v>
      </c>
      <c r="J361" s="553">
        <v>21</v>
      </c>
      <c r="K361" s="553">
        <v>17</v>
      </c>
      <c r="L361" s="553">
        <v>2</v>
      </c>
      <c r="M361" s="505" t="s">
        <v>137</v>
      </c>
      <c r="N361" s="500">
        <v>43013538730000</v>
      </c>
      <c r="O361" s="553" t="s">
        <v>952</v>
      </c>
      <c r="P361" s="650" t="s">
        <v>959</v>
      </c>
      <c r="Q361" s="564" t="s">
        <v>583</v>
      </c>
      <c r="R361" s="564">
        <v>1</v>
      </c>
    </row>
    <row r="362" spans="1:18" ht="15" customHeight="1" x14ac:dyDescent="0.25">
      <c r="A362" s="553">
        <v>5</v>
      </c>
      <c r="B362" s="553">
        <v>2</v>
      </c>
      <c r="C362" s="553">
        <v>2</v>
      </c>
      <c r="D362" s="553">
        <v>3</v>
      </c>
      <c r="E362" s="553">
        <v>2</v>
      </c>
      <c r="F362" s="553">
        <v>2</v>
      </c>
      <c r="G362" s="553" t="s">
        <v>493</v>
      </c>
      <c r="H362" s="553">
        <v>1321.25</v>
      </c>
      <c r="I362" s="553">
        <v>0</v>
      </c>
      <c r="J362" s="553">
        <v>21</v>
      </c>
      <c r="K362" s="553">
        <v>17</v>
      </c>
      <c r="L362" s="553">
        <v>2</v>
      </c>
      <c r="M362" s="505" t="s">
        <v>137</v>
      </c>
      <c r="N362" s="500">
        <v>43013538730000</v>
      </c>
      <c r="O362" s="553" t="s">
        <v>952</v>
      </c>
      <c r="P362" s="650" t="s">
        <v>960</v>
      </c>
      <c r="Q362" s="564" t="s">
        <v>583</v>
      </c>
      <c r="R362" s="564">
        <v>1</v>
      </c>
    </row>
    <row r="363" spans="1:18" ht="15" customHeight="1" x14ac:dyDescent="0.25">
      <c r="A363" s="553">
        <v>5</v>
      </c>
      <c r="B363" s="553">
        <v>2</v>
      </c>
      <c r="C363" s="553">
        <v>2</v>
      </c>
      <c r="D363" s="553">
        <v>3</v>
      </c>
      <c r="E363" s="553">
        <v>2</v>
      </c>
      <c r="F363" s="553">
        <v>2</v>
      </c>
      <c r="G363" s="553" t="s">
        <v>474</v>
      </c>
      <c r="H363" s="553">
        <v>1325.2950000000001</v>
      </c>
      <c r="I363" s="553">
        <v>89</v>
      </c>
      <c r="J363" s="553">
        <v>58</v>
      </c>
      <c r="K363" s="553">
        <v>55</v>
      </c>
      <c r="L363" s="553">
        <v>4</v>
      </c>
      <c r="M363" s="505" t="s">
        <v>137</v>
      </c>
      <c r="N363" s="500">
        <v>43013538730000</v>
      </c>
      <c r="O363" s="553" t="s">
        <v>952</v>
      </c>
      <c r="P363" s="650" t="s">
        <v>961</v>
      </c>
      <c r="Q363" s="564" t="s">
        <v>583</v>
      </c>
      <c r="R363" s="564">
        <v>1</v>
      </c>
    </row>
    <row r="364" spans="1:18" ht="15" customHeight="1" x14ac:dyDescent="0.25">
      <c r="A364" s="553">
        <v>5</v>
      </c>
      <c r="B364" s="553">
        <v>2</v>
      </c>
      <c r="C364" s="553">
        <v>2</v>
      </c>
      <c r="D364" s="553">
        <v>3</v>
      </c>
      <c r="E364" s="553">
        <v>2</v>
      </c>
      <c r="F364" s="553">
        <v>2</v>
      </c>
      <c r="G364" s="502" t="s">
        <v>477</v>
      </c>
      <c r="H364" s="553">
        <v>1325.2950000000001</v>
      </c>
      <c r="I364" s="553">
        <v>89</v>
      </c>
      <c r="J364" s="553">
        <v>58</v>
      </c>
      <c r="K364" s="553">
        <v>55</v>
      </c>
      <c r="L364" s="553">
        <v>4</v>
      </c>
      <c r="M364" s="505" t="s">
        <v>137</v>
      </c>
      <c r="N364" s="500">
        <v>43013538730000</v>
      </c>
      <c r="O364" s="553" t="s">
        <v>952</v>
      </c>
      <c r="P364" s="650" t="s">
        <v>962</v>
      </c>
      <c r="Q364" s="564" t="s">
        <v>583</v>
      </c>
      <c r="R364" s="564">
        <v>1</v>
      </c>
    </row>
    <row r="365" spans="1:18" ht="15" customHeight="1" x14ac:dyDescent="0.25">
      <c r="A365" s="553">
        <v>5</v>
      </c>
      <c r="B365" s="553">
        <v>2</v>
      </c>
      <c r="C365" s="553">
        <v>2</v>
      </c>
      <c r="D365" s="553">
        <v>3</v>
      </c>
      <c r="E365" s="553">
        <v>2</v>
      </c>
      <c r="F365" s="553">
        <v>2</v>
      </c>
      <c r="G365" s="553" t="s">
        <v>479</v>
      </c>
      <c r="H365" s="553">
        <v>1325.2950000000001</v>
      </c>
      <c r="I365" s="553">
        <v>89</v>
      </c>
      <c r="J365" s="553">
        <v>58</v>
      </c>
      <c r="K365" s="553">
        <v>55</v>
      </c>
      <c r="L365" s="553">
        <v>4</v>
      </c>
      <c r="M365" s="505" t="s">
        <v>137</v>
      </c>
      <c r="N365" s="500">
        <v>43013538730000</v>
      </c>
      <c r="O365" s="553" t="s">
        <v>952</v>
      </c>
      <c r="P365" s="650" t="s">
        <v>963</v>
      </c>
      <c r="Q365" s="564" t="s">
        <v>583</v>
      </c>
      <c r="R365" s="564">
        <v>1</v>
      </c>
    </row>
    <row r="366" spans="1:18" ht="15" customHeight="1" x14ac:dyDescent="0.25">
      <c r="A366" s="553">
        <v>5</v>
      </c>
      <c r="B366" s="553">
        <v>2</v>
      </c>
      <c r="C366" s="553">
        <v>2</v>
      </c>
      <c r="D366" s="553">
        <v>3</v>
      </c>
      <c r="E366" s="553">
        <v>2</v>
      </c>
      <c r="F366" s="553">
        <v>2</v>
      </c>
      <c r="G366" s="553" t="s">
        <v>485</v>
      </c>
      <c r="H366" s="553">
        <v>1325.2950000000001</v>
      </c>
      <c r="I366" s="553">
        <v>89</v>
      </c>
      <c r="J366" s="553">
        <v>58</v>
      </c>
      <c r="K366" s="553">
        <v>55</v>
      </c>
      <c r="L366" s="553">
        <v>4</v>
      </c>
      <c r="M366" s="505" t="s">
        <v>137</v>
      </c>
      <c r="N366" s="500">
        <v>43013538730000</v>
      </c>
      <c r="O366" s="553" t="s">
        <v>952</v>
      </c>
      <c r="P366" s="650" t="s">
        <v>964</v>
      </c>
      <c r="Q366" s="564" t="s">
        <v>583</v>
      </c>
      <c r="R366" s="564">
        <v>1</v>
      </c>
    </row>
    <row r="367" spans="1:18" ht="15" customHeight="1" x14ac:dyDescent="0.25">
      <c r="A367" s="553">
        <v>5</v>
      </c>
      <c r="B367" s="553">
        <v>2</v>
      </c>
      <c r="C367" s="553">
        <v>2</v>
      </c>
      <c r="D367" s="553">
        <v>3</v>
      </c>
      <c r="E367" s="553">
        <v>2</v>
      </c>
      <c r="F367" s="553">
        <v>2</v>
      </c>
      <c r="G367" s="553" t="s">
        <v>487</v>
      </c>
      <c r="H367" s="553">
        <v>1315.89</v>
      </c>
      <c r="I367" s="553">
        <v>89</v>
      </c>
      <c r="J367" s="553">
        <v>52</v>
      </c>
      <c r="K367" s="553">
        <v>48</v>
      </c>
      <c r="L367" s="553">
        <v>4</v>
      </c>
      <c r="M367" s="505" t="s">
        <v>137</v>
      </c>
      <c r="N367" s="500">
        <v>43013538730000</v>
      </c>
      <c r="O367" s="553" t="s">
        <v>952</v>
      </c>
      <c r="P367" s="650" t="s">
        <v>965</v>
      </c>
      <c r="Q367" s="564" t="s">
        <v>583</v>
      </c>
      <c r="R367" s="564">
        <v>1</v>
      </c>
    </row>
    <row r="368" spans="1:18" ht="15" customHeight="1" x14ac:dyDescent="0.25">
      <c r="A368" s="553">
        <v>5</v>
      </c>
      <c r="B368" s="553">
        <v>2</v>
      </c>
      <c r="C368" s="553">
        <v>2</v>
      </c>
      <c r="D368" s="553">
        <v>3</v>
      </c>
      <c r="E368" s="553">
        <v>2</v>
      </c>
      <c r="F368" s="553">
        <v>2</v>
      </c>
      <c r="G368" s="502" t="s">
        <v>489</v>
      </c>
      <c r="H368" s="553">
        <v>1315.89</v>
      </c>
      <c r="I368" s="553">
        <v>89</v>
      </c>
      <c r="J368" s="553">
        <v>52</v>
      </c>
      <c r="K368" s="553">
        <v>48</v>
      </c>
      <c r="L368" s="553">
        <v>4</v>
      </c>
      <c r="M368" s="505" t="s">
        <v>137</v>
      </c>
      <c r="N368" s="500">
        <v>43013538730000</v>
      </c>
      <c r="O368" s="553" t="s">
        <v>952</v>
      </c>
      <c r="P368" s="650" t="s">
        <v>966</v>
      </c>
      <c r="Q368" s="564" t="s">
        <v>583</v>
      </c>
      <c r="R368" s="564">
        <v>1</v>
      </c>
    </row>
    <row r="369" spans="1:18" ht="15" customHeight="1" x14ac:dyDescent="0.25">
      <c r="A369" s="553">
        <v>5</v>
      </c>
      <c r="B369" s="553">
        <v>2</v>
      </c>
      <c r="C369" s="553">
        <v>2</v>
      </c>
      <c r="D369" s="553">
        <v>3</v>
      </c>
      <c r="E369" s="553">
        <v>2</v>
      </c>
      <c r="F369" s="553">
        <v>2</v>
      </c>
      <c r="G369" s="553" t="s">
        <v>491</v>
      </c>
      <c r="H369" s="553">
        <v>1315.89</v>
      </c>
      <c r="I369" s="553">
        <v>89</v>
      </c>
      <c r="J369" s="553">
        <v>52</v>
      </c>
      <c r="K369" s="553">
        <v>48</v>
      </c>
      <c r="L369" s="553">
        <v>4</v>
      </c>
      <c r="M369" s="505" t="s">
        <v>137</v>
      </c>
      <c r="N369" s="500">
        <v>43013538730000</v>
      </c>
      <c r="O369" s="553" t="s">
        <v>952</v>
      </c>
      <c r="P369" s="650" t="s">
        <v>967</v>
      </c>
      <c r="Q369" s="564" t="s">
        <v>583</v>
      </c>
      <c r="R369" s="564">
        <v>1</v>
      </c>
    </row>
    <row r="370" spans="1:18" ht="15" customHeight="1" x14ac:dyDescent="0.25">
      <c r="A370" s="553">
        <v>5</v>
      </c>
      <c r="B370" s="553">
        <v>2</v>
      </c>
      <c r="C370" s="553">
        <v>2</v>
      </c>
      <c r="D370" s="553">
        <v>3</v>
      </c>
      <c r="E370" s="553">
        <v>2</v>
      </c>
      <c r="F370" s="553">
        <v>2</v>
      </c>
      <c r="G370" s="553" t="s">
        <v>494</v>
      </c>
      <c r="H370" s="553">
        <v>1315.89</v>
      </c>
      <c r="I370" s="553">
        <v>89</v>
      </c>
      <c r="J370" s="553">
        <v>52</v>
      </c>
      <c r="K370" s="553">
        <v>48</v>
      </c>
      <c r="L370" s="553">
        <v>4</v>
      </c>
      <c r="M370" s="505" t="s">
        <v>137</v>
      </c>
      <c r="N370" s="500">
        <v>43013538730000</v>
      </c>
      <c r="O370" s="553" t="s">
        <v>952</v>
      </c>
      <c r="P370" s="650" t="s">
        <v>968</v>
      </c>
      <c r="Q370" s="564" t="s">
        <v>583</v>
      </c>
      <c r="R370" s="564">
        <v>1</v>
      </c>
    </row>
    <row r="371" spans="1:18" ht="15" customHeight="1" x14ac:dyDescent="0.25">
      <c r="A371" s="553">
        <v>5</v>
      </c>
      <c r="B371" s="553">
        <v>3</v>
      </c>
      <c r="C371" s="553">
        <v>2</v>
      </c>
      <c r="D371" s="553">
        <v>1</v>
      </c>
      <c r="E371" s="553">
        <v>1</v>
      </c>
      <c r="F371" s="553">
        <v>2</v>
      </c>
      <c r="G371" s="553" t="s">
        <v>473</v>
      </c>
      <c r="H371" s="553">
        <v>1423.26</v>
      </c>
      <c r="I371" s="553">
        <v>1</v>
      </c>
      <c r="J371" s="553">
        <v>2</v>
      </c>
      <c r="K371" s="553">
        <v>30</v>
      </c>
      <c r="L371" s="553">
        <v>1</v>
      </c>
      <c r="M371" s="505" t="s">
        <v>312</v>
      </c>
      <c r="N371" s="500">
        <v>43047560090000</v>
      </c>
      <c r="O371" s="553" t="s">
        <v>969</v>
      </c>
      <c r="P371" s="650" t="s">
        <v>970</v>
      </c>
      <c r="Q371" s="564" t="s">
        <v>583</v>
      </c>
      <c r="R371" s="564">
        <v>2</v>
      </c>
    </row>
    <row r="372" spans="1:18" ht="15" customHeight="1" x14ac:dyDescent="0.25">
      <c r="A372" s="553">
        <v>5</v>
      </c>
      <c r="B372" s="553">
        <v>3</v>
      </c>
      <c r="C372" s="553">
        <v>2</v>
      </c>
      <c r="D372" s="553">
        <v>1</v>
      </c>
      <c r="E372" s="553">
        <v>1</v>
      </c>
      <c r="F372" s="553">
        <v>2</v>
      </c>
      <c r="G372" s="502" t="s">
        <v>476</v>
      </c>
      <c r="H372" s="553">
        <v>1321.14</v>
      </c>
      <c r="I372" s="553">
        <v>1</v>
      </c>
      <c r="J372" s="553">
        <v>6</v>
      </c>
      <c r="K372" s="553">
        <v>41</v>
      </c>
      <c r="L372" s="553">
        <v>1</v>
      </c>
      <c r="M372" s="505" t="s">
        <v>312</v>
      </c>
      <c r="N372" s="500">
        <v>43047560090000</v>
      </c>
      <c r="O372" s="553" t="s">
        <v>969</v>
      </c>
      <c r="P372" s="650" t="s">
        <v>971</v>
      </c>
      <c r="Q372" s="564" t="s">
        <v>583</v>
      </c>
      <c r="R372" s="564">
        <v>2</v>
      </c>
    </row>
    <row r="373" spans="1:18" ht="15" customHeight="1" x14ac:dyDescent="0.25">
      <c r="A373" s="553">
        <v>5</v>
      </c>
      <c r="B373" s="553">
        <v>3</v>
      </c>
      <c r="C373" s="553">
        <v>2</v>
      </c>
      <c r="D373" s="553">
        <v>1</v>
      </c>
      <c r="E373" s="553">
        <v>1</v>
      </c>
      <c r="F373" s="553">
        <v>2</v>
      </c>
      <c r="G373" s="553" t="s">
        <v>478</v>
      </c>
      <c r="H373" s="553">
        <v>1321.14</v>
      </c>
      <c r="I373" s="553">
        <v>1</v>
      </c>
      <c r="J373" s="553">
        <v>6</v>
      </c>
      <c r="K373" s="553">
        <v>41</v>
      </c>
      <c r="L373" s="553">
        <v>4</v>
      </c>
      <c r="M373" s="505" t="s">
        <v>312</v>
      </c>
      <c r="N373" s="500">
        <v>43047560090000</v>
      </c>
      <c r="O373" s="553" t="s">
        <v>969</v>
      </c>
      <c r="P373" s="650" t="s">
        <v>972</v>
      </c>
      <c r="Q373" s="564" t="s">
        <v>583</v>
      </c>
      <c r="R373" s="564">
        <v>2</v>
      </c>
    </row>
    <row r="374" spans="1:18" ht="15" customHeight="1" x14ac:dyDescent="0.25">
      <c r="A374" s="553">
        <v>5</v>
      </c>
      <c r="B374" s="553">
        <v>3</v>
      </c>
      <c r="C374" s="553">
        <v>2</v>
      </c>
      <c r="D374" s="553">
        <v>1</v>
      </c>
      <c r="E374" s="553">
        <v>1</v>
      </c>
      <c r="F374" s="553">
        <v>2</v>
      </c>
      <c r="G374" s="553" t="s">
        <v>484</v>
      </c>
      <c r="H374" s="553">
        <v>1321.14</v>
      </c>
      <c r="I374" s="553">
        <v>1</v>
      </c>
      <c r="J374" s="553">
        <v>6</v>
      </c>
      <c r="K374" s="553">
        <v>41</v>
      </c>
      <c r="L374" s="553">
        <v>4</v>
      </c>
      <c r="M374" s="505" t="s">
        <v>312</v>
      </c>
      <c r="N374" s="500">
        <v>43047560090000</v>
      </c>
      <c r="O374" s="553" t="s">
        <v>969</v>
      </c>
      <c r="P374" s="650" t="s">
        <v>973</v>
      </c>
      <c r="Q374" s="564" t="s">
        <v>583</v>
      </c>
      <c r="R374" s="564">
        <v>2</v>
      </c>
    </row>
    <row r="375" spans="1:18" ht="15" customHeight="1" x14ac:dyDescent="0.25">
      <c r="A375" s="553">
        <v>5</v>
      </c>
      <c r="B375" s="553">
        <v>3</v>
      </c>
      <c r="C375" s="553">
        <v>2</v>
      </c>
      <c r="D375" s="553">
        <v>1</v>
      </c>
      <c r="E375" s="553">
        <v>1</v>
      </c>
      <c r="F375" s="553">
        <v>2</v>
      </c>
      <c r="G375" s="553" t="s">
        <v>486</v>
      </c>
      <c r="H375" s="553">
        <v>1362.155</v>
      </c>
      <c r="I375" s="553">
        <v>1</v>
      </c>
      <c r="J375" s="553">
        <v>20</v>
      </c>
      <c r="K375" s="553">
        <v>55</v>
      </c>
      <c r="L375" s="553">
        <v>1</v>
      </c>
      <c r="M375" s="505" t="s">
        <v>312</v>
      </c>
      <c r="N375" s="500">
        <v>43047560090000</v>
      </c>
      <c r="O375" s="553" t="s">
        <v>969</v>
      </c>
      <c r="P375" s="650" t="s">
        <v>974</v>
      </c>
      <c r="Q375" s="564" t="s">
        <v>583</v>
      </c>
      <c r="R375" s="564">
        <v>2</v>
      </c>
    </row>
    <row r="376" spans="1:18" ht="15" customHeight="1" x14ac:dyDescent="0.25">
      <c r="A376" s="553">
        <v>5</v>
      </c>
      <c r="B376" s="553">
        <v>3</v>
      </c>
      <c r="C376" s="553">
        <v>2</v>
      </c>
      <c r="D376" s="553">
        <v>1</v>
      </c>
      <c r="E376" s="553">
        <v>1</v>
      </c>
      <c r="F376" s="553">
        <v>2</v>
      </c>
      <c r="G376" s="502" t="s">
        <v>488</v>
      </c>
      <c r="H376" s="553">
        <v>1362.155</v>
      </c>
      <c r="I376" s="553">
        <v>1</v>
      </c>
      <c r="J376" s="553">
        <v>20</v>
      </c>
      <c r="K376" s="553">
        <v>55</v>
      </c>
      <c r="L376" s="553">
        <v>1</v>
      </c>
      <c r="M376" s="505" t="s">
        <v>312</v>
      </c>
      <c r="N376" s="500">
        <v>43047560090000</v>
      </c>
      <c r="O376" s="553" t="s">
        <v>969</v>
      </c>
      <c r="P376" s="650" t="s">
        <v>975</v>
      </c>
      <c r="Q376" s="564" t="s">
        <v>583</v>
      </c>
      <c r="R376" s="564">
        <v>2</v>
      </c>
    </row>
    <row r="377" spans="1:18" ht="15" customHeight="1" x14ac:dyDescent="0.25">
      <c r="A377" s="553">
        <v>5</v>
      </c>
      <c r="B377" s="553">
        <v>3</v>
      </c>
      <c r="C377" s="553">
        <v>2</v>
      </c>
      <c r="D377" s="553">
        <v>1</v>
      </c>
      <c r="E377" s="553">
        <v>1</v>
      </c>
      <c r="F377" s="553">
        <v>2</v>
      </c>
      <c r="G377" s="553" t="s">
        <v>490</v>
      </c>
      <c r="H377" s="553">
        <v>1324.835</v>
      </c>
      <c r="I377" s="553">
        <v>0</v>
      </c>
      <c r="J377" s="553">
        <v>31</v>
      </c>
      <c r="K377" s="553">
        <v>4</v>
      </c>
      <c r="L377" s="553">
        <v>4</v>
      </c>
      <c r="M377" s="505" t="s">
        <v>312</v>
      </c>
      <c r="N377" s="500">
        <v>43047560090000</v>
      </c>
      <c r="O377" s="553" t="s">
        <v>969</v>
      </c>
      <c r="P377" s="650" t="s">
        <v>976</v>
      </c>
      <c r="Q377" s="564" t="s">
        <v>583</v>
      </c>
      <c r="R377" s="564">
        <v>2</v>
      </c>
    </row>
    <row r="378" spans="1:18" ht="15" customHeight="1" x14ac:dyDescent="0.25">
      <c r="A378" s="553">
        <v>5</v>
      </c>
      <c r="B378" s="553">
        <v>3</v>
      </c>
      <c r="C378" s="553">
        <v>2</v>
      </c>
      <c r="D378" s="553">
        <v>1</v>
      </c>
      <c r="E378" s="553">
        <v>1</v>
      </c>
      <c r="F378" s="553">
        <v>2</v>
      </c>
      <c r="G378" s="553" t="s">
        <v>493</v>
      </c>
      <c r="H378" s="553">
        <v>1324.835</v>
      </c>
      <c r="I378" s="553">
        <v>0</v>
      </c>
      <c r="J378" s="553">
        <v>31</v>
      </c>
      <c r="K378" s="553">
        <v>4</v>
      </c>
      <c r="L378" s="553">
        <v>4</v>
      </c>
      <c r="M378" s="505" t="s">
        <v>312</v>
      </c>
      <c r="N378" s="500">
        <v>43047560090000</v>
      </c>
      <c r="O378" s="553" t="s">
        <v>969</v>
      </c>
      <c r="P378" s="650" t="s">
        <v>977</v>
      </c>
      <c r="Q378" s="564" t="s">
        <v>583</v>
      </c>
      <c r="R378" s="564">
        <v>2</v>
      </c>
    </row>
    <row r="379" spans="1:18" ht="15" customHeight="1" x14ac:dyDescent="0.25">
      <c r="A379" s="553">
        <v>5</v>
      </c>
      <c r="B379" s="553">
        <v>3</v>
      </c>
      <c r="C379" s="553">
        <v>2</v>
      </c>
      <c r="D379" s="553">
        <v>1</v>
      </c>
      <c r="E379" s="553">
        <v>1</v>
      </c>
      <c r="F379" s="553">
        <v>2</v>
      </c>
      <c r="G379" s="553" t="s">
        <v>474</v>
      </c>
      <c r="H379" s="553">
        <v>1230.08</v>
      </c>
      <c r="I379" s="553">
        <v>89</v>
      </c>
      <c r="J379" s="553">
        <v>13</v>
      </c>
      <c r="K379" s="553">
        <v>24</v>
      </c>
      <c r="L379" s="553">
        <v>2</v>
      </c>
      <c r="M379" s="505" t="s">
        <v>312</v>
      </c>
      <c r="N379" s="500">
        <v>43047560090000</v>
      </c>
      <c r="O379" s="553" t="s">
        <v>969</v>
      </c>
      <c r="P379" s="650" t="s">
        <v>978</v>
      </c>
      <c r="Q379" s="564" t="s">
        <v>583</v>
      </c>
      <c r="R379" s="564">
        <v>2</v>
      </c>
    </row>
    <row r="380" spans="1:18" ht="15" customHeight="1" x14ac:dyDescent="0.25">
      <c r="A380" s="553">
        <v>5</v>
      </c>
      <c r="B380" s="553">
        <v>3</v>
      </c>
      <c r="C380" s="553">
        <v>2</v>
      </c>
      <c r="D380" s="553">
        <v>1</v>
      </c>
      <c r="E380" s="553">
        <v>1</v>
      </c>
      <c r="F380" s="553">
        <v>2</v>
      </c>
      <c r="G380" s="502" t="s">
        <v>477</v>
      </c>
      <c r="H380" s="553">
        <v>1318.89</v>
      </c>
      <c r="I380" s="553">
        <v>89</v>
      </c>
      <c r="J380" s="553">
        <v>13</v>
      </c>
      <c r="K380" s="553">
        <v>0</v>
      </c>
      <c r="L380" s="553">
        <v>2</v>
      </c>
      <c r="M380" s="505" t="s">
        <v>312</v>
      </c>
      <c r="N380" s="500">
        <v>43047560090000</v>
      </c>
      <c r="O380" s="553" t="s">
        <v>969</v>
      </c>
      <c r="P380" s="650" t="s">
        <v>979</v>
      </c>
      <c r="Q380" s="564" t="s">
        <v>583</v>
      </c>
      <c r="R380" s="564">
        <v>2</v>
      </c>
    </row>
    <row r="381" spans="1:18" ht="15" customHeight="1" x14ac:dyDescent="0.25">
      <c r="A381" s="553">
        <v>5</v>
      </c>
      <c r="B381" s="553">
        <v>3</v>
      </c>
      <c r="C381" s="553">
        <v>2</v>
      </c>
      <c r="D381" s="553">
        <v>1</v>
      </c>
      <c r="E381" s="553">
        <v>1</v>
      </c>
      <c r="F381" s="553">
        <v>2</v>
      </c>
      <c r="G381" s="553" t="s">
        <v>479</v>
      </c>
      <c r="H381" s="553">
        <v>1318.4749999999999</v>
      </c>
      <c r="I381" s="553">
        <v>89</v>
      </c>
      <c r="J381" s="553">
        <v>20</v>
      </c>
      <c r="K381" s="553">
        <v>27</v>
      </c>
      <c r="L381" s="553">
        <v>2</v>
      </c>
      <c r="M381" s="505" t="s">
        <v>312</v>
      </c>
      <c r="N381" s="500">
        <v>43047560090000</v>
      </c>
      <c r="O381" s="553" t="s">
        <v>969</v>
      </c>
      <c r="P381" s="650" t="s">
        <v>980</v>
      </c>
      <c r="Q381" s="564" t="s">
        <v>583</v>
      </c>
      <c r="R381" s="564">
        <v>2</v>
      </c>
    </row>
    <row r="382" spans="1:18" ht="15" customHeight="1" x14ac:dyDescent="0.25">
      <c r="A382" s="553">
        <v>5</v>
      </c>
      <c r="B382" s="553">
        <v>3</v>
      </c>
      <c r="C382" s="553">
        <v>2</v>
      </c>
      <c r="D382" s="553">
        <v>1</v>
      </c>
      <c r="E382" s="553">
        <v>1</v>
      </c>
      <c r="F382" s="553">
        <v>2</v>
      </c>
      <c r="G382" s="553" t="s">
        <v>485</v>
      </c>
      <c r="H382" s="553">
        <v>1318.4749999999999</v>
      </c>
      <c r="I382" s="553">
        <v>89</v>
      </c>
      <c r="J382" s="553">
        <v>20</v>
      </c>
      <c r="K382" s="553">
        <v>27</v>
      </c>
      <c r="L382" s="553">
        <v>2</v>
      </c>
      <c r="M382" s="505" t="s">
        <v>312</v>
      </c>
      <c r="N382" s="500">
        <v>43047560090000</v>
      </c>
      <c r="O382" s="553" t="s">
        <v>969</v>
      </c>
      <c r="P382" s="650" t="s">
        <v>981</v>
      </c>
      <c r="Q382" s="564" t="s">
        <v>583</v>
      </c>
      <c r="R382" s="564">
        <v>2</v>
      </c>
    </row>
    <row r="383" spans="1:18" ht="15" customHeight="1" x14ac:dyDescent="0.25">
      <c r="A383" s="553">
        <v>5</v>
      </c>
      <c r="B383" s="553">
        <v>3</v>
      </c>
      <c r="C383" s="553">
        <v>2</v>
      </c>
      <c r="D383" s="553">
        <v>1</v>
      </c>
      <c r="E383" s="553">
        <v>1</v>
      </c>
      <c r="F383" s="553">
        <v>2</v>
      </c>
      <c r="G383" s="553" t="s">
        <v>487</v>
      </c>
      <c r="H383" s="553">
        <v>1314.84</v>
      </c>
      <c r="I383" s="553">
        <v>89</v>
      </c>
      <c r="J383" s="553">
        <v>8</v>
      </c>
      <c r="K383" s="553">
        <v>16</v>
      </c>
      <c r="L383" s="553">
        <v>2</v>
      </c>
      <c r="M383" s="505" t="s">
        <v>312</v>
      </c>
      <c r="N383" s="500">
        <v>43047560090000</v>
      </c>
      <c r="O383" s="553" t="s">
        <v>969</v>
      </c>
      <c r="P383" s="650" t="s">
        <v>982</v>
      </c>
      <c r="Q383" s="564" t="s">
        <v>583</v>
      </c>
      <c r="R383" s="564">
        <v>2</v>
      </c>
    </row>
    <row r="384" spans="1:18" ht="15" customHeight="1" x14ac:dyDescent="0.25">
      <c r="A384" s="553">
        <v>5</v>
      </c>
      <c r="B384" s="553">
        <v>3</v>
      </c>
      <c r="C384" s="553">
        <v>2</v>
      </c>
      <c r="D384" s="553">
        <v>1</v>
      </c>
      <c r="E384" s="553">
        <v>1</v>
      </c>
      <c r="F384" s="553">
        <v>2</v>
      </c>
      <c r="G384" s="502" t="s">
        <v>489</v>
      </c>
      <c r="H384" s="553">
        <v>1314.84</v>
      </c>
      <c r="I384" s="553">
        <v>89</v>
      </c>
      <c r="J384" s="553">
        <v>8</v>
      </c>
      <c r="K384" s="553">
        <v>16</v>
      </c>
      <c r="L384" s="553">
        <v>2</v>
      </c>
      <c r="M384" s="505" t="s">
        <v>312</v>
      </c>
      <c r="N384" s="500">
        <v>43047560090000</v>
      </c>
      <c r="O384" s="553" t="s">
        <v>969</v>
      </c>
      <c r="P384" s="650" t="s">
        <v>983</v>
      </c>
      <c r="Q384" s="564" t="s">
        <v>583</v>
      </c>
      <c r="R384" s="564">
        <v>2</v>
      </c>
    </row>
    <row r="385" spans="1:18" ht="15" customHeight="1" x14ac:dyDescent="0.25">
      <c r="A385" s="553">
        <v>5</v>
      </c>
      <c r="B385" s="553">
        <v>3</v>
      </c>
      <c r="C385" s="553">
        <v>2</v>
      </c>
      <c r="D385" s="553">
        <v>1</v>
      </c>
      <c r="E385" s="553">
        <v>1</v>
      </c>
      <c r="F385" s="553">
        <v>2</v>
      </c>
      <c r="G385" s="553" t="s">
        <v>491</v>
      </c>
      <c r="H385" s="553">
        <v>1314.9549999999999</v>
      </c>
      <c r="I385" s="553">
        <v>89</v>
      </c>
      <c r="J385" s="553">
        <v>8</v>
      </c>
      <c r="K385" s="553">
        <v>9</v>
      </c>
      <c r="L385" s="553">
        <v>2</v>
      </c>
      <c r="M385" s="505" t="s">
        <v>312</v>
      </c>
      <c r="N385" s="500">
        <v>43047560090000</v>
      </c>
      <c r="O385" s="553" t="s">
        <v>969</v>
      </c>
      <c r="P385" s="650" t="s">
        <v>984</v>
      </c>
      <c r="Q385" s="564" t="s">
        <v>583</v>
      </c>
      <c r="R385" s="564">
        <v>2</v>
      </c>
    </row>
    <row r="386" spans="1:18" ht="15" customHeight="1" x14ac:dyDescent="0.25">
      <c r="A386" s="553">
        <v>5</v>
      </c>
      <c r="B386" s="553">
        <v>3</v>
      </c>
      <c r="C386" s="553">
        <v>2</v>
      </c>
      <c r="D386" s="553">
        <v>1</v>
      </c>
      <c r="E386" s="553">
        <v>1</v>
      </c>
      <c r="F386" s="553">
        <v>2</v>
      </c>
      <c r="G386" s="553" t="s">
        <v>494</v>
      </c>
      <c r="H386" s="553">
        <v>1314.9549999999999</v>
      </c>
      <c r="I386" s="553">
        <v>89</v>
      </c>
      <c r="J386" s="553">
        <v>8</v>
      </c>
      <c r="K386" s="553">
        <v>9</v>
      </c>
      <c r="L386" s="553">
        <v>2</v>
      </c>
      <c r="M386" s="505" t="s">
        <v>312</v>
      </c>
      <c r="N386" s="500">
        <v>43047560090000</v>
      </c>
      <c r="O386" s="553" t="s">
        <v>969</v>
      </c>
      <c r="P386" s="650" t="s">
        <v>985</v>
      </c>
      <c r="Q386" s="564" t="s">
        <v>583</v>
      </c>
      <c r="R386" s="564">
        <v>2</v>
      </c>
    </row>
    <row r="387" spans="1:18" ht="15" customHeight="1" x14ac:dyDescent="0.25">
      <c r="A387" s="553">
        <v>5</v>
      </c>
      <c r="B387" s="553">
        <v>3</v>
      </c>
      <c r="C387" s="553">
        <v>2</v>
      </c>
      <c r="D387" s="553">
        <v>4</v>
      </c>
      <c r="E387" s="553">
        <v>2</v>
      </c>
      <c r="F387" s="553">
        <v>2</v>
      </c>
      <c r="G387" s="553" t="s">
        <v>473</v>
      </c>
      <c r="H387" s="553">
        <v>1321.75</v>
      </c>
      <c r="I387" s="553">
        <v>0</v>
      </c>
      <c r="J387" s="553">
        <v>0</v>
      </c>
      <c r="K387" s="553">
        <v>0</v>
      </c>
      <c r="L387" s="553">
        <v>0</v>
      </c>
      <c r="M387" s="505"/>
      <c r="N387" s="500"/>
      <c r="O387" s="553"/>
      <c r="P387" s="650" t="s">
        <v>986</v>
      </c>
      <c r="Q387" s="564" t="s">
        <v>583</v>
      </c>
      <c r="R387" s="564">
        <v>1</v>
      </c>
    </row>
    <row r="388" spans="1:18" ht="15" customHeight="1" x14ac:dyDescent="0.25">
      <c r="A388" s="553">
        <v>5</v>
      </c>
      <c r="B388" s="553">
        <v>3</v>
      </c>
      <c r="C388" s="553">
        <v>2</v>
      </c>
      <c r="D388" s="553">
        <v>4</v>
      </c>
      <c r="E388" s="553">
        <v>2</v>
      </c>
      <c r="F388" s="553">
        <v>2</v>
      </c>
      <c r="G388" s="502" t="s">
        <v>476</v>
      </c>
      <c r="H388" s="553">
        <v>1321.75</v>
      </c>
      <c r="I388" s="553">
        <v>0</v>
      </c>
      <c r="J388" s="553">
        <v>0</v>
      </c>
      <c r="K388" s="553">
        <v>0</v>
      </c>
      <c r="L388" s="553">
        <v>0</v>
      </c>
      <c r="M388" s="505"/>
      <c r="N388" s="500"/>
      <c r="O388" s="553"/>
      <c r="P388" s="650" t="s">
        <v>987</v>
      </c>
      <c r="Q388" s="564" t="s">
        <v>583</v>
      </c>
      <c r="R388" s="564">
        <v>1</v>
      </c>
    </row>
    <row r="389" spans="1:18" ht="15" customHeight="1" x14ac:dyDescent="0.25">
      <c r="A389" s="553">
        <v>5</v>
      </c>
      <c r="B389" s="553">
        <v>3</v>
      </c>
      <c r="C389" s="553">
        <v>2</v>
      </c>
      <c r="D389" s="553">
        <v>4</v>
      </c>
      <c r="E389" s="553">
        <v>2</v>
      </c>
      <c r="F389" s="553">
        <v>2</v>
      </c>
      <c r="G389" s="553" t="s">
        <v>478</v>
      </c>
      <c r="H389" s="553">
        <v>1314.04</v>
      </c>
      <c r="I389" s="553">
        <v>0</v>
      </c>
      <c r="J389" s="553">
        <v>0</v>
      </c>
      <c r="K389" s="553">
        <v>0</v>
      </c>
      <c r="L389" s="553">
        <v>0</v>
      </c>
      <c r="M389" s="505"/>
      <c r="N389" s="500"/>
      <c r="O389" s="553"/>
      <c r="P389" s="650" t="s">
        <v>988</v>
      </c>
      <c r="Q389" s="564" t="s">
        <v>583</v>
      </c>
      <c r="R389" s="564">
        <v>1</v>
      </c>
    </row>
    <row r="390" spans="1:18" ht="15" customHeight="1" x14ac:dyDescent="0.25">
      <c r="A390" s="553">
        <v>5</v>
      </c>
      <c r="B390" s="553">
        <v>3</v>
      </c>
      <c r="C390" s="553">
        <v>2</v>
      </c>
      <c r="D390" s="553">
        <v>4</v>
      </c>
      <c r="E390" s="553">
        <v>2</v>
      </c>
      <c r="F390" s="553">
        <v>2</v>
      </c>
      <c r="G390" s="553" t="s">
        <v>484</v>
      </c>
      <c r="H390" s="553">
        <v>1314.04</v>
      </c>
      <c r="I390" s="553">
        <v>0</v>
      </c>
      <c r="J390" s="553">
        <v>0</v>
      </c>
      <c r="K390" s="553">
        <v>0</v>
      </c>
      <c r="L390" s="553">
        <v>0</v>
      </c>
      <c r="M390" s="505"/>
      <c r="N390" s="500"/>
      <c r="O390" s="553"/>
      <c r="P390" s="650" t="s">
        <v>989</v>
      </c>
      <c r="Q390" s="564" t="s">
        <v>583</v>
      </c>
      <c r="R390" s="564">
        <v>1</v>
      </c>
    </row>
    <row r="391" spans="1:18" ht="15" customHeight="1" x14ac:dyDescent="0.25">
      <c r="A391" s="553">
        <v>5</v>
      </c>
      <c r="B391" s="553">
        <v>3</v>
      </c>
      <c r="C391" s="553">
        <v>2</v>
      </c>
      <c r="D391" s="553">
        <v>4</v>
      </c>
      <c r="E391" s="553">
        <v>2</v>
      </c>
      <c r="F391" s="553">
        <v>2</v>
      </c>
      <c r="G391" s="553" t="s">
        <v>486</v>
      </c>
      <c r="H391" s="553">
        <v>1325.91</v>
      </c>
      <c r="I391" s="553">
        <v>0</v>
      </c>
      <c r="J391" s="553">
        <v>19</v>
      </c>
      <c r="K391" s="553">
        <v>24</v>
      </c>
      <c r="L391" s="553">
        <v>4</v>
      </c>
      <c r="M391" s="505"/>
      <c r="N391" s="500"/>
      <c r="O391" s="553"/>
      <c r="P391" s="650" t="s">
        <v>990</v>
      </c>
      <c r="Q391" s="564" t="s">
        <v>583</v>
      </c>
      <c r="R391" s="564">
        <v>1</v>
      </c>
    </row>
    <row r="392" spans="1:18" ht="15" customHeight="1" x14ac:dyDescent="0.25">
      <c r="A392" s="553">
        <v>5</v>
      </c>
      <c r="B392" s="553">
        <v>3</v>
      </c>
      <c r="C392" s="553">
        <v>2</v>
      </c>
      <c r="D392" s="553">
        <v>4</v>
      </c>
      <c r="E392" s="553">
        <v>2</v>
      </c>
      <c r="F392" s="553">
        <v>2</v>
      </c>
      <c r="G392" s="502" t="s">
        <v>488</v>
      </c>
      <c r="H392" s="553">
        <v>1325.91</v>
      </c>
      <c r="I392" s="553">
        <v>0</v>
      </c>
      <c r="J392" s="553">
        <v>19</v>
      </c>
      <c r="K392" s="553">
        <v>24</v>
      </c>
      <c r="L392" s="553">
        <v>4</v>
      </c>
      <c r="M392" s="505"/>
      <c r="N392" s="500"/>
      <c r="O392" s="553"/>
      <c r="P392" s="650" t="s">
        <v>991</v>
      </c>
      <c r="Q392" s="564" t="s">
        <v>583</v>
      </c>
      <c r="R392" s="564">
        <v>1</v>
      </c>
    </row>
    <row r="393" spans="1:18" ht="15" customHeight="1" x14ac:dyDescent="0.25">
      <c r="A393" s="553">
        <v>5</v>
      </c>
      <c r="B393" s="553">
        <v>3</v>
      </c>
      <c r="C393" s="553">
        <v>2</v>
      </c>
      <c r="D393" s="553">
        <v>4</v>
      </c>
      <c r="E393" s="553">
        <v>2</v>
      </c>
      <c r="F393" s="553">
        <v>2</v>
      </c>
      <c r="G393" s="553" t="s">
        <v>490</v>
      </c>
      <c r="H393" s="553">
        <v>1311.365</v>
      </c>
      <c r="I393" s="553">
        <v>0</v>
      </c>
      <c r="J393" s="553">
        <v>21</v>
      </c>
      <c r="K393" s="553">
        <v>50</v>
      </c>
      <c r="L393" s="553">
        <v>4</v>
      </c>
      <c r="M393" s="505"/>
      <c r="N393" s="500"/>
      <c r="O393" s="553"/>
      <c r="P393" s="650" t="s">
        <v>992</v>
      </c>
      <c r="Q393" s="564" t="s">
        <v>583</v>
      </c>
      <c r="R393" s="564">
        <v>1</v>
      </c>
    </row>
    <row r="394" spans="1:18" ht="15" customHeight="1" x14ac:dyDescent="0.25">
      <c r="A394" s="553">
        <v>5</v>
      </c>
      <c r="B394" s="553">
        <v>3</v>
      </c>
      <c r="C394" s="553">
        <v>2</v>
      </c>
      <c r="D394" s="553">
        <v>4</v>
      </c>
      <c r="E394" s="553">
        <v>2</v>
      </c>
      <c r="F394" s="553">
        <v>2</v>
      </c>
      <c r="G394" s="553" t="s">
        <v>493</v>
      </c>
      <c r="H394" s="553">
        <v>1311.365</v>
      </c>
      <c r="I394" s="553">
        <v>0</v>
      </c>
      <c r="J394" s="553">
        <v>21</v>
      </c>
      <c r="K394" s="553">
        <v>50</v>
      </c>
      <c r="L394" s="553">
        <v>4</v>
      </c>
      <c r="M394" s="505"/>
      <c r="N394" s="500"/>
      <c r="O394" s="553"/>
      <c r="P394" s="650" t="s">
        <v>993</v>
      </c>
      <c r="Q394" s="564" t="s">
        <v>583</v>
      </c>
      <c r="R394" s="564">
        <v>1</v>
      </c>
    </row>
    <row r="395" spans="1:18" ht="15" customHeight="1" x14ac:dyDescent="0.25">
      <c r="A395" s="553">
        <v>5</v>
      </c>
      <c r="B395" s="553">
        <v>3</v>
      </c>
      <c r="C395" s="553">
        <v>2</v>
      </c>
      <c r="D395" s="553">
        <v>4</v>
      </c>
      <c r="E395" s="553">
        <v>2</v>
      </c>
      <c r="F395" s="553">
        <v>2</v>
      </c>
      <c r="G395" s="553" t="s">
        <v>474</v>
      </c>
      <c r="H395" s="553">
        <v>1333.4849999999999</v>
      </c>
      <c r="I395" s="553">
        <v>89</v>
      </c>
      <c r="J395" s="553">
        <v>36</v>
      </c>
      <c r="K395" s="553">
        <v>30</v>
      </c>
      <c r="L395" s="553">
        <v>2</v>
      </c>
      <c r="M395" s="505"/>
      <c r="N395" s="500"/>
      <c r="O395" s="553"/>
      <c r="P395" s="650" t="s">
        <v>994</v>
      </c>
      <c r="Q395" s="564" t="s">
        <v>583</v>
      </c>
      <c r="R395" s="564">
        <v>1</v>
      </c>
    </row>
    <row r="396" spans="1:18" ht="15" customHeight="1" x14ac:dyDescent="0.25">
      <c r="A396" s="553">
        <v>5</v>
      </c>
      <c r="B396" s="553">
        <v>3</v>
      </c>
      <c r="C396" s="553">
        <v>2</v>
      </c>
      <c r="D396" s="553">
        <v>4</v>
      </c>
      <c r="E396" s="553">
        <v>2</v>
      </c>
      <c r="F396" s="553">
        <v>2</v>
      </c>
      <c r="G396" s="502" t="s">
        <v>477</v>
      </c>
      <c r="H396" s="553">
        <v>1333.4849999999999</v>
      </c>
      <c r="I396" s="553">
        <v>89</v>
      </c>
      <c r="J396" s="553">
        <v>36</v>
      </c>
      <c r="K396" s="553">
        <v>30</v>
      </c>
      <c r="L396" s="553">
        <v>2</v>
      </c>
      <c r="M396" s="505"/>
      <c r="N396" s="500"/>
      <c r="O396" s="553"/>
      <c r="P396" s="650" t="s">
        <v>995</v>
      </c>
      <c r="Q396" s="564" t="s">
        <v>583</v>
      </c>
      <c r="R396" s="564">
        <v>1</v>
      </c>
    </row>
    <row r="397" spans="1:18" ht="15" customHeight="1" x14ac:dyDescent="0.25">
      <c r="A397" s="553">
        <v>5</v>
      </c>
      <c r="B397" s="553">
        <v>3</v>
      </c>
      <c r="C397" s="553">
        <v>2</v>
      </c>
      <c r="D397" s="553">
        <v>4</v>
      </c>
      <c r="E397" s="553">
        <v>2</v>
      </c>
      <c r="F397" s="553">
        <v>2</v>
      </c>
      <c r="G397" s="553" t="s">
        <v>479</v>
      </c>
      <c r="H397" s="553">
        <v>1333.4</v>
      </c>
      <c r="I397" s="553">
        <v>89</v>
      </c>
      <c r="J397" s="553">
        <v>11</v>
      </c>
      <c r="K397" s="553">
        <v>19</v>
      </c>
      <c r="L397" s="553">
        <v>2</v>
      </c>
      <c r="M397" s="505"/>
      <c r="N397" s="500"/>
      <c r="O397" s="553"/>
      <c r="P397" s="650" t="s">
        <v>996</v>
      </c>
      <c r="Q397" s="564" t="s">
        <v>583</v>
      </c>
      <c r="R397" s="564">
        <v>1</v>
      </c>
    </row>
    <row r="398" spans="1:18" ht="15" customHeight="1" x14ac:dyDescent="0.25">
      <c r="A398" s="553">
        <v>5</v>
      </c>
      <c r="B398" s="553">
        <v>3</v>
      </c>
      <c r="C398" s="553">
        <v>2</v>
      </c>
      <c r="D398" s="553">
        <v>4</v>
      </c>
      <c r="E398" s="553">
        <v>2</v>
      </c>
      <c r="F398" s="553">
        <v>2</v>
      </c>
      <c r="G398" s="553" t="s">
        <v>485</v>
      </c>
      <c r="H398" s="553">
        <v>1333.4</v>
      </c>
      <c r="I398" s="553">
        <v>89</v>
      </c>
      <c r="J398" s="553">
        <v>11</v>
      </c>
      <c r="K398" s="553">
        <v>19</v>
      </c>
      <c r="L398" s="553">
        <v>2</v>
      </c>
      <c r="M398" s="505"/>
      <c r="N398" s="500"/>
      <c r="O398" s="553"/>
      <c r="P398" s="650" t="s">
        <v>997</v>
      </c>
      <c r="Q398" s="564" t="s">
        <v>583</v>
      </c>
      <c r="R398" s="564">
        <v>1</v>
      </c>
    </row>
    <row r="399" spans="1:18" ht="15" customHeight="1" x14ac:dyDescent="0.25">
      <c r="A399" s="553">
        <v>5</v>
      </c>
      <c r="B399" s="553">
        <v>3</v>
      </c>
      <c r="C399" s="553">
        <v>2</v>
      </c>
      <c r="D399" s="553">
        <v>4</v>
      </c>
      <c r="E399" s="553">
        <v>2</v>
      </c>
      <c r="F399" s="553">
        <v>2</v>
      </c>
      <c r="G399" s="553" t="s">
        <v>487</v>
      </c>
      <c r="H399" s="553">
        <v>1335.375</v>
      </c>
      <c r="I399" s="553">
        <v>89</v>
      </c>
      <c r="J399" s="553">
        <v>24</v>
      </c>
      <c r="K399" s="553">
        <v>38</v>
      </c>
      <c r="L399" s="553">
        <v>4</v>
      </c>
      <c r="M399" s="505"/>
      <c r="N399" s="500"/>
      <c r="O399" s="553"/>
      <c r="P399" s="650" t="s">
        <v>998</v>
      </c>
      <c r="Q399" s="564" t="s">
        <v>583</v>
      </c>
      <c r="R399" s="564">
        <v>1</v>
      </c>
    </row>
    <row r="400" spans="1:18" ht="15" customHeight="1" x14ac:dyDescent="0.25">
      <c r="A400" s="553">
        <v>5</v>
      </c>
      <c r="B400" s="553">
        <v>3</v>
      </c>
      <c r="C400" s="553">
        <v>2</v>
      </c>
      <c r="D400" s="553">
        <v>4</v>
      </c>
      <c r="E400" s="553">
        <v>2</v>
      </c>
      <c r="F400" s="553">
        <v>2</v>
      </c>
      <c r="G400" s="502" t="s">
        <v>489</v>
      </c>
      <c r="H400" s="553">
        <v>1335.375</v>
      </c>
      <c r="I400" s="553">
        <v>89</v>
      </c>
      <c r="J400" s="553">
        <v>24</v>
      </c>
      <c r="K400" s="553">
        <v>38</v>
      </c>
      <c r="L400" s="553">
        <v>4</v>
      </c>
      <c r="M400" s="505"/>
      <c r="N400" s="500"/>
      <c r="O400" s="553"/>
      <c r="P400" s="650" t="s">
        <v>999</v>
      </c>
      <c r="Q400" s="564" t="s">
        <v>583</v>
      </c>
      <c r="R400" s="564">
        <v>1</v>
      </c>
    </row>
    <row r="401" spans="1:20" ht="15" customHeight="1" x14ac:dyDescent="0.25">
      <c r="A401" s="553">
        <v>5</v>
      </c>
      <c r="B401" s="553">
        <v>3</v>
      </c>
      <c r="C401" s="553">
        <v>2</v>
      </c>
      <c r="D401" s="553">
        <v>4</v>
      </c>
      <c r="E401" s="553">
        <v>2</v>
      </c>
      <c r="F401" s="553">
        <v>2</v>
      </c>
      <c r="G401" s="553" t="s">
        <v>491</v>
      </c>
      <c r="H401" s="553">
        <v>1332.4349999999999</v>
      </c>
      <c r="I401" s="553">
        <v>89</v>
      </c>
      <c r="J401" s="553">
        <v>27</v>
      </c>
      <c r="K401" s="553">
        <v>2</v>
      </c>
      <c r="L401" s="553">
        <v>2</v>
      </c>
      <c r="M401" s="505"/>
      <c r="N401" s="500"/>
      <c r="O401" s="553"/>
      <c r="P401" s="650" t="s">
        <v>1000</v>
      </c>
      <c r="Q401" s="564" t="s">
        <v>583</v>
      </c>
      <c r="R401" s="564">
        <v>1</v>
      </c>
    </row>
    <row r="402" spans="1:20" ht="15" customHeight="1" x14ac:dyDescent="0.25">
      <c r="A402" s="553">
        <v>5</v>
      </c>
      <c r="B402" s="553">
        <v>3</v>
      </c>
      <c r="C402" s="553">
        <v>2</v>
      </c>
      <c r="D402" s="553">
        <v>4</v>
      </c>
      <c r="E402" s="553">
        <v>2</v>
      </c>
      <c r="F402" s="553">
        <v>2</v>
      </c>
      <c r="G402" s="553" t="s">
        <v>494</v>
      </c>
      <c r="H402" s="553">
        <v>1332.4349999999999</v>
      </c>
      <c r="I402" s="553">
        <v>89</v>
      </c>
      <c r="J402" s="553">
        <v>27</v>
      </c>
      <c r="K402" s="553">
        <v>2</v>
      </c>
      <c r="L402" s="553">
        <v>2</v>
      </c>
      <c r="M402" s="505"/>
      <c r="N402" s="500"/>
      <c r="O402" s="553"/>
      <c r="P402" s="650" t="s">
        <v>1001</v>
      </c>
      <c r="Q402" s="564" t="s">
        <v>583</v>
      </c>
      <c r="R402" s="564">
        <v>1</v>
      </c>
    </row>
    <row r="403" spans="1:20" s="484" customFormat="1" ht="15" customHeight="1" x14ac:dyDescent="0.25">
      <c r="A403" s="564">
        <v>5</v>
      </c>
      <c r="B403" s="564">
        <v>2</v>
      </c>
      <c r="C403" s="564">
        <v>2</v>
      </c>
      <c r="D403" s="564">
        <v>1</v>
      </c>
      <c r="E403" s="564">
        <v>2</v>
      </c>
      <c r="F403" s="564">
        <v>2</v>
      </c>
      <c r="G403" s="564" t="s">
        <v>473</v>
      </c>
      <c r="H403" s="564">
        <v>1318.1624999999999</v>
      </c>
      <c r="I403" s="564">
        <v>0</v>
      </c>
      <c r="J403" s="564">
        <v>0</v>
      </c>
      <c r="K403" s="564">
        <v>53</v>
      </c>
      <c r="L403" s="564">
        <v>4</v>
      </c>
      <c r="M403" s="561" t="s">
        <v>137</v>
      </c>
      <c r="N403" s="520">
        <v>43013538800000</v>
      </c>
      <c r="O403" s="564" t="s">
        <v>1002</v>
      </c>
      <c r="P403" s="564" t="s">
        <v>1003</v>
      </c>
      <c r="Q403" s="564"/>
      <c r="R403" s="564">
        <v>2</v>
      </c>
      <c r="S403" s="555"/>
      <c r="T403" s="555"/>
    </row>
    <row r="404" spans="1:20" s="484" customFormat="1" ht="15" customHeight="1" x14ac:dyDescent="0.25">
      <c r="A404" s="564">
        <v>5</v>
      </c>
      <c r="B404" s="564">
        <v>2</v>
      </c>
      <c r="C404" s="564">
        <v>2</v>
      </c>
      <c r="D404" s="564">
        <v>1</v>
      </c>
      <c r="E404" s="564">
        <v>2</v>
      </c>
      <c r="F404" s="564">
        <v>2</v>
      </c>
      <c r="G404" s="521" t="s">
        <v>476</v>
      </c>
      <c r="H404" s="564">
        <v>1318.1624999999999</v>
      </c>
      <c r="I404" s="564">
        <v>0</v>
      </c>
      <c r="J404" s="564">
        <v>0</v>
      </c>
      <c r="K404" s="564">
        <v>53</v>
      </c>
      <c r="L404" s="564">
        <v>4</v>
      </c>
      <c r="M404" s="561" t="s">
        <v>137</v>
      </c>
      <c r="N404" s="520">
        <v>43013538800001</v>
      </c>
      <c r="O404" s="564" t="s">
        <v>1004</v>
      </c>
      <c r="P404" s="564" t="s">
        <v>1005</v>
      </c>
      <c r="Q404" s="564"/>
      <c r="R404" s="564">
        <v>2</v>
      </c>
      <c r="S404" s="555"/>
      <c r="T404" s="555"/>
    </row>
    <row r="405" spans="1:20" s="484" customFormat="1" ht="15" customHeight="1" x14ac:dyDescent="0.25">
      <c r="A405" s="564">
        <v>5</v>
      </c>
      <c r="B405" s="564">
        <v>2</v>
      </c>
      <c r="C405" s="564">
        <v>2</v>
      </c>
      <c r="D405" s="564">
        <v>1</v>
      </c>
      <c r="E405" s="564">
        <v>2</v>
      </c>
      <c r="F405" s="564">
        <v>2</v>
      </c>
      <c r="G405" s="564" t="s">
        <v>478</v>
      </c>
      <c r="H405" s="564">
        <v>1318.1624999999999</v>
      </c>
      <c r="I405" s="564">
        <v>0</v>
      </c>
      <c r="J405" s="564">
        <v>0</v>
      </c>
      <c r="K405" s="564">
        <v>53</v>
      </c>
      <c r="L405" s="564">
        <v>4</v>
      </c>
      <c r="M405" s="561" t="s">
        <v>137</v>
      </c>
      <c r="N405" s="520">
        <v>43013538800000</v>
      </c>
      <c r="O405" s="564" t="s">
        <v>1002</v>
      </c>
      <c r="P405" s="564" t="s">
        <v>1006</v>
      </c>
      <c r="Q405" s="564"/>
      <c r="R405" s="564">
        <v>2</v>
      </c>
      <c r="S405" s="555"/>
      <c r="T405" s="555"/>
    </row>
    <row r="406" spans="1:20" s="484" customFormat="1" ht="15" customHeight="1" x14ac:dyDescent="0.25">
      <c r="A406" s="564">
        <v>5</v>
      </c>
      <c r="B406" s="564">
        <v>2</v>
      </c>
      <c r="C406" s="564">
        <v>2</v>
      </c>
      <c r="D406" s="564">
        <v>1</v>
      </c>
      <c r="E406" s="564">
        <v>2</v>
      </c>
      <c r="F406" s="564">
        <v>2</v>
      </c>
      <c r="G406" s="564" t="s">
        <v>484</v>
      </c>
      <c r="H406" s="564">
        <v>1318.1624999999999</v>
      </c>
      <c r="I406" s="564">
        <v>0</v>
      </c>
      <c r="J406" s="564">
        <v>0</v>
      </c>
      <c r="K406" s="564">
        <v>53</v>
      </c>
      <c r="L406" s="564">
        <v>4</v>
      </c>
      <c r="M406" s="561" t="s">
        <v>137</v>
      </c>
      <c r="N406" s="520">
        <v>43013538800000</v>
      </c>
      <c r="O406" s="564" t="s">
        <v>1002</v>
      </c>
      <c r="P406" s="564" t="s">
        <v>1007</v>
      </c>
      <c r="Q406" s="564"/>
      <c r="R406" s="564">
        <v>2</v>
      </c>
      <c r="S406" s="555"/>
      <c r="T406" s="555"/>
    </row>
    <row r="407" spans="1:20" s="484" customFormat="1" ht="15" customHeight="1" x14ac:dyDescent="0.25">
      <c r="A407" s="564">
        <v>5</v>
      </c>
      <c r="B407" s="564">
        <v>2</v>
      </c>
      <c r="C407" s="564">
        <v>2</v>
      </c>
      <c r="D407" s="564">
        <v>1</v>
      </c>
      <c r="E407" s="564">
        <v>2</v>
      </c>
      <c r="F407" s="564">
        <v>2</v>
      </c>
      <c r="G407" s="564" t="s">
        <v>486</v>
      </c>
      <c r="H407" s="564">
        <v>1321.58</v>
      </c>
      <c r="I407" s="564">
        <v>0</v>
      </c>
      <c r="J407" s="564">
        <v>20</v>
      </c>
      <c r="K407" s="564">
        <v>27</v>
      </c>
      <c r="L407" s="564">
        <v>2</v>
      </c>
      <c r="M407" s="561" t="s">
        <v>137</v>
      </c>
      <c r="N407" s="520">
        <v>43013538800000</v>
      </c>
      <c r="O407" s="564" t="s">
        <v>1002</v>
      </c>
      <c r="P407" s="564" t="s">
        <v>1008</v>
      </c>
      <c r="Q407" s="564"/>
      <c r="R407" s="564">
        <v>2</v>
      </c>
      <c r="S407" s="555"/>
      <c r="T407" s="555"/>
    </row>
    <row r="408" spans="1:20" s="484" customFormat="1" ht="15" customHeight="1" x14ac:dyDescent="0.25">
      <c r="A408" s="564">
        <v>5</v>
      </c>
      <c r="B408" s="564">
        <v>2</v>
      </c>
      <c r="C408" s="564">
        <v>2</v>
      </c>
      <c r="D408" s="564">
        <v>1</v>
      </c>
      <c r="E408" s="564">
        <v>2</v>
      </c>
      <c r="F408" s="564">
        <v>2</v>
      </c>
      <c r="G408" s="521" t="s">
        <v>488</v>
      </c>
      <c r="H408" s="564">
        <v>1321.58</v>
      </c>
      <c r="I408" s="564">
        <v>0</v>
      </c>
      <c r="J408" s="564">
        <v>20</v>
      </c>
      <c r="K408" s="564">
        <v>27</v>
      </c>
      <c r="L408" s="564">
        <v>2</v>
      </c>
      <c r="M408" s="561" t="s">
        <v>137</v>
      </c>
      <c r="N408" s="520">
        <v>43013538800000</v>
      </c>
      <c r="O408" s="564" t="s">
        <v>1002</v>
      </c>
      <c r="P408" s="564" t="s">
        <v>1009</v>
      </c>
      <c r="Q408" s="564"/>
      <c r="R408" s="564">
        <v>2</v>
      </c>
      <c r="S408" s="555"/>
      <c r="T408" s="555"/>
    </row>
    <row r="409" spans="1:20" s="484" customFormat="1" ht="15" customHeight="1" x14ac:dyDescent="0.25">
      <c r="A409" s="564">
        <v>5</v>
      </c>
      <c r="B409" s="564">
        <v>2</v>
      </c>
      <c r="C409" s="564">
        <v>2</v>
      </c>
      <c r="D409" s="564">
        <v>1</v>
      </c>
      <c r="E409" s="564">
        <v>2</v>
      </c>
      <c r="F409" s="564">
        <v>2</v>
      </c>
      <c r="G409" s="564" t="s">
        <v>490</v>
      </c>
      <c r="H409" s="564">
        <v>1325.74</v>
      </c>
      <c r="I409" s="564">
        <v>0</v>
      </c>
      <c r="J409" s="564">
        <v>15</v>
      </c>
      <c r="K409" s="564">
        <v>5</v>
      </c>
      <c r="L409" s="564">
        <v>4</v>
      </c>
      <c r="M409" s="561" t="s">
        <v>137</v>
      </c>
      <c r="N409" s="520">
        <v>43013538800000</v>
      </c>
      <c r="O409" s="564" t="s">
        <v>1002</v>
      </c>
      <c r="P409" s="564" t="s">
        <v>1010</v>
      </c>
      <c r="Q409" s="564"/>
      <c r="R409" s="564">
        <v>2</v>
      </c>
      <c r="S409" s="555"/>
      <c r="T409" s="555"/>
    </row>
    <row r="410" spans="1:20" s="484" customFormat="1" ht="15" customHeight="1" x14ac:dyDescent="0.25">
      <c r="A410" s="564">
        <v>5</v>
      </c>
      <c r="B410" s="564">
        <v>2</v>
      </c>
      <c r="C410" s="564">
        <v>2</v>
      </c>
      <c r="D410" s="564">
        <v>1</v>
      </c>
      <c r="E410" s="564">
        <v>2</v>
      </c>
      <c r="F410" s="564">
        <v>2</v>
      </c>
      <c r="G410" s="564" t="s">
        <v>493</v>
      </c>
      <c r="H410" s="564">
        <v>1325.74</v>
      </c>
      <c r="I410" s="564">
        <v>0</v>
      </c>
      <c r="J410" s="564">
        <v>15</v>
      </c>
      <c r="K410" s="564">
        <v>5</v>
      </c>
      <c r="L410" s="564">
        <v>4</v>
      </c>
      <c r="M410" s="561" t="s">
        <v>137</v>
      </c>
      <c r="N410" s="520">
        <v>43013538800000</v>
      </c>
      <c r="O410" s="564" t="s">
        <v>1002</v>
      </c>
      <c r="P410" s="564" t="s">
        <v>1011</v>
      </c>
      <c r="Q410" s="564"/>
      <c r="R410" s="564">
        <v>2</v>
      </c>
      <c r="S410" s="555"/>
      <c r="T410" s="555"/>
    </row>
    <row r="411" spans="1:20" s="484" customFormat="1" ht="15" customHeight="1" x14ac:dyDescent="0.25">
      <c r="A411" s="564">
        <v>5</v>
      </c>
      <c r="B411" s="564">
        <v>2</v>
      </c>
      <c r="C411" s="564">
        <v>2</v>
      </c>
      <c r="D411" s="564">
        <v>1</v>
      </c>
      <c r="E411" s="564">
        <v>2</v>
      </c>
      <c r="F411" s="564">
        <v>2</v>
      </c>
      <c r="G411" s="564" t="s">
        <v>474</v>
      </c>
      <c r="H411" s="564">
        <v>1321.615</v>
      </c>
      <c r="I411" s="564">
        <v>89</v>
      </c>
      <c r="J411" s="564">
        <v>57</v>
      </c>
      <c r="K411" s="564">
        <v>57</v>
      </c>
      <c r="L411" s="564">
        <v>3</v>
      </c>
      <c r="M411" s="561" t="s">
        <v>137</v>
      </c>
      <c r="N411" s="520">
        <v>43013538800000</v>
      </c>
      <c r="O411" s="564" t="s">
        <v>1002</v>
      </c>
      <c r="P411" s="564" t="s">
        <v>1012</v>
      </c>
      <c r="Q411" s="564"/>
      <c r="R411" s="564">
        <v>2</v>
      </c>
      <c r="S411" s="555"/>
      <c r="T411" s="555"/>
    </row>
    <row r="412" spans="1:20" s="484" customFormat="1" ht="15" customHeight="1" x14ac:dyDescent="0.25">
      <c r="A412" s="564">
        <v>5</v>
      </c>
      <c r="B412" s="564">
        <v>2</v>
      </c>
      <c r="C412" s="564">
        <v>2</v>
      </c>
      <c r="D412" s="564">
        <v>1</v>
      </c>
      <c r="E412" s="564">
        <v>2</v>
      </c>
      <c r="F412" s="564">
        <v>2</v>
      </c>
      <c r="G412" s="521" t="s">
        <v>477</v>
      </c>
      <c r="H412" s="564">
        <v>1321.615</v>
      </c>
      <c r="I412" s="564">
        <v>89</v>
      </c>
      <c r="J412" s="564">
        <v>57</v>
      </c>
      <c r="K412" s="564">
        <v>57</v>
      </c>
      <c r="L412" s="564">
        <v>3</v>
      </c>
      <c r="M412" s="561" t="s">
        <v>137</v>
      </c>
      <c r="N412" s="520">
        <v>43013538800000</v>
      </c>
      <c r="O412" s="564" t="s">
        <v>1002</v>
      </c>
      <c r="P412" s="564" t="s">
        <v>1013</v>
      </c>
      <c r="Q412" s="564"/>
      <c r="R412" s="564">
        <v>2</v>
      </c>
      <c r="S412" s="555"/>
      <c r="T412" s="555"/>
    </row>
    <row r="413" spans="1:20" s="484" customFormat="1" ht="15" customHeight="1" x14ac:dyDescent="0.25">
      <c r="A413" s="564">
        <v>5</v>
      </c>
      <c r="B413" s="564">
        <v>2</v>
      </c>
      <c r="C413" s="564">
        <v>2</v>
      </c>
      <c r="D413" s="564">
        <v>1</v>
      </c>
      <c r="E413" s="564">
        <v>2</v>
      </c>
      <c r="F413" s="564">
        <v>2</v>
      </c>
      <c r="G413" s="564" t="s">
        <v>479</v>
      </c>
      <c r="H413" s="564">
        <v>1315.68</v>
      </c>
      <c r="I413" s="564">
        <v>89</v>
      </c>
      <c r="J413" s="564">
        <v>58</v>
      </c>
      <c r="K413" s="564">
        <v>23</v>
      </c>
      <c r="L413" s="564">
        <v>3</v>
      </c>
      <c r="M413" s="561" t="s">
        <v>137</v>
      </c>
      <c r="N413" s="520">
        <v>43013538800000</v>
      </c>
      <c r="O413" s="564" t="s">
        <v>1002</v>
      </c>
      <c r="P413" s="564" t="s">
        <v>1014</v>
      </c>
      <c r="Q413" s="564"/>
      <c r="R413" s="564">
        <v>2</v>
      </c>
      <c r="S413" s="555"/>
      <c r="T413" s="555"/>
    </row>
    <row r="414" spans="1:20" s="484" customFormat="1" ht="15" customHeight="1" x14ac:dyDescent="0.25">
      <c r="A414" s="564">
        <v>5</v>
      </c>
      <c r="B414" s="564">
        <v>2</v>
      </c>
      <c r="C414" s="564">
        <v>2</v>
      </c>
      <c r="D414" s="564">
        <v>1</v>
      </c>
      <c r="E414" s="564">
        <v>2</v>
      </c>
      <c r="F414" s="564">
        <v>2</v>
      </c>
      <c r="G414" s="564" t="s">
        <v>485</v>
      </c>
      <c r="H414" s="564">
        <v>1315.68</v>
      </c>
      <c r="I414" s="564">
        <v>89</v>
      </c>
      <c r="J414" s="564">
        <v>58</v>
      </c>
      <c r="K414" s="564">
        <v>23</v>
      </c>
      <c r="L414" s="564">
        <v>3</v>
      </c>
      <c r="M414" s="561" t="s">
        <v>137</v>
      </c>
      <c r="N414" s="520">
        <v>43013538800000</v>
      </c>
      <c r="O414" s="564" t="s">
        <v>1002</v>
      </c>
      <c r="P414" s="564" t="s">
        <v>1015</v>
      </c>
      <c r="Q414" s="564"/>
      <c r="R414" s="564">
        <v>2</v>
      </c>
      <c r="S414" s="555"/>
      <c r="T414" s="555"/>
    </row>
    <row r="415" spans="1:20" s="484" customFormat="1" ht="15" customHeight="1" x14ac:dyDescent="0.25">
      <c r="A415" s="564">
        <v>5</v>
      </c>
      <c r="B415" s="564">
        <v>2</v>
      </c>
      <c r="C415" s="564">
        <v>2</v>
      </c>
      <c r="D415" s="564">
        <v>1</v>
      </c>
      <c r="E415" s="564">
        <v>2</v>
      </c>
      <c r="F415" s="564">
        <v>2</v>
      </c>
      <c r="G415" s="564" t="s">
        <v>487</v>
      </c>
      <c r="H415" s="564">
        <v>1317.48</v>
      </c>
      <c r="I415" s="564">
        <v>89</v>
      </c>
      <c r="J415" s="564">
        <v>46</v>
      </c>
      <c r="K415" s="564">
        <v>5</v>
      </c>
      <c r="L415" s="564">
        <v>4</v>
      </c>
      <c r="M415" s="561" t="s">
        <v>137</v>
      </c>
      <c r="N415" s="520">
        <v>43013538800000</v>
      </c>
      <c r="O415" s="564" t="s">
        <v>1002</v>
      </c>
      <c r="P415" s="564" t="s">
        <v>1016</v>
      </c>
      <c r="Q415" s="564"/>
      <c r="R415" s="564">
        <v>2</v>
      </c>
      <c r="S415" s="555"/>
      <c r="T415" s="555"/>
    </row>
    <row r="416" spans="1:20" s="484" customFormat="1" ht="15" customHeight="1" x14ac:dyDescent="0.25">
      <c r="A416" s="564">
        <v>5</v>
      </c>
      <c r="B416" s="564">
        <v>2</v>
      </c>
      <c r="C416" s="564">
        <v>2</v>
      </c>
      <c r="D416" s="564">
        <v>1</v>
      </c>
      <c r="E416" s="564">
        <v>2</v>
      </c>
      <c r="F416" s="564">
        <v>2</v>
      </c>
      <c r="G416" s="521" t="s">
        <v>489</v>
      </c>
      <c r="H416" s="564">
        <v>1317.48</v>
      </c>
      <c r="I416" s="564">
        <v>89</v>
      </c>
      <c r="J416" s="564">
        <v>46</v>
      </c>
      <c r="K416" s="564">
        <v>5</v>
      </c>
      <c r="L416" s="564">
        <v>4</v>
      </c>
      <c r="M416" s="561" t="s">
        <v>137</v>
      </c>
      <c r="N416" s="520">
        <v>43013538800000</v>
      </c>
      <c r="O416" s="564" t="s">
        <v>1002</v>
      </c>
      <c r="P416" s="564" t="s">
        <v>1017</v>
      </c>
      <c r="Q416" s="564"/>
      <c r="R416" s="564">
        <v>2</v>
      </c>
      <c r="S416" s="555"/>
      <c r="T416" s="555"/>
    </row>
    <row r="417" spans="1:20" s="484" customFormat="1" ht="15" customHeight="1" x14ac:dyDescent="0.25">
      <c r="A417" s="564">
        <v>5</v>
      </c>
      <c r="B417" s="564">
        <v>2</v>
      </c>
      <c r="C417" s="564">
        <v>2</v>
      </c>
      <c r="D417" s="564">
        <v>1</v>
      </c>
      <c r="E417" s="564">
        <v>2</v>
      </c>
      <c r="F417" s="564">
        <v>2</v>
      </c>
      <c r="G417" s="564" t="s">
        <v>491</v>
      </c>
      <c r="H417" s="564">
        <v>1317.4</v>
      </c>
      <c r="I417" s="564">
        <v>89</v>
      </c>
      <c r="J417" s="564">
        <v>47</v>
      </c>
      <c r="K417" s="564">
        <v>0</v>
      </c>
      <c r="L417" s="564">
        <v>4</v>
      </c>
      <c r="M417" s="561" t="s">
        <v>137</v>
      </c>
      <c r="N417" s="520">
        <v>43013538800000</v>
      </c>
      <c r="O417" s="564" t="s">
        <v>1002</v>
      </c>
      <c r="P417" s="564" t="s">
        <v>1018</v>
      </c>
      <c r="Q417" s="564"/>
      <c r="R417" s="564">
        <v>2</v>
      </c>
      <c r="S417" s="555"/>
      <c r="T417" s="555"/>
    </row>
    <row r="418" spans="1:20" s="484" customFormat="1" ht="15" customHeight="1" x14ac:dyDescent="0.25">
      <c r="A418" s="564">
        <v>5</v>
      </c>
      <c r="B418" s="564">
        <v>2</v>
      </c>
      <c r="C418" s="564">
        <v>2</v>
      </c>
      <c r="D418" s="564">
        <v>1</v>
      </c>
      <c r="E418" s="564">
        <v>2</v>
      </c>
      <c r="F418" s="564">
        <v>2</v>
      </c>
      <c r="G418" s="564" t="s">
        <v>494</v>
      </c>
      <c r="H418" s="564">
        <v>1317.4</v>
      </c>
      <c r="I418" s="564">
        <v>89</v>
      </c>
      <c r="J418" s="564">
        <v>47</v>
      </c>
      <c r="K418" s="564">
        <v>0</v>
      </c>
      <c r="L418" s="564">
        <v>4</v>
      </c>
      <c r="M418" s="561" t="s">
        <v>137</v>
      </c>
      <c r="N418" s="520">
        <v>43013538800000</v>
      </c>
      <c r="O418" s="564" t="s">
        <v>1002</v>
      </c>
      <c r="P418" s="564" t="s">
        <v>1019</v>
      </c>
      <c r="Q418" s="564"/>
      <c r="R418" s="564">
        <v>2</v>
      </c>
      <c r="S418" s="555"/>
      <c r="T418" s="555"/>
    </row>
    <row r="419" spans="1:20" ht="15" customHeight="1" x14ac:dyDescent="0.25">
      <c r="A419" s="564">
        <v>5</v>
      </c>
      <c r="B419" s="564">
        <v>4</v>
      </c>
      <c r="C419" s="564">
        <v>2</v>
      </c>
      <c r="D419" s="564">
        <v>2</v>
      </c>
      <c r="E419" s="564">
        <v>1</v>
      </c>
      <c r="F419" s="564">
        <v>2</v>
      </c>
      <c r="G419" s="564" t="s">
        <v>473</v>
      </c>
      <c r="H419" s="564">
        <v>1276.5899999999999</v>
      </c>
      <c r="I419" s="564">
        <v>0</v>
      </c>
      <c r="J419" s="564">
        <v>35</v>
      </c>
      <c r="K419" s="564">
        <v>35</v>
      </c>
      <c r="L419" s="564">
        <v>3</v>
      </c>
      <c r="M419" s="561" t="s">
        <v>137</v>
      </c>
      <c r="N419" s="651">
        <v>4304756476</v>
      </c>
      <c r="O419" s="564" t="s">
        <v>1020</v>
      </c>
      <c r="P419" s="564" t="s">
        <v>1021</v>
      </c>
      <c r="Q419" s="564"/>
      <c r="R419" s="564">
        <v>1</v>
      </c>
    </row>
    <row r="420" spans="1:20" ht="15" customHeight="1" x14ac:dyDescent="0.25">
      <c r="A420" s="564">
        <v>5</v>
      </c>
      <c r="B420" s="564">
        <v>4</v>
      </c>
      <c r="C420" s="564">
        <v>2</v>
      </c>
      <c r="D420" s="564">
        <v>2</v>
      </c>
      <c r="E420" s="564">
        <v>1</v>
      </c>
      <c r="F420" s="564">
        <v>2</v>
      </c>
      <c r="G420" s="521" t="s">
        <v>476</v>
      </c>
      <c r="H420" s="564">
        <v>1310.47</v>
      </c>
      <c r="I420" s="564">
        <v>0</v>
      </c>
      <c r="J420" s="564">
        <v>7</v>
      </c>
      <c r="K420" s="564">
        <v>36</v>
      </c>
      <c r="L420" s="564">
        <v>3</v>
      </c>
      <c r="M420" s="561" t="s">
        <v>137</v>
      </c>
      <c r="N420" s="651">
        <v>4304756476</v>
      </c>
      <c r="O420" s="564" t="s">
        <v>1020</v>
      </c>
      <c r="P420" s="564" t="s">
        <v>1022</v>
      </c>
      <c r="Q420" s="564"/>
      <c r="R420" s="564">
        <v>1</v>
      </c>
    </row>
    <row r="421" spans="1:20" ht="15" customHeight="1" x14ac:dyDescent="0.25">
      <c r="A421" s="564">
        <v>5</v>
      </c>
      <c r="B421" s="564">
        <v>4</v>
      </c>
      <c r="C421" s="564">
        <v>2</v>
      </c>
      <c r="D421" s="564">
        <v>2</v>
      </c>
      <c r="E421" s="564">
        <v>1</v>
      </c>
      <c r="F421" s="564">
        <v>2</v>
      </c>
      <c r="G421" s="564" t="s">
        <v>478</v>
      </c>
      <c r="H421" s="564">
        <v>1310.0999999999999</v>
      </c>
      <c r="I421" s="564">
        <v>0</v>
      </c>
      <c r="J421" s="564">
        <v>40</v>
      </c>
      <c r="K421" s="564">
        <v>58</v>
      </c>
      <c r="L421" s="564">
        <v>2</v>
      </c>
      <c r="M421" s="561" t="s">
        <v>137</v>
      </c>
      <c r="N421" s="651">
        <v>4304756476</v>
      </c>
      <c r="O421" s="564" t="s">
        <v>1020</v>
      </c>
      <c r="P421" s="564" t="s">
        <v>1023</v>
      </c>
      <c r="Q421" s="564"/>
      <c r="R421" s="564">
        <v>1</v>
      </c>
    </row>
    <row r="422" spans="1:20" ht="15" customHeight="1" x14ac:dyDescent="0.25">
      <c r="A422" s="564">
        <v>5</v>
      </c>
      <c r="B422" s="564">
        <v>4</v>
      </c>
      <c r="C422" s="564">
        <v>2</v>
      </c>
      <c r="D422" s="564">
        <v>2</v>
      </c>
      <c r="E422" s="564">
        <v>1</v>
      </c>
      <c r="F422" s="564">
        <v>2</v>
      </c>
      <c r="G422" s="564" t="s">
        <v>484</v>
      </c>
      <c r="H422" s="564">
        <v>1312.72</v>
      </c>
      <c r="I422" s="564">
        <v>0</v>
      </c>
      <c r="J422" s="564">
        <v>23</v>
      </c>
      <c r="K422" s="564">
        <v>28</v>
      </c>
      <c r="L422" s="564">
        <v>2</v>
      </c>
      <c r="M422" s="561" t="s">
        <v>137</v>
      </c>
      <c r="N422" s="651">
        <v>4304756476</v>
      </c>
      <c r="O422" s="564" t="s">
        <v>1020</v>
      </c>
      <c r="P422" s="564" t="s">
        <v>1024</v>
      </c>
      <c r="Q422" s="564"/>
      <c r="R422" s="564">
        <v>1</v>
      </c>
    </row>
    <row r="423" spans="1:20" ht="15" customHeight="1" x14ac:dyDescent="0.25">
      <c r="A423" s="564">
        <v>5</v>
      </c>
      <c r="B423" s="564">
        <v>4</v>
      </c>
      <c r="C423" s="564">
        <v>2</v>
      </c>
      <c r="D423" s="564">
        <v>2</v>
      </c>
      <c r="E423" s="564">
        <v>1</v>
      </c>
      <c r="F423" s="564">
        <v>2</v>
      </c>
      <c r="G423" s="564" t="s">
        <v>486</v>
      </c>
      <c r="H423" s="564">
        <v>1269.99</v>
      </c>
      <c r="I423" s="564">
        <v>0</v>
      </c>
      <c r="J423" s="564">
        <v>7</v>
      </c>
      <c r="K423" s="564">
        <v>44</v>
      </c>
      <c r="L423" s="564">
        <v>4</v>
      </c>
      <c r="M423" s="561" t="s">
        <v>137</v>
      </c>
      <c r="N423" s="651">
        <v>4304756476</v>
      </c>
      <c r="O423" s="564" t="s">
        <v>1020</v>
      </c>
      <c r="P423" s="564" t="s">
        <v>1025</v>
      </c>
      <c r="Q423" s="564"/>
      <c r="R423" s="564">
        <v>1</v>
      </c>
    </row>
    <row r="424" spans="1:20" ht="15" customHeight="1" x14ac:dyDescent="0.25">
      <c r="A424" s="564">
        <v>5</v>
      </c>
      <c r="B424" s="564">
        <v>4</v>
      </c>
      <c r="C424" s="564">
        <v>2</v>
      </c>
      <c r="D424" s="564">
        <v>2</v>
      </c>
      <c r="E424" s="564">
        <v>1</v>
      </c>
      <c r="F424" s="564">
        <v>2</v>
      </c>
      <c r="G424" s="521" t="s">
        <v>488</v>
      </c>
      <c r="H424" s="564">
        <v>1320.61</v>
      </c>
      <c r="I424" s="564">
        <v>0</v>
      </c>
      <c r="J424" s="564">
        <v>4</v>
      </c>
      <c r="K424" s="564">
        <v>25</v>
      </c>
      <c r="L424" s="564">
        <v>2</v>
      </c>
      <c r="M424" s="561" t="s">
        <v>137</v>
      </c>
      <c r="N424" s="651">
        <v>4304756476</v>
      </c>
      <c r="O424" s="564" t="s">
        <v>1020</v>
      </c>
      <c r="P424" s="564" t="s">
        <v>1026</v>
      </c>
      <c r="Q424" s="564"/>
      <c r="R424" s="564">
        <v>1</v>
      </c>
    </row>
    <row r="425" spans="1:20" ht="15" customHeight="1" x14ac:dyDescent="0.25">
      <c r="A425" s="564">
        <v>5</v>
      </c>
      <c r="B425" s="564">
        <v>4</v>
      </c>
      <c r="C425" s="564">
        <v>2</v>
      </c>
      <c r="D425" s="564">
        <v>2</v>
      </c>
      <c r="E425" s="564">
        <v>1</v>
      </c>
      <c r="F425" s="564">
        <v>2</v>
      </c>
      <c r="G425" s="564" t="s">
        <v>490</v>
      </c>
      <c r="H425" s="564">
        <v>1322.04</v>
      </c>
      <c r="I425" s="564">
        <v>0</v>
      </c>
      <c r="J425" s="564">
        <v>6</v>
      </c>
      <c r="K425" s="564">
        <v>31</v>
      </c>
      <c r="L425" s="564">
        <v>2</v>
      </c>
      <c r="M425" s="561" t="s">
        <v>137</v>
      </c>
      <c r="N425" s="651">
        <v>4304756476</v>
      </c>
      <c r="O425" s="564" t="s">
        <v>1020</v>
      </c>
      <c r="P425" s="564" t="s">
        <v>1027</v>
      </c>
      <c r="Q425" s="564"/>
      <c r="R425" s="564">
        <v>1</v>
      </c>
    </row>
    <row r="426" spans="1:20" ht="15" customHeight="1" x14ac:dyDescent="0.25">
      <c r="A426" s="564">
        <v>5</v>
      </c>
      <c r="B426" s="564">
        <v>4</v>
      </c>
      <c r="C426" s="564">
        <v>2</v>
      </c>
      <c r="D426" s="564">
        <v>2</v>
      </c>
      <c r="E426" s="564">
        <v>1</v>
      </c>
      <c r="F426" s="564">
        <v>2</v>
      </c>
      <c r="G426" s="564" t="s">
        <v>493</v>
      </c>
      <c r="H426" s="564">
        <v>1318.99</v>
      </c>
      <c r="I426" s="564">
        <v>0</v>
      </c>
      <c r="J426" s="564">
        <v>32</v>
      </c>
      <c r="K426" s="564">
        <v>29</v>
      </c>
      <c r="L426" s="564">
        <v>4</v>
      </c>
      <c r="M426" s="561" t="s">
        <v>137</v>
      </c>
      <c r="N426" s="651">
        <v>4304756476</v>
      </c>
      <c r="O426" s="564" t="s">
        <v>1020</v>
      </c>
      <c r="P426" s="564" t="s">
        <v>1028</v>
      </c>
      <c r="Q426" s="564"/>
      <c r="R426" s="564">
        <v>1</v>
      </c>
    </row>
    <row r="427" spans="1:20" ht="15" customHeight="1" x14ac:dyDescent="0.25">
      <c r="A427" s="564">
        <v>5</v>
      </c>
      <c r="B427" s="564">
        <v>4</v>
      </c>
      <c r="C427" s="564">
        <v>2</v>
      </c>
      <c r="D427" s="564">
        <v>2</v>
      </c>
      <c r="E427" s="564">
        <v>1</v>
      </c>
      <c r="F427" s="564">
        <v>2</v>
      </c>
      <c r="G427" s="564" t="s">
        <v>474</v>
      </c>
      <c r="H427" s="564">
        <v>1321.42</v>
      </c>
      <c r="I427" s="564">
        <v>89</v>
      </c>
      <c r="J427" s="564">
        <v>29</v>
      </c>
      <c r="K427" s="564">
        <v>19</v>
      </c>
      <c r="L427" s="564">
        <v>3</v>
      </c>
      <c r="M427" s="561" t="s">
        <v>137</v>
      </c>
      <c r="N427" s="651">
        <v>4304756476</v>
      </c>
      <c r="O427" s="564" t="s">
        <v>1020</v>
      </c>
      <c r="P427" s="564" t="s">
        <v>1029</v>
      </c>
      <c r="Q427" s="564"/>
      <c r="R427" s="564">
        <v>1</v>
      </c>
    </row>
    <row r="428" spans="1:20" ht="15" customHeight="1" x14ac:dyDescent="0.25">
      <c r="A428" s="564">
        <v>5</v>
      </c>
      <c r="B428" s="564">
        <v>4</v>
      </c>
      <c r="C428" s="564">
        <v>2</v>
      </c>
      <c r="D428" s="564">
        <v>2</v>
      </c>
      <c r="E428" s="564">
        <v>1</v>
      </c>
      <c r="F428" s="564">
        <v>2</v>
      </c>
      <c r="G428" s="521" t="s">
        <v>477</v>
      </c>
      <c r="H428" s="564">
        <v>1325.06</v>
      </c>
      <c r="I428" s="564">
        <v>89</v>
      </c>
      <c r="J428" s="564">
        <v>25</v>
      </c>
      <c r="K428" s="564">
        <v>28</v>
      </c>
      <c r="L428" s="564">
        <v>3</v>
      </c>
      <c r="M428" s="561" t="s">
        <v>137</v>
      </c>
      <c r="N428" s="651">
        <v>4304756476</v>
      </c>
      <c r="O428" s="564" t="s">
        <v>1020</v>
      </c>
      <c r="P428" s="564" t="s">
        <v>1030</v>
      </c>
      <c r="Q428" s="564"/>
      <c r="R428" s="564">
        <v>1</v>
      </c>
    </row>
    <row r="429" spans="1:20" ht="15" customHeight="1" x14ac:dyDescent="0.25">
      <c r="A429" s="564">
        <v>5</v>
      </c>
      <c r="B429" s="564">
        <v>4</v>
      </c>
      <c r="C429" s="564">
        <v>2</v>
      </c>
      <c r="D429" s="564">
        <v>2</v>
      </c>
      <c r="E429" s="564">
        <v>1</v>
      </c>
      <c r="F429" s="564">
        <v>2</v>
      </c>
      <c r="G429" s="564" t="s">
        <v>479</v>
      </c>
      <c r="H429" s="564">
        <v>1309.5899999999999</v>
      </c>
      <c r="I429" s="564">
        <v>89</v>
      </c>
      <c r="J429" s="564">
        <v>38</v>
      </c>
      <c r="K429" s="564">
        <v>8</v>
      </c>
      <c r="L429" s="564">
        <v>2</v>
      </c>
      <c r="M429" s="561" t="s">
        <v>137</v>
      </c>
      <c r="N429" s="651">
        <v>4304756476</v>
      </c>
      <c r="O429" s="564" t="s">
        <v>1020</v>
      </c>
      <c r="P429" s="564" t="s">
        <v>1031</v>
      </c>
      <c r="Q429" s="564"/>
      <c r="R429" s="564">
        <v>1</v>
      </c>
    </row>
    <row r="430" spans="1:20" ht="15" customHeight="1" x14ac:dyDescent="0.25">
      <c r="A430" s="564">
        <v>5</v>
      </c>
      <c r="B430" s="564">
        <v>4</v>
      </c>
      <c r="C430" s="564">
        <v>2</v>
      </c>
      <c r="D430" s="564">
        <v>2</v>
      </c>
      <c r="E430" s="564">
        <v>1</v>
      </c>
      <c r="F430" s="564">
        <v>2</v>
      </c>
      <c r="G430" s="564" t="s">
        <v>485</v>
      </c>
      <c r="H430" s="564">
        <v>1308.97</v>
      </c>
      <c r="I430" s="564">
        <v>89</v>
      </c>
      <c r="J430" s="564">
        <v>17</v>
      </c>
      <c r="K430" s="564">
        <v>26</v>
      </c>
      <c r="L430" s="564">
        <v>2</v>
      </c>
      <c r="M430" s="561" t="s">
        <v>137</v>
      </c>
      <c r="N430" s="651">
        <v>4304756476</v>
      </c>
      <c r="O430" s="564" t="s">
        <v>1020</v>
      </c>
      <c r="P430" s="564" t="s">
        <v>1032</v>
      </c>
      <c r="Q430" s="564"/>
      <c r="R430" s="564">
        <v>1</v>
      </c>
    </row>
    <row r="431" spans="1:20" ht="15" customHeight="1" x14ac:dyDescent="0.25">
      <c r="A431" s="564">
        <v>5</v>
      </c>
      <c r="B431" s="564">
        <v>4</v>
      </c>
      <c r="C431" s="564">
        <v>2</v>
      </c>
      <c r="D431" s="564">
        <v>2</v>
      </c>
      <c r="E431" s="564">
        <v>1</v>
      </c>
      <c r="F431" s="564">
        <v>2</v>
      </c>
      <c r="G431" s="564" t="s">
        <v>487</v>
      </c>
      <c r="H431" s="564">
        <v>1332.06</v>
      </c>
      <c r="I431" s="564">
        <v>89</v>
      </c>
      <c r="J431" s="564">
        <v>56</v>
      </c>
      <c r="K431" s="564">
        <v>12</v>
      </c>
      <c r="L431" s="564">
        <v>1</v>
      </c>
      <c r="M431" s="561" t="s">
        <v>137</v>
      </c>
      <c r="N431" s="651">
        <v>4304756476</v>
      </c>
      <c r="O431" s="564" t="s">
        <v>1020</v>
      </c>
      <c r="P431" s="564" t="s">
        <v>1033</v>
      </c>
      <c r="Q431" s="564"/>
      <c r="R431" s="564">
        <v>1</v>
      </c>
    </row>
    <row r="432" spans="1:20" ht="15" customHeight="1" x14ac:dyDescent="0.25">
      <c r="A432" s="564">
        <v>5</v>
      </c>
      <c r="B432" s="564">
        <v>4</v>
      </c>
      <c r="C432" s="564">
        <v>2</v>
      </c>
      <c r="D432" s="564">
        <v>2</v>
      </c>
      <c r="E432" s="564">
        <v>1</v>
      </c>
      <c r="F432" s="564">
        <v>2</v>
      </c>
      <c r="G432" s="521" t="s">
        <v>489</v>
      </c>
      <c r="H432" s="564">
        <v>1329.38</v>
      </c>
      <c r="I432" s="564">
        <v>89</v>
      </c>
      <c r="J432" s="564">
        <v>41</v>
      </c>
      <c r="K432" s="564">
        <v>58</v>
      </c>
      <c r="L432" s="564">
        <v>2</v>
      </c>
      <c r="M432" s="561" t="s">
        <v>137</v>
      </c>
      <c r="N432" s="651">
        <v>4304756476</v>
      </c>
      <c r="O432" s="564" t="s">
        <v>1020</v>
      </c>
      <c r="P432" s="564" t="s">
        <v>1034</v>
      </c>
      <c r="Q432" s="564"/>
      <c r="R432" s="564">
        <v>1</v>
      </c>
    </row>
    <row r="433" spans="1:18" ht="15" customHeight="1" x14ac:dyDescent="0.25">
      <c r="A433" s="564">
        <v>5</v>
      </c>
      <c r="B433" s="564">
        <v>4</v>
      </c>
      <c r="C433" s="564">
        <v>2</v>
      </c>
      <c r="D433" s="564">
        <v>2</v>
      </c>
      <c r="E433" s="564">
        <v>1</v>
      </c>
      <c r="F433" s="564">
        <v>2</v>
      </c>
      <c r="G433" s="564" t="s">
        <v>491</v>
      </c>
      <c r="H433" s="564">
        <v>1335.54</v>
      </c>
      <c r="I433" s="564">
        <v>89</v>
      </c>
      <c r="J433" s="564">
        <v>59</v>
      </c>
      <c r="K433" s="564">
        <v>45</v>
      </c>
      <c r="L433" s="564">
        <v>1</v>
      </c>
      <c r="M433" s="561" t="s">
        <v>137</v>
      </c>
      <c r="N433" s="651">
        <v>4304756476</v>
      </c>
      <c r="O433" s="564" t="s">
        <v>1020</v>
      </c>
      <c r="P433" s="564" t="s">
        <v>1035</v>
      </c>
      <c r="Q433" s="564"/>
      <c r="R433" s="564">
        <v>1</v>
      </c>
    </row>
    <row r="434" spans="1:18" ht="15" customHeight="1" x14ac:dyDescent="0.25">
      <c r="A434" s="564">
        <v>5</v>
      </c>
      <c r="B434" s="564">
        <v>4</v>
      </c>
      <c r="C434" s="564">
        <v>2</v>
      </c>
      <c r="D434" s="564">
        <v>2</v>
      </c>
      <c r="E434" s="564">
        <v>1</v>
      </c>
      <c r="F434" s="564">
        <v>2</v>
      </c>
      <c r="G434" s="564" t="s">
        <v>494</v>
      </c>
      <c r="H434" s="564">
        <v>1319.82</v>
      </c>
      <c r="I434" s="564">
        <v>89</v>
      </c>
      <c r="J434" s="564">
        <v>11</v>
      </c>
      <c r="K434" s="564">
        <v>7</v>
      </c>
      <c r="L434" s="564">
        <v>2</v>
      </c>
      <c r="M434" s="561" t="s">
        <v>137</v>
      </c>
      <c r="N434" s="651">
        <v>4304756476</v>
      </c>
      <c r="O434" s="564" t="s">
        <v>1020</v>
      </c>
      <c r="P434" s="564" t="s">
        <v>1036</v>
      </c>
      <c r="Q434" s="564"/>
      <c r="R434" s="564">
        <v>1</v>
      </c>
    </row>
    <row r="435" spans="1:18" ht="15" customHeight="1" x14ac:dyDescent="0.25">
      <c r="A435" s="553">
        <v>6</v>
      </c>
      <c r="B435" s="553">
        <v>2</v>
      </c>
      <c r="C435" s="553">
        <v>2</v>
      </c>
      <c r="D435" s="553">
        <v>1</v>
      </c>
      <c r="E435" s="553">
        <v>1</v>
      </c>
      <c r="F435" s="553">
        <v>2</v>
      </c>
      <c r="G435" s="553" t="s">
        <v>473</v>
      </c>
      <c r="H435" s="553">
        <v>1321.39</v>
      </c>
      <c r="I435" s="553">
        <v>0</v>
      </c>
      <c r="J435" s="553">
        <v>24</v>
      </c>
      <c r="K435" s="553">
        <v>2</v>
      </c>
      <c r="L435" s="553">
        <v>4</v>
      </c>
      <c r="M435" s="505" t="s">
        <v>137</v>
      </c>
      <c r="N435" s="500">
        <v>43047560210000</v>
      </c>
      <c r="O435" s="553" t="s">
        <v>1037</v>
      </c>
      <c r="P435" s="650" t="s">
        <v>1038</v>
      </c>
      <c r="Q435" s="564" t="s">
        <v>583</v>
      </c>
      <c r="R435" s="564">
        <v>2</v>
      </c>
    </row>
    <row r="436" spans="1:18" ht="15" customHeight="1" x14ac:dyDescent="0.25">
      <c r="A436" s="553">
        <v>6</v>
      </c>
      <c r="B436" s="553">
        <v>2</v>
      </c>
      <c r="C436" s="553">
        <v>2</v>
      </c>
      <c r="D436" s="553">
        <v>1</v>
      </c>
      <c r="E436" s="553">
        <v>1</v>
      </c>
      <c r="F436" s="553">
        <v>2</v>
      </c>
      <c r="G436" s="502" t="s">
        <v>476</v>
      </c>
      <c r="H436" s="553">
        <v>1322.06</v>
      </c>
      <c r="I436" s="553">
        <v>1</v>
      </c>
      <c r="J436" s="553">
        <v>50</v>
      </c>
      <c r="K436" s="553">
        <v>57</v>
      </c>
      <c r="L436" s="553">
        <v>4</v>
      </c>
      <c r="M436" s="505" t="s">
        <v>137</v>
      </c>
      <c r="N436" s="500">
        <v>43047560210000</v>
      </c>
      <c r="O436" s="553" t="s">
        <v>1037</v>
      </c>
      <c r="P436" s="650" t="s">
        <v>1039</v>
      </c>
      <c r="Q436" s="564" t="s">
        <v>583</v>
      </c>
      <c r="R436" s="564">
        <v>2</v>
      </c>
    </row>
    <row r="437" spans="1:18" ht="15" customHeight="1" x14ac:dyDescent="0.25">
      <c r="A437" s="553">
        <v>6</v>
      </c>
      <c r="B437" s="553">
        <v>2</v>
      </c>
      <c r="C437" s="553">
        <v>2</v>
      </c>
      <c r="D437" s="553">
        <v>1</v>
      </c>
      <c r="E437" s="553">
        <v>1</v>
      </c>
      <c r="F437" s="553">
        <v>2</v>
      </c>
      <c r="G437" s="553" t="s">
        <v>478</v>
      </c>
      <c r="H437" s="553">
        <v>1314.115</v>
      </c>
      <c r="I437" s="553">
        <v>0</v>
      </c>
      <c r="J437" s="553">
        <v>30</v>
      </c>
      <c r="K437" s="553">
        <v>36</v>
      </c>
      <c r="L437" s="553">
        <v>2</v>
      </c>
      <c r="M437" s="505" t="s">
        <v>137</v>
      </c>
      <c r="N437" s="500">
        <v>43047560210000</v>
      </c>
      <c r="O437" s="553" t="s">
        <v>1037</v>
      </c>
      <c r="P437" s="650" t="s">
        <v>1040</v>
      </c>
      <c r="Q437" s="564" t="s">
        <v>583</v>
      </c>
      <c r="R437" s="564">
        <v>2</v>
      </c>
    </row>
    <row r="438" spans="1:18" ht="15" customHeight="1" x14ac:dyDescent="0.25">
      <c r="A438" s="553">
        <v>6</v>
      </c>
      <c r="B438" s="553">
        <v>2</v>
      </c>
      <c r="C438" s="553">
        <v>2</v>
      </c>
      <c r="D438" s="553">
        <v>1</v>
      </c>
      <c r="E438" s="553">
        <v>1</v>
      </c>
      <c r="F438" s="553">
        <v>2</v>
      </c>
      <c r="G438" s="553" t="s">
        <v>484</v>
      </c>
      <c r="H438" s="553">
        <v>1314.115</v>
      </c>
      <c r="I438" s="553">
        <v>0</v>
      </c>
      <c r="J438" s="553">
        <v>30</v>
      </c>
      <c r="K438" s="553">
        <v>36</v>
      </c>
      <c r="L438" s="553">
        <v>2</v>
      </c>
      <c r="M438" s="505" t="s">
        <v>137</v>
      </c>
      <c r="N438" s="500">
        <v>43047560210000</v>
      </c>
      <c r="O438" s="553" t="s">
        <v>1037</v>
      </c>
      <c r="P438" s="650" t="s">
        <v>1041</v>
      </c>
      <c r="Q438" s="564" t="s">
        <v>583</v>
      </c>
      <c r="R438" s="564">
        <v>2</v>
      </c>
    </row>
    <row r="439" spans="1:18" ht="15" customHeight="1" x14ac:dyDescent="0.25">
      <c r="A439" s="553">
        <v>6</v>
      </c>
      <c r="B439" s="553">
        <v>2</v>
      </c>
      <c r="C439" s="553">
        <v>2</v>
      </c>
      <c r="D439" s="553">
        <v>1</v>
      </c>
      <c r="E439" s="553">
        <v>1</v>
      </c>
      <c r="F439" s="553">
        <v>2</v>
      </c>
      <c r="G439" s="553" t="s">
        <v>486</v>
      </c>
      <c r="H439" s="553">
        <v>1331.1875</v>
      </c>
      <c r="I439" s="553">
        <v>0</v>
      </c>
      <c r="J439" s="553">
        <v>0</v>
      </c>
      <c r="K439" s="553">
        <v>19</v>
      </c>
      <c r="L439" s="553">
        <v>3</v>
      </c>
      <c r="M439" s="505" t="s">
        <v>137</v>
      </c>
      <c r="N439" s="500">
        <v>43047560210000</v>
      </c>
      <c r="O439" s="553" t="s">
        <v>1037</v>
      </c>
      <c r="P439" s="650" t="s">
        <v>1042</v>
      </c>
      <c r="Q439" s="564" t="s">
        <v>583</v>
      </c>
      <c r="R439" s="564">
        <v>2</v>
      </c>
    </row>
    <row r="440" spans="1:18" ht="15" customHeight="1" x14ac:dyDescent="0.25">
      <c r="A440" s="553">
        <v>6</v>
      </c>
      <c r="B440" s="553">
        <v>2</v>
      </c>
      <c r="C440" s="553">
        <v>2</v>
      </c>
      <c r="D440" s="553">
        <v>1</v>
      </c>
      <c r="E440" s="553">
        <v>1</v>
      </c>
      <c r="F440" s="553">
        <v>2</v>
      </c>
      <c r="G440" s="502" t="s">
        <v>488</v>
      </c>
      <c r="H440" s="553">
        <v>1331.1875</v>
      </c>
      <c r="I440" s="553">
        <v>0</v>
      </c>
      <c r="J440" s="553">
        <v>0</v>
      </c>
      <c r="K440" s="553">
        <v>19</v>
      </c>
      <c r="L440" s="553">
        <v>3</v>
      </c>
      <c r="M440" s="505" t="s">
        <v>137</v>
      </c>
      <c r="N440" s="500">
        <v>43047560210000</v>
      </c>
      <c r="O440" s="553" t="s">
        <v>1037</v>
      </c>
      <c r="P440" s="650" t="s">
        <v>1043</v>
      </c>
      <c r="Q440" s="564" t="s">
        <v>583</v>
      </c>
      <c r="R440" s="564">
        <v>2</v>
      </c>
    </row>
    <row r="441" spans="1:18" ht="15" customHeight="1" x14ac:dyDescent="0.25">
      <c r="A441" s="553">
        <v>6</v>
      </c>
      <c r="B441" s="553">
        <v>2</v>
      </c>
      <c r="C441" s="553">
        <v>2</v>
      </c>
      <c r="D441" s="553">
        <v>1</v>
      </c>
      <c r="E441" s="553">
        <v>1</v>
      </c>
      <c r="F441" s="553">
        <v>2</v>
      </c>
      <c r="G441" s="553" t="s">
        <v>490</v>
      </c>
      <c r="H441" s="553">
        <v>1331.1875</v>
      </c>
      <c r="I441" s="553">
        <v>0</v>
      </c>
      <c r="J441" s="553">
        <v>0</v>
      </c>
      <c r="K441" s="553">
        <v>19</v>
      </c>
      <c r="L441" s="553">
        <v>3</v>
      </c>
      <c r="M441" s="505" t="s">
        <v>137</v>
      </c>
      <c r="N441" s="500">
        <v>43047560210000</v>
      </c>
      <c r="O441" s="553" t="s">
        <v>1037</v>
      </c>
      <c r="P441" s="650" t="s">
        <v>1044</v>
      </c>
      <c r="Q441" s="564" t="s">
        <v>583</v>
      </c>
      <c r="R441" s="564">
        <v>2</v>
      </c>
    </row>
    <row r="442" spans="1:18" ht="15" customHeight="1" x14ac:dyDescent="0.25">
      <c r="A442" s="553">
        <v>6</v>
      </c>
      <c r="B442" s="553">
        <v>2</v>
      </c>
      <c r="C442" s="553">
        <v>2</v>
      </c>
      <c r="D442" s="553">
        <v>1</v>
      </c>
      <c r="E442" s="553">
        <v>1</v>
      </c>
      <c r="F442" s="553">
        <v>2</v>
      </c>
      <c r="G442" s="553" t="s">
        <v>493</v>
      </c>
      <c r="H442" s="553">
        <v>1331.1875</v>
      </c>
      <c r="I442" s="553">
        <v>0</v>
      </c>
      <c r="J442" s="553">
        <v>0</v>
      </c>
      <c r="K442" s="553">
        <v>19</v>
      </c>
      <c r="L442" s="553">
        <v>3</v>
      </c>
      <c r="M442" s="505" t="s">
        <v>137</v>
      </c>
      <c r="N442" s="500">
        <v>43047560210000</v>
      </c>
      <c r="O442" s="553" t="s">
        <v>1037</v>
      </c>
      <c r="P442" s="650" t="s">
        <v>1045</v>
      </c>
      <c r="Q442" s="564" t="s">
        <v>583</v>
      </c>
      <c r="R442" s="564">
        <v>2</v>
      </c>
    </row>
    <row r="443" spans="1:18" ht="15" customHeight="1" x14ac:dyDescent="0.25">
      <c r="A443" s="553">
        <v>6</v>
      </c>
      <c r="B443" s="553">
        <v>2</v>
      </c>
      <c r="C443" s="553">
        <v>2</v>
      </c>
      <c r="D443" s="553">
        <v>1</v>
      </c>
      <c r="E443" s="553">
        <v>1</v>
      </c>
      <c r="F443" s="553">
        <v>2</v>
      </c>
      <c r="G443" s="553" t="s">
        <v>474</v>
      </c>
      <c r="H443" s="553">
        <v>1319.65</v>
      </c>
      <c r="I443" s="553">
        <v>89</v>
      </c>
      <c r="J443" s="553">
        <v>42</v>
      </c>
      <c r="K443" s="553">
        <v>1</v>
      </c>
      <c r="L443" s="553">
        <v>2</v>
      </c>
      <c r="M443" s="505" t="s">
        <v>137</v>
      </c>
      <c r="N443" s="500">
        <v>43047560210000</v>
      </c>
      <c r="O443" s="553" t="s">
        <v>1037</v>
      </c>
      <c r="P443" s="650" t="s">
        <v>1046</v>
      </c>
      <c r="Q443" s="564" t="s">
        <v>583</v>
      </c>
      <c r="R443" s="564">
        <v>2</v>
      </c>
    </row>
    <row r="444" spans="1:18" ht="15" customHeight="1" x14ac:dyDescent="0.25">
      <c r="A444" s="553">
        <v>6</v>
      </c>
      <c r="B444" s="553">
        <v>2</v>
      </c>
      <c r="C444" s="553">
        <v>2</v>
      </c>
      <c r="D444" s="553">
        <v>1</v>
      </c>
      <c r="E444" s="553">
        <v>1</v>
      </c>
      <c r="F444" s="553">
        <v>2</v>
      </c>
      <c r="G444" s="502" t="s">
        <v>477</v>
      </c>
      <c r="H444" s="553">
        <v>1319.69</v>
      </c>
      <c r="I444" s="553">
        <v>89</v>
      </c>
      <c r="J444" s="553">
        <v>41</v>
      </c>
      <c r="K444" s="553">
        <v>51</v>
      </c>
      <c r="L444" s="553">
        <v>2</v>
      </c>
      <c r="M444" s="505" t="s">
        <v>137</v>
      </c>
      <c r="N444" s="500">
        <v>43047560210000</v>
      </c>
      <c r="O444" s="553" t="s">
        <v>1037</v>
      </c>
      <c r="P444" s="650" t="s">
        <v>1047</v>
      </c>
      <c r="Q444" s="564" t="s">
        <v>583</v>
      </c>
      <c r="R444" s="564">
        <v>2</v>
      </c>
    </row>
    <row r="445" spans="1:18" ht="15" customHeight="1" x14ac:dyDescent="0.25">
      <c r="A445" s="553">
        <v>6</v>
      </c>
      <c r="B445" s="553">
        <v>2</v>
      </c>
      <c r="C445" s="553">
        <v>2</v>
      </c>
      <c r="D445" s="553">
        <v>1</v>
      </c>
      <c r="E445" s="553">
        <v>1</v>
      </c>
      <c r="F445" s="553">
        <v>2</v>
      </c>
      <c r="G445" s="553" t="s">
        <v>479</v>
      </c>
      <c r="H445" s="553">
        <v>1317.72</v>
      </c>
      <c r="I445" s="553">
        <v>89</v>
      </c>
      <c r="J445" s="553">
        <v>52</v>
      </c>
      <c r="K445" s="553">
        <v>15</v>
      </c>
      <c r="L445" s="553">
        <v>2</v>
      </c>
      <c r="M445" s="505" t="s">
        <v>137</v>
      </c>
      <c r="N445" s="500">
        <v>43047560210000</v>
      </c>
      <c r="O445" s="553" t="s">
        <v>1037</v>
      </c>
      <c r="P445" s="650" t="s">
        <v>1048</v>
      </c>
      <c r="Q445" s="564" t="s">
        <v>583</v>
      </c>
      <c r="R445" s="564">
        <v>2</v>
      </c>
    </row>
    <row r="446" spans="1:18" ht="15" customHeight="1" x14ac:dyDescent="0.25">
      <c r="A446" s="553">
        <v>6</v>
      </c>
      <c r="B446" s="553">
        <v>2</v>
      </c>
      <c r="C446" s="553">
        <v>2</v>
      </c>
      <c r="D446" s="553">
        <v>1</v>
      </c>
      <c r="E446" s="553">
        <v>1</v>
      </c>
      <c r="F446" s="553">
        <v>2</v>
      </c>
      <c r="G446" s="553" t="s">
        <v>485</v>
      </c>
      <c r="H446" s="553">
        <v>1317.72</v>
      </c>
      <c r="I446" s="553">
        <v>89</v>
      </c>
      <c r="J446" s="553">
        <v>52</v>
      </c>
      <c r="K446" s="553">
        <v>15</v>
      </c>
      <c r="L446" s="553">
        <v>2</v>
      </c>
      <c r="M446" s="505" t="s">
        <v>137</v>
      </c>
      <c r="N446" s="500">
        <v>43047560210000</v>
      </c>
      <c r="O446" s="553" t="s">
        <v>1037</v>
      </c>
      <c r="P446" s="650" t="s">
        <v>1049</v>
      </c>
      <c r="Q446" s="564" t="s">
        <v>583</v>
      </c>
      <c r="R446" s="564">
        <v>2</v>
      </c>
    </row>
    <row r="447" spans="1:18" ht="15" customHeight="1" x14ac:dyDescent="0.25">
      <c r="A447" s="553">
        <v>6</v>
      </c>
      <c r="B447" s="553">
        <v>2</v>
      </c>
      <c r="C447" s="553">
        <v>2</v>
      </c>
      <c r="D447" s="553">
        <v>1</v>
      </c>
      <c r="E447" s="553">
        <v>1</v>
      </c>
      <c r="F447" s="553">
        <v>2</v>
      </c>
      <c r="G447" s="553" t="s">
        <v>487</v>
      </c>
      <c r="H447" s="553">
        <v>1303.04</v>
      </c>
      <c r="I447" s="553">
        <v>89</v>
      </c>
      <c r="J447" s="553">
        <v>45</v>
      </c>
      <c r="K447" s="553">
        <v>17</v>
      </c>
      <c r="L447" s="553">
        <v>4</v>
      </c>
      <c r="M447" s="505" t="s">
        <v>137</v>
      </c>
      <c r="N447" s="500">
        <v>43047560210000</v>
      </c>
      <c r="O447" s="553" t="s">
        <v>1037</v>
      </c>
      <c r="P447" s="650" t="s">
        <v>1050</v>
      </c>
      <c r="Q447" s="564" t="s">
        <v>583</v>
      </c>
      <c r="R447" s="564">
        <v>2</v>
      </c>
    </row>
    <row r="448" spans="1:18" ht="15" customHeight="1" x14ac:dyDescent="0.25">
      <c r="A448" s="553">
        <v>6</v>
      </c>
      <c r="B448" s="553">
        <v>2</v>
      </c>
      <c r="C448" s="553">
        <v>2</v>
      </c>
      <c r="D448" s="553">
        <v>1</v>
      </c>
      <c r="E448" s="553">
        <v>1</v>
      </c>
      <c r="F448" s="553">
        <v>2</v>
      </c>
      <c r="G448" s="502" t="s">
        <v>489</v>
      </c>
      <c r="H448" s="553">
        <v>1327.93</v>
      </c>
      <c r="I448" s="553">
        <v>89</v>
      </c>
      <c r="J448" s="553">
        <v>47</v>
      </c>
      <c r="K448" s="553">
        <v>30</v>
      </c>
      <c r="L448" s="553">
        <v>4</v>
      </c>
      <c r="M448" s="554" t="s">
        <v>137</v>
      </c>
      <c r="N448" s="500">
        <v>43047560210000</v>
      </c>
      <c r="O448" s="553" t="s">
        <v>1037</v>
      </c>
      <c r="P448" s="650" t="s">
        <v>1051</v>
      </c>
      <c r="Q448" s="564" t="s">
        <v>583</v>
      </c>
      <c r="R448" s="564">
        <v>2</v>
      </c>
    </row>
    <row r="449" spans="1:18" ht="15" customHeight="1" x14ac:dyDescent="0.25">
      <c r="A449" s="553">
        <v>6</v>
      </c>
      <c r="B449" s="553">
        <v>2</v>
      </c>
      <c r="C449" s="553">
        <v>2</v>
      </c>
      <c r="D449" s="553">
        <v>1</v>
      </c>
      <c r="E449" s="553">
        <v>1</v>
      </c>
      <c r="F449" s="553">
        <v>2</v>
      </c>
      <c r="G449" s="553" t="s">
        <v>491</v>
      </c>
      <c r="H449" s="553">
        <v>1300.9000000000001</v>
      </c>
      <c r="I449" s="553">
        <v>89</v>
      </c>
      <c r="J449" s="553">
        <v>38</v>
      </c>
      <c r="K449" s="553">
        <v>42</v>
      </c>
      <c r="L449" s="553">
        <v>4</v>
      </c>
      <c r="M449" s="554" t="s">
        <v>137</v>
      </c>
      <c r="N449" s="500">
        <v>43047560210000</v>
      </c>
      <c r="O449" s="553" t="s">
        <v>1037</v>
      </c>
      <c r="P449" s="650" t="s">
        <v>1052</v>
      </c>
      <c r="Q449" s="564" t="s">
        <v>583</v>
      </c>
      <c r="R449" s="564">
        <v>2</v>
      </c>
    </row>
    <row r="450" spans="1:18" ht="15" customHeight="1" x14ac:dyDescent="0.25">
      <c r="A450" s="553">
        <v>6</v>
      </c>
      <c r="B450" s="553">
        <v>2</v>
      </c>
      <c r="C450" s="553">
        <v>2</v>
      </c>
      <c r="D450" s="553">
        <v>1</v>
      </c>
      <c r="E450" s="553">
        <v>1</v>
      </c>
      <c r="F450" s="553">
        <v>2</v>
      </c>
      <c r="G450" s="553" t="s">
        <v>494</v>
      </c>
      <c r="H450" s="553">
        <v>1314.01</v>
      </c>
      <c r="I450" s="553">
        <v>89</v>
      </c>
      <c r="J450" s="553">
        <v>19</v>
      </c>
      <c r="K450" s="553">
        <v>10</v>
      </c>
      <c r="L450" s="553">
        <v>4</v>
      </c>
      <c r="M450" s="554" t="s">
        <v>137</v>
      </c>
      <c r="N450" s="500">
        <v>43047560210000</v>
      </c>
      <c r="O450" s="553" t="s">
        <v>1037</v>
      </c>
      <c r="P450" s="650" t="s">
        <v>1053</v>
      </c>
      <c r="Q450" s="564" t="s">
        <v>583</v>
      </c>
      <c r="R450" s="564">
        <v>2</v>
      </c>
    </row>
    <row r="451" spans="1:18" ht="15" customHeight="1" x14ac:dyDescent="0.25">
      <c r="A451" s="553">
        <v>6</v>
      </c>
      <c r="B451" s="553">
        <v>2</v>
      </c>
      <c r="C451" s="553">
        <v>2</v>
      </c>
      <c r="D451" s="553">
        <v>2</v>
      </c>
      <c r="E451" s="553">
        <v>2</v>
      </c>
      <c r="F451" s="553">
        <v>2</v>
      </c>
      <c r="G451" s="553" t="s">
        <v>473</v>
      </c>
      <c r="H451" s="553">
        <v>1306.69</v>
      </c>
      <c r="I451" s="553">
        <v>0</v>
      </c>
      <c r="J451" s="553">
        <v>4</v>
      </c>
      <c r="K451" s="553">
        <v>25</v>
      </c>
      <c r="L451" s="553">
        <v>4</v>
      </c>
      <c r="M451" s="554" t="s">
        <v>137</v>
      </c>
      <c r="N451" s="500">
        <v>43013539130000</v>
      </c>
      <c r="O451" s="553" t="s">
        <v>852</v>
      </c>
      <c r="P451" s="650" t="s">
        <v>1054</v>
      </c>
      <c r="Q451" s="564" t="s">
        <v>583</v>
      </c>
      <c r="R451" s="564">
        <v>1</v>
      </c>
    </row>
    <row r="452" spans="1:18" ht="15" customHeight="1" x14ac:dyDescent="0.25">
      <c r="A452" s="553">
        <v>6</v>
      </c>
      <c r="B452" s="553">
        <v>2</v>
      </c>
      <c r="C452" s="553">
        <v>2</v>
      </c>
      <c r="D452" s="553">
        <v>2</v>
      </c>
      <c r="E452" s="553">
        <v>2</v>
      </c>
      <c r="F452" s="553">
        <v>2</v>
      </c>
      <c r="G452" s="502" t="s">
        <v>476</v>
      </c>
      <c r="H452" s="553">
        <v>1313.37</v>
      </c>
      <c r="I452" s="553">
        <v>0</v>
      </c>
      <c r="J452" s="553">
        <v>5</v>
      </c>
      <c r="K452" s="553">
        <v>13</v>
      </c>
      <c r="L452" s="553">
        <v>4</v>
      </c>
      <c r="M452" s="554" t="s">
        <v>137</v>
      </c>
      <c r="N452" s="500">
        <v>43013539130000</v>
      </c>
      <c r="O452" s="553" t="s">
        <v>852</v>
      </c>
      <c r="P452" s="650" t="s">
        <v>1055</v>
      </c>
      <c r="Q452" s="564" t="s">
        <v>583</v>
      </c>
      <c r="R452" s="564">
        <v>1</v>
      </c>
    </row>
    <row r="453" spans="1:18" ht="15" customHeight="1" x14ac:dyDescent="0.25">
      <c r="A453" s="553">
        <v>6</v>
      </c>
      <c r="B453" s="553">
        <v>2</v>
      </c>
      <c r="C453" s="553">
        <v>2</v>
      </c>
      <c r="D453" s="553">
        <v>2</v>
      </c>
      <c r="E453" s="553">
        <v>2</v>
      </c>
      <c r="F453" s="553">
        <v>2</v>
      </c>
      <c r="G453" s="553" t="s">
        <v>478</v>
      </c>
      <c r="H453" s="553">
        <v>1313.43</v>
      </c>
      <c r="I453" s="553">
        <v>0</v>
      </c>
      <c r="J453" s="553">
        <v>4</v>
      </c>
      <c r="K453" s="553">
        <v>11</v>
      </c>
      <c r="L453" s="553">
        <v>4</v>
      </c>
      <c r="M453" s="554" t="s">
        <v>137</v>
      </c>
      <c r="N453" s="500">
        <v>43013539130000</v>
      </c>
      <c r="O453" s="553" t="s">
        <v>852</v>
      </c>
      <c r="P453" s="650" t="s">
        <v>1056</v>
      </c>
      <c r="Q453" s="564" t="s">
        <v>583</v>
      </c>
      <c r="R453" s="564">
        <v>1</v>
      </c>
    </row>
    <row r="454" spans="1:18" ht="15" customHeight="1" x14ac:dyDescent="0.25">
      <c r="A454" s="553">
        <v>6</v>
      </c>
      <c r="B454" s="553">
        <v>2</v>
      </c>
      <c r="C454" s="553">
        <v>2</v>
      </c>
      <c r="D454" s="553">
        <v>2</v>
      </c>
      <c r="E454" s="553">
        <v>2</v>
      </c>
      <c r="F454" s="553">
        <v>2</v>
      </c>
      <c r="G454" s="553" t="s">
        <v>484</v>
      </c>
      <c r="H454" s="553">
        <v>1313.18</v>
      </c>
      <c r="I454" s="553">
        <v>0</v>
      </c>
      <c r="J454" s="553">
        <v>4</v>
      </c>
      <c r="K454" s="553">
        <v>25</v>
      </c>
      <c r="L454" s="553">
        <v>4</v>
      </c>
      <c r="M454" s="554" t="s">
        <v>137</v>
      </c>
      <c r="N454" s="500">
        <v>43013539130000</v>
      </c>
      <c r="O454" s="553" t="s">
        <v>852</v>
      </c>
      <c r="P454" s="650" t="s">
        <v>1057</v>
      </c>
      <c r="Q454" s="564" t="s">
        <v>583</v>
      </c>
      <c r="R454" s="564">
        <v>1</v>
      </c>
    </row>
    <row r="455" spans="1:18" ht="15" customHeight="1" x14ac:dyDescent="0.25">
      <c r="A455" s="553">
        <v>6</v>
      </c>
      <c r="B455" s="553">
        <v>2</v>
      </c>
      <c r="C455" s="553">
        <v>2</v>
      </c>
      <c r="D455" s="553">
        <v>2</v>
      </c>
      <c r="E455" s="553">
        <v>2</v>
      </c>
      <c r="F455" s="553">
        <v>2</v>
      </c>
      <c r="G455" s="553" t="s">
        <v>486</v>
      </c>
      <c r="H455" s="553">
        <v>1315.91</v>
      </c>
      <c r="I455" s="553">
        <v>0</v>
      </c>
      <c r="J455" s="553">
        <v>1</v>
      </c>
      <c r="K455" s="553">
        <v>5</v>
      </c>
      <c r="L455" s="553">
        <v>4</v>
      </c>
      <c r="M455" s="554" t="s">
        <v>137</v>
      </c>
      <c r="N455" s="500">
        <v>43013539130000</v>
      </c>
      <c r="O455" s="553" t="s">
        <v>852</v>
      </c>
      <c r="P455" s="650" t="s">
        <v>1058</v>
      </c>
      <c r="Q455" s="564" t="s">
        <v>583</v>
      </c>
      <c r="R455" s="564">
        <v>1</v>
      </c>
    </row>
    <row r="456" spans="1:18" ht="15" customHeight="1" x14ac:dyDescent="0.25">
      <c r="A456" s="553">
        <v>6</v>
      </c>
      <c r="B456" s="553">
        <v>2</v>
      </c>
      <c r="C456" s="553">
        <v>2</v>
      </c>
      <c r="D456" s="553">
        <v>2</v>
      </c>
      <c r="E456" s="553">
        <v>2</v>
      </c>
      <c r="F456" s="553">
        <v>2</v>
      </c>
      <c r="G456" s="502" t="s">
        <v>488</v>
      </c>
      <c r="H456" s="553">
        <v>1315.91</v>
      </c>
      <c r="I456" s="553">
        <v>0</v>
      </c>
      <c r="J456" s="553">
        <v>1</v>
      </c>
      <c r="K456" s="553">
        <v>5</v>
      </c>
      <c r="L456" s="553">
        <v>4</v>
      </c>
      <c r="M456" s="554" t="s">
        <v>137</v>
      </c>
      <c r="N456" s="500">
        <v>43013539130000</v>
      </c>
      <c r="O456" s="553" t="s">
        <v>852</v>
      </c>
      <c r="P456" s="650" t="s">
        <v>1059</v>
      </c>
      <c r="Q456" s="564" t="s">
        <v>583</v>
      </c>
      <c r="R456" s="564">
        <v>1</v>
      </c>
    </row>
    <row r="457" spans="1:18" ht="15" customHeight="1" x14ac:dyDescent="0.25">
      <c r="A457" s="553">
        <v>6</v>
      </c>
      <c r="B457" s="553">
        <v>2</v>
      </c>
      <c r="C457" s="553">
        <v>2</v>
      </c>
      <c r="D457" s="553">
        <v>2</v>
      </c>
      <c r="E457" s="553">
        <v>2</v>
      </c>
      <c r="F457" s="553">
        <v>2</v>
      </c>
      <c r="G457" s="553" t="s">
        <v>490</v>
      </c>
      <c r="H457" s="553">
        <v>1320.59</v>
      </c>
      <c r="I457" s="553">
        <v>0</v>
      </c>
      <c r="J457" s="553">
        <v>0</v>
      </c>
      <c r="K457" s="553">
        <v>5</v>
      </c>
      <c r="L457" s="553">
        <v>0</v>
      </c>
      <c r="M457" s="554" t="s">
        <v>137</v>
      </c>
      <c r="N457" s="500">
        <v>43013539130000</v>
      </c>
      <c r="O457" s="553" t="s">
        <v>852</v>
      </c>
      <c r="P457" s="650" t="s">
        <v>1060</v>
      </c>
      <c r="Q457" s="564" t="s">
        <v>583</v>
      </c>
      <c r="R457" s="564">
        <v>1</v>
      </c>
    </row>
    <row r="458" spans="1:18" ht="15" customHeight="1" x14ac:dyDescent="0.25">
      <c r="A458" s="553">
        <v>6</v>
      </c>
      <c r="B458" s="553">
        <v>2</v>
      </c>
      <c r="C458" s="553">
        <v>2</v>
      </c>
      <c r="D458" s="553">
        <v>2</v>
      </c>
      <c r="E458" s="553">
        <v>2</v>
      </c>
      <c r="F458" s="553">
        <v>2</v>
      </c>
      <c r="G458" s="553" t="s">
        <v>493</v>
      </c>
      <c r="H458" s="553">
        <v>1320.59</v>
      </c>
      <c r="I458" s="553">
        <v>0</v>
      </c>
      <c r="J458" s="553">
        <v>0</v>
      </c>
      <c r="K458" s="553">
        <v>5</v>
      </c>
      <c r="L458" s="553">
        <v>0</v>
      </c>
      <c r="M458" s="554" t="s">
        <v>137</v>
      </c>
      <c r="N458" s="500">
        <v>43013539130000</v>
      </c>
      <c r="O458" s="553" t="s">
        <v>852</v>
      </c>
      <c r="P458" s="650" t="s">
        <v>1061</v>
      </c>
      <c r="Q458" s="564" t="s">
        <v>583</v>
      </c>
      <c r="R458" s="564">
        <v>1</v>
      </c>
    </row>
    <row r="459" spans="1:18" ht="15" customHeight="1" x14ac:dyDescent="0.25">
      <c r="A459" s="553">
        <v>6</v>
      </c>
      <c r="B459" s="553">
        <v>2</v>
      </c>
      <c r="C459" s="553">
        <v>2</v>
      </c>
      <c r="D459" s="553">
        <v>2</v>
      </c>
      <c r="E459" s="553">
        <v>2</v>
      </c>
      <c r="F459" s="553">
        <v>2</v>
      </c>
      <c r="G459" s="553" t="s">
        <v>474</v>
      </c>
      <c r="H459" s="553">
        <v>1244.8</v>
      </c>
      <c r="I459" s="553">
        <v>89</v>
      </c>
      <c r="J459" s="553">
        <v>51</v>
      </c>
      <c r="K459" s="553">
        <v>58</v>
      </c>
      <c r="L459" s="553">
        <v>3</v>
      </c>
      <c r="M459" s="554" t="s">
        <v>137</v>
      </c>
      <c r="N459" s="500">
        <v>43013539130000</v>
      </c>
      <c r="O459" s="553" t="s">
        <v>852</v>
      </c>
      <c r="P459" s="650" t="s">
        <v>1062</v>
      </c>
      <c r="Q459" s="564" t="s">
        <v>583</v>
      </c>
      <c r="R459" s="564">
        <v>1</v>
      </c>
    </row>
    <row r="460" spans="1:18" ht="15" customHeight="1" x14ac:dyDescent="0.25">
      <c r="A460" s="553">
        <v>6</v>
      </c>
      <c r="B460" s="553">
        <v>2</v>
      </c>
      <c r="C460" s="553">
        <v>2</v>
      </c>
      <c r="D460" s="553">
        <v>2</v>
      </c>
      <c r="E460" s="553">
        <v>2</v>
      </c>
      <c r="F460" s="553">
        <v>2</v>
      </c>
      <c r="G460" s="502" t="s">
        <v>477</v>
      </c>
      <c r="H460" s="553">
        <v>1244.8</v>
      </c>
      <c r="I460" s="553">
        <v>89</v>
      </c>
      <c r="J460" s="553">
        <v>51</v>
      </c>
      <c r="K460" s="553">
        <v>58</v>
      </c>
      <c r="L460" s="553">
        <v>3</v>
      </c>
      <c r="M460" s="554" t="s">
        <v>137</v>
      </c>
      <c r="N460" s="500">
        <v>43013539130000</v>
      </c>
      <c r="O460" s="553" t="s">
        <v>852</v>
      </c>
      <c r="P460" s="650" t="s">
        <v>1063</v>
      </c>
      <c r="Q460" s="564" t="s">
        <v>583</v>
      </c>
      <c r="R460" s="564">
        <v>1</v>
      </c>
    </row>
    <row r="461" spans="1:18" ht="15" customHeight="1" x14ac:dyDescent="0.25">
      <c r="A461" s="553">
        <v>6</v>
      </c>
      <c r="B461" s="553">
        <v>2</v>
      </c>
      <c r="C461" s="553">
        <v>2</v>
      </c>
      <c r="D461" s="553">
        <v>2</v>
      </c>
      <c r="E461" s="553">
        <v>2</v>
      </c>
      <c r="F461" s="553">
        <v>2</v>
      </c>
      <c r="G461" s="553" t="s">
        <v>479</v>
      </c>
      <c r="H461" s="553">
        <v>1336.585</v>
      </c>
      <c r="I461" s="553">
        <v>89</v>
      </c>
      <c r="J461" s="553">
        <v>48</v>
      </c>
      <c r="K461" s="553">
        <v>1</v>
      </c>
      <c r="L461" s="553">
        <v>3</v>
      </c>
      <c r="M461" s="554" t="s">
        <v>137</v>
      </c>
      <c r="N461" s="500">
        <v>43013539130000</v>
      </c>
      <c r="O461" s="553" t="s">
        <v>852</v>
      </c>
      <c r="P461" s="650" t="s">
        <v>1064</v>
      </c>
      <c r="Q461" s="564" t="s">
        <v>583</v>
      </c>
      <c r="R461" s="564">
        <v>1</v>
      </c>
    </row>
    <row r="462" spans="1:18" ht="15" customHeight="1" x14ac:dyDescent="0.25">
      <c r="A462" s="553">
        <v>6</v>
      </c>
      <c r="B462" s="553">
        <v>2</v>
      </c>
      <c r="C462" s="553">
        <v>2</v>
      </c>
      <c r="D462" s="553">
        <v>2</v>
      </c>
      <c r="E462" s="553">
        <v>2</v>
      </c>
      <c r="F462" s="553">
        <v>2</v>
      </c>
      <c r="G462" s="553" t="s">
        <v>485</v>
      </c>
      <c r="H462" s="553">
        <v>1336.585</v>
      </c>
      <c r="I462" s="553">
        <v>89</v>
      </c>
      <c r="J462" s="553">
        <v>48</v>
      </c>
      <c r="K462" s="553">
        <v>1</v>
      </c>
      <c r="L462" s="553">
        <v>3</v>
      </c>
      <c r="M462" s="554" t="s">
        <v>137</v>
      </c>
      <c r="N462" s="500">
        <v>43013539130000</v>
      </c>
      <c r="O462" s="553" t="s">
        <v>852</v>
      </c>
      <c r="P462" s="650" t="s">
        <v>1065</v>
      </c>
      <c r="Q462" s="564" t="s">
        <v>583</v>
      </c>
      <c r="R462" s="564">
        <v>1</v>
      </c>
    </row>
    <row r="463" spans="1:18" ht="15" customHeight="1" x14ac:dyDescent="0.25">
      <c r="A463" s="553">
        <v>6</v>
      </c>
      <c r="B463" s="553">
        <v>2</v>
      </c>
      <c r="C463" s="553">
        <v>2</v>
      </c>
      <c r="D463" s="553">
        <v>2</v>
      </c>
      <c r="E463" s="553">
        <v>2</v>
      </c>
      <c r="F463" s="553">
        <v>2</v>
      </c>
      <c r="G463" s="553" t="s">
        <v>487</v>
      </c>
      <c r="H463" s="553">
        <v>1260.7249999999999</v>
      </c>
      <c r="I463" s="553">
        <v>89</v>
      </c>
      <c r="J463" s="553">
        <v>52</v>
      </c>
      <c r="K463" s="553">
        <v>28</v>
      </c>
      <c r="L463" s="553">
        <v>4</v>
      </c>
      <c r="M463" s="554" t="s">
        <v>137</v>
      </c>
      <c r="N463" s="500">
        <v>43013539130000</v>
      </c>
      <c r="O463" s="553" t="s">
        <v>852</v>
      </c>
      <c r="P463" s="650" t="s">
        <v>1066</v>
      </c>
      <c r="Q463" s="564" t="s">
        <v>583</v>
      </c>
      <c r="R463" s="564">
        <v>1</v>
      </c>
    </row>
    <row r="464" spans="1:18" ht="15" customHeight="1" x14ac:dyDescent="0.25">
      <c r="A464" s="553">
        <v>6</v>
      </c>
      <c r="B464" s="553">
        <v>2</v>
      </c>
      <c r="C464" s="553">
        <v>2</v>
      </c>
      <c r="D464" s="553">
        <v>2</v>
      </c>
      <c r="E464" s="553">
        <v>2</v>
      </c>
      <c r="F464" s="553">
        <v>2</v>
      </c>
      <c r="G464" s="502" t="s">
        <v>489</v>
      </c>
      <c r="H464" s="553">
        <v>1260.7249999999999</v>
      </c>
      <c r="I464" s="553">
        <v>89</v>
      </c>
      <c r="J464" s="553">
        <v>52</v>
      </c>
      <c r="K464" s="553">
        <v>28</v>
      </c>
      <c r="L464" s="553">
        <v>4</v>
      </c>
      <c r="M464" s="505" t="s">
        <v>137</v>
      </c>
      <c r="N464" s="500">
        <v>43013539130000</v>
      </c>
      <c r="O464" s="553" t="s">
        <v>852</v>
      </c>
      <c r="P464" s="650" t="s">
        <v>1067</v>
      </c>
      <c r="Q464" s="564" t="s">
        <v>583</v>
      </c>
      <c r="R464" s="564">
        <v>1</v>
      </c>
    </row>
    <row r="465" spans="1:18" ht="15" customHeight="1" x14ac:dyDescent="0.25">
      <c r="A465" s="553">
        <v>6</v>
      </c>
      <c r="B465" s="553">
        <v>2</v>
      </c>
      <c r="C465" s="553">
        <v>2</v>
      </c>
      <c r="D465" s="553">
        <v>2</v>
      </c>
      <c r="E465" s="553">
        <v>2</v>
      </c>
      <c r="F465" s="553">
        <v>2</v>
      </c>
      <c r="G465" s="553" t="s">
        <v>491</v>
      </c>
      <c r="H465" s="553">
        <v>1317.92</v>
      </c>
      <c r="I465" s="553">
        <v>89</v>
      </c>
      <c r="J465" s="553">
        <v>52</v>
      </c>
      <c r="K465" s="553">
        <v>35</v>
      </c>
      <c r="L465" s="553">
        <v>4</v>
      </c>
      <c r="M465" s="505" t="s">
        <v>137</v>
      </c>
      <c r="N465" s="500">
        <v>43013539130000</v>
      </c>
      <c r="O465" s="553" t="s">
        <v>852</v>
      </c>
      <c r="P465" s="650" t="s">
        <v>1068</v>
      </c>
      <c r="Q465" s="564" t="s">
        <v>583</v>
      </c>
      <c r="R465" s="564">
        <v>1</v>
      </c>
    </row>
    <row r="466" spans="1:18" ht="15" customHeight="1" x14ac:dyDescent="0.25">
      <c r="A466" s="553">
        <v>6</v>
      </c>
      <c r="B466" s="553">
        <v>2</v>
      </c>
      <c r="C466" s="553">
        <v>2</v>
      </c>
      <c r="D466" s="553">
        <v>2</v>
      </c>
      <c r="E466" s="553">
        <v>2</v>
      </c>
      <c r="F466" s="553">
        <v>2</v>
      </c>
      <c r="G466" s="553" t="s">
        <v>494</v>
      </c>
      <c r="H466" s="553">
        <v>1317.92</v>
      </c>
      <c r="I466" s="553">
        <v>89</v>
      </c>
      <c r="J466" s="553">
        <v>52</v>
      </c>
      <c r="K466" s="553">
        <v>35</v>
      </c>
      <c r="L466" s="553">
        <v>4</v>
      </c>
      <c r="M466" s="505" t="s">
        <v>137</v>
      </c>
      <c r="N466" s="500">
        <v>43013539130000</v>
      </c>
      <c r="O466" s="553" t="s">
        <v>852</v>
      </c>
      <c r="P466" s="650" t="s">
        <v>1069</v>
      </c>
      <c r="Q466" s="564" t="s">
        <v>583</v>
      </c>
      <c r="R466" s="564">
        <v>1</v>
      </c>
    </row>
    <row r="467" spans="1:18" ht="15" customHeight="1" x14ac:dyDescent="0.25">
      <c r="A467" s="553">
        <v>6</v>
      </c>
      <c r="B467" s="553">
        <v>2</v>
      </c>
      <c r="C467" s="553">
        <v>2</v>
      </c>
      <c r="D467" s="553">
        <v>3</v>
      </c>
      <c r="E467" s="553">
        <v>2</v>
      </c>
      <c r="F467" s="553">
        <v>2</v>
      </c>
      <c r="G467" s="553" t="s">
        <v>473</v>
      </c>
      <c r="H467" s="553">
        <v>1322.11</v>
      </c>
      <c r="I467" s="553">
        <v>0</v>
      </c>
      <c r="J467" s="553">
        <v>7</v>
      </c>
      <c r="K467" s="553">
        <v>41</v>
      </c>
      <c r="L467" s="553">
        <v>2</v>
      </c>
      <c r="M467" s="505" t="s">
        <v>137</v>
      </c>
      <c r="N467" s="500">
        <v>43013538730000</v>
      </c>
      <c r="O467" s="553" t="s">
        <v>952</v>
      </c>
      <c r="P467" s="650" t="s">
        <v>1070</v>
      </c>
      <c r="Q467" s="564" t="s">
        <v>583</v>
      </c>
      <c r="R467" s="564">
        <v>2</v>
      </c>
    </row>
    <row r="468" spans="1:18" ht="15" customHeight="1" x14ac:dyDescent="0.25">
      <c r="A468" s="553">
        <v>6</v>
      </c>
      <c r="B468" s="553">
        <v>2</v>
      </c>
      <c r="C468" s="553">
        <v>2</v>
      </c>
      <c r="D468" s="553">
        <v>3</v>
      </c>
      <c r="E468" s="553">
        <v>2</v>
      </c>
      <c r="F468" s="553">
        <v>2</v>
      </c>
      <c r="G468" s="502" t="s">
        <v>476</v>
      </c>
      <c r="H468" s="553">
        <v>1322.11</v>
      </c>
      <c r="I468" s="553">
        <v>0</v>
      </c>
      <c r="J468" s="553">
        <v>7</v>
      </c>
      <c r="K468" s="553">
        <v>41</v>
      </c>
      <c r="L468" s="553">
        <v>2</v>
      </c>
      <c r="M468" s="505" t="s">
        <v>137</v>
      </c>
      <c r="N468" s="500">
        <v>43013538730000</v>
      </c>
      <c r="O468" s="553" t="s">
        <v>952</v>
      </c>
      <c r="P468" s="650" t="s">
        <v>1071</v>
      </c>
      <c r="Q468" s="564" t="s">
        <v>583</v>
      </c>
      <c r="R468" s="564">
        <v>2</v>
      </c>
    </row>
    <row r="469" spans="1:18" ht="15" customHeight="1" x14ac:dyDescent="0.25">
      <c r="A469" s="553">
        <v>6</v>
      </c>
      <c r="B469" s="553">
        <v>2</v>
      </c>
      <c r="C469" s="553">
        <v>2</v>
      </c>
      <c r="D469" s="553">
        <v>3</v>
      </c>
      <c r="E469" s="553">
        <v>2</v>
      </c>
      <c r="F469" s="553">
        <v>2</v>
      </c>
      <c r="G469" s="553" t="s">
        <v>478</v>
      </c>
      <c r="H469" s="553">
        <v>1322.11</v>
      </c>
      <c r="I469" s="553">
        <v>0</v>
      </c>
      <c r="J469" s="553">
        <v>7</v>
      </c>
      <c r="K469" s="553">
        <v>41</v>
      </c>
      <c r="L469" s="553">
        <v>2</v>
      </c>
      <c r="M469" s="505" t="s">
        <v>137</v>
      </c>
      <c r="N469" s="500">
        <v>43013538730000</v>
      </c>
      <c r="O469" s="553" t="s">
        <v>952</v>
      </c>
      <c r="P469" s="650" t="s">
        <v>1072</v>
      </c>
      <c r="Q469" s="564" t="s">
        <v>583</v>
      </c>
      <c r="R469" s="564">
        <v>2</v>
      </c>
    </row>
    <row r="470" spans="1:18" ht="15" customHeight="1" x14ac:dyDescent="0.25">
      <c r="A470" s="553">
        <v>6</v>
      </c>
      <c r="B470" s="553">
        <v>2</v>
      </c>
      <c r="C470" s="553">
        <v>2</v>
      </c>
      <c r="D470" s="553">
        <v>3</v>
      </c>
      <c r="E470" s="553">
        <v>2</v>
      </c>
      <c r="F470" s="553">
        <v>2</v>
      </c>
      <c r="G470" s="553" t="s">
        <v>484</v>
      </c>
      <c r="H470" s="553">
        <v>1322.11</v>
      </c>
      <c r="I470" s="553">
        <v>0</v>
      </c>
      <c r="J470" s="553">
        <v>7</v>
      </c>
      <c r="K470" s="553">
        <v>41</v>
      </c>
      <c r="L470" s="553">
        <v>2</v>
      </c>
      <c r="M470" s="505" t="s">
        <v>137</v>
      </c>
      <c r="N470" s="500">
        <v>43013538730000</v>
      </c>
      <c r="O470" s="553" t="s">
        <v>952</v>
      </c>
      <c r="P470" s="650" t="s">
        <v>1073</v>
      </c>
      <c r="Q470" s="564" t="s">
        <v>583</v>
      </c>
      <c r="R470" s="564">
        <v>2</v>
      </c>
    </row>
    <row r="471" spans="1:18" ht="15" customHeight="1" x14ac:dyDescent="0.25">
      <c r="A471" s="553">
        <v>6</v>
      </c>
      <c r="B471" s="553">
        <v>2</v>
      </c>
      <c r="C471" s="553">
        <v>2</v>
      </c>
      <c r="D471" s="553">
        <v>3</v>
      </c>
      <c r="E471" s="553">
        <v>2</v>
      </c>
      <c r="F471" s="553">
        <v>2</v>
      </c>
      <c r="G471" s="553" t="s">
        <v>486</v>
      </c>
      <c r="H471" s="553">
        <v>1320.2950000000001</v>
      </c>
      <c r="I471" s="553">
        <v>0</v>
      </c>
      <c r="J471" s="553">
        <v>1</v>
      </c>
      <c r="K471" s="553">
        <v>1</v>
      </c>
      <c r="L471" s="553">
        <v>2</v>
      </c>
      <c r="M471" s="505" t="s">
        <v>137</v>
      </c>
      <c r="N471" s="500">
        <v>43013538730000</v>
      </c>
      <c r="O471" s="553" t="s">
        <v>952</v>
      </c>
      <c r="P471" s="650" t="s">
        <v>1074</v>
      </c>
      <c r="Q471" s="564" t="s">
        <v>583</v>
      </c>
      <c r="R471" s="564">
        <v>2</v>
      </c>
    </row>
    <row r="472" spans="1:18" ht="15" customHeight="1" x14ac:dyDescent="0.25">
      <c r="A472" s="553">
        <v>6</v>
      </c>
      <c r="B472" s="553">
        <v>2</v>
      </c>
      <c r="C472" s="553">
        <v>2</v>
      </c>
      <c r="D472" s="553">
        <v>3</v>
      </c>
      <c r="E472" s="553">
        <v>2</v>
      </c>
      <c r="F472" s="553">
        <v>2</v>
      </c>
      <c r="G472" s="502" t="s">
        <v>488</v>
      </c>
      <c r="H472" s="553">
        <v>1320.2950000000001</v>
      </c>
      <c r="I472" s="553">
        <v>0</v>
      </c>
      <c r="J472" s="553">
        <v>1</v>
      </c>
      <c r="K472" s="553">
        <v>1</v>
      </c>
      <c r="L472" s="553">
        <v>2</v>
      </c>
      <c r="M472" s="505" t="s">
        <v>137</v>
      </c>
      <c r="N472" s="500">
        <v>43013538730000</v>
      </c>
      <c r="O472" s="553" t="s">
        <v>952</v>
      </c>
      <c r="P472" s="650" t="s">
        <v>1075</v>
      </c>
      <c r="Q472" s="564" t="s">
        <v>583</v>
      </c>
      <c r="R472" s="564">
        <v>2</v>
      </c>
    </row>
    <row r="473" spans="1:18" ht="15" customHeight="1" x14ac:dyDescent="0.25">
      <c r="A473" s="553">
        <v>6</v>
      </c>
      <c r="B473" s="553">
        <v>2</v>
      </c>
      <c r="C473" s="553">
        <v>2</v>
      </c>
      <c r="D473" s="553">
        <v>3</v>
      </c>
      <c r="E473" s="553">
        <v>2</v>
      </c>
      <c r="F473" s="553">
        <v>2</v>
      </c>
      <c r="G473" s="553" t="s">
        <v>490</v>
      </c>
      <c r="H473" s="553">
        <v>1317.4749999999999</v>
      </c>
      <c r="I473" s="553">
        <v>0</v>
      </c>
      <c r="J473" s="553">
        <v>7</v>
      </c>
      <c r="K473" s="553">
        <v>27</v>
      </c>
      <c r="L473" s="553">
        <v>4</v>
      </c>
      <c r="M473" s="505" t="s">
        <v>137</v>
      </c>
      <c r="N473" s="500">
        <v>43013538730000</v>
      </c>
      <c r="O473" s="553" t="s">
        <v>952</v>
      </c>
      <c r="P473" s="650" t="s">
        <v>1076</v>
      </c>
      <c r="Q473" s="564" t="s">
        <v>583</v>
      </c>
      <c r="R473" s="564">
        <v>2</v>
      </c>
    </row>
    <row r="474" spans="1:18" ht="15" customHeight="1" x14ac:dyDescent="0.25">
      <c r="A474" s="553">
        <v>6</v>
      </c>
      <c r="B474" s="553">
        <v>2</v>
      </c>
      <c r="C474" s="553">
        <v>2</v>
      </c>
      <c r="D474" s="553">
        <v>3</v>
      </c>
      <c r="E474" s="553">
        <v>2</v>
      </c>
      <c r="F474" s="553">
        <v>2</v>
      </c>
      <c r="G474" s="553" t="s">
        <v>493</v>
      </c>
      <c r="H474" s="553">
        <v>1317.4749999999999</v>
      </c>
      <c r="I474" s="553">
        <v>0</v>
      </c>
      <c r="J474" s="553">
        <v>7</v>
      </c>
      <c r="K474" s="553">
        <v>27</v>
      </c>
      <c r="L474" s="553">
        <v>4</v>
      </c>
      <c r="M474" s="505" t="s">
        <v>137</v>
      </c>
      <c r="N474" s="500">
        <v>43013538730000</v>
      </c>
      <c r="O474" s="553" t="s">
        <v>952</v>
      </c>
      <c r="P474" s="650" t="s">
        <v>1077</v>
      </c>
      <c r="Q474" s="564" t="s">
        <v>583</v>
      </c>
      <c r="R474" s="564">
        <v>2</v>
      </c>
    </row>
    <row r="475" spans="1:18" ht="15" customHeight="1" x14ac:dyDescent="0.25">
      <c r="A475" s="553">
        <v>6</v>
      </c>
      <c r="B475" s="553">
        <v>2</v>
      </c>
      <c r="C475" s="553">
        <v>2</v>
      </c>
      <c r="D475" s="553">
        <v>3</v>
      </c>
      <c r="E475" s="553">
        <v>2</v>
      </c>
      <c r="F475" s="553">
        <v>2</v>
      </c>
      <c r="G475" s="553" t="s">
        <v>474</v>
      </c>
      <c r="H475" s="553">
        <v>1294.4849999999999</v>
      </c>
      <c r="I475" s="553">
        <v>89</v>
      </c>
      <c r="J475" s="553">
        <v>51</v>
      </c>
      <c r="K475" s="553">
        <v>8</v>
      </c>
      <c r="L475" s="553">
        <v>4</v>
      </c>
      <c r="M475" s="505" t="s">
        <v>137</v>
      </c>
      <c r="N475" s="500">
        <v>43013538730000</v>
      </c>
      <c r="O475" s="553" t="s">
        <v>952</v>
      </c>
      <c r="P475" s="650" t="s">
        <v>1078</v>
      </c>
      <c r="Q475" s="564" t="s">
        <v>583</v>
      </c>
      <c r="R475" s="564">
        <v>2</v>
      </c>
    </row>
    <row r="476" spans="1:18" ht="15" customHeight="1" x14ac:dyDescent="0.25">
      <c r="A476" s="553">
        <v>6</v>
      </c>
      <c r="B476" s="553">
        <v>2</v>
      </c>
      <c r="C476" s="553">
        <v>2</v>
      </c>
      <c r="D476" s="553">
        <v>3</v>
      </c>
      <c r="E476" s="553">
        <v>2</v>
      </c>
      <c r="F476" s="553">
        <v>2</v>
      </c>
      <c r="G476" s="502" t="s">
        <v>477</v>
      </c>
      <c r="H476" s="553">
        <v>1294.4849999999999</v>
      </c>
      <c r="I476" s="553">
        <v>89</v>
      </c>
      <c r="J476" s="553">
        <v>51</v>
      </c>
      <c r="K476" s="553">
        <v>8</v>
      </c>
      <c r="L476" s="553">
        <v>4</v>
      </c>
      <c r="M476" s="505" t="s">
        <v>137</v>
      </c>
      <c r="N476" s="500">
        <v>43013538730000</v>
      </c>
      <c r="O476" s="553" t="s">
        <v>952</v>
      </c>
      <c r="P476" s="650" t="s">
        <v>1079</v>
      </c>
      <c r="Q476" s="564" t="s">
        <v>583</v>
      </c>
      <c r="R476" s="564">
        <v>2</v>
      </c>
    </row>
    <row r="477" spans="1:18" ht="15" customHeight="1" x14ac:dyDescent="0.25">
      <c r="A477" s="553">
        <v>6</v>
      </c>
      <c r="B477" s="553">
        <v>2</v>
      </c>
      <c r="C477" s="553">
        <v>2</v>
      </c>
      <c r="D477" s="553">
        <v>3</v>
      </c>
      <c r="E477" s="553">
        <v>2</v>
      </c>
      <c r="F477" s="553">
        <v>2</v>
      </c>
      <c r="G477" s="553" t="s">
        <v>479</v>
      </c>
      <c r="H477" s="553">
        <v>1320.43</v>
      </c>
      <c r="I477" s="553">
        <v>89</v>
      </c>
      <c r="J477" s="553">
        <v>52</v>
      </c>
      <c r="K477" s="553">
        <v>59</v>
      </c>
      <c r="L477" s="553">
        <v>4</v>
      </c>
      <c r="M477" s="505" t="s">
        <v>137</v>
      </c>
      <c r="N477" s="500">
        <v>43013538730000</v>
      </c>
      <c r="O477" s="553" t="s">
        <v>952</v>
      </c>
      <c r="P477" s="650" t="s">
        <v>1080</v>
      </c>
      <c r="Q477" s="564" t="s">
        <v>583</v>
      </c>
      <c r="R477" s="564">
        <v>2</v>
      </c>
    </row>
    <row r="478" spans="1:18" ht="15" customHeight="1" x14ac:dyDescent="0.25">
      <c r="A478" s="553">
        <v>6</v>
      </c>
      <c r="B478" s="553">
        <v>2</v>
      </c>
      <c r="C478" s="553">
        <v>2</v>
      </c>
      <c r="D478" s="553">
        <v>3</v>
      </c>
      <c r="E478" s="553">
        <v>2</v>
      </c>
      <c r="F478" s="553">
        <v>2</v>
      </c>
      <c r="G478" s="553" t="s">
        <v>485</v>
      </c>
      <c r="H478" s="553">
        <v>1320.43</v>
      </c>
      <c r="I478" s="553">
        <v>89</v>
      </c>
      <c r="J478" s="553">
        <v>52</v>
      </c>
      <c r="K478" s="553">
        <v>59</v>
      </c>
      <c r="L478" s="553">
        <v>4</v>
      </c>
      <c r="M478" s="505" t="s">
        <v>137</v>
      </c>
      <c r="N478" s="500">
        <v>43013538730000</v>
      </c>
      <c r="O478" s="553" t="s">
        <v>952</v>
      </c>
      <c r="P478" s="650" t="s">
        <v>1081</v>
      </c>
      <c r="Q478" s="564" t="s">
        <v>583</v>
      </c>
      <c r="R478" s="564">
        <v>2</v>
      </c>
    </row>
    <row r="479" spans="1:18" ht="15" customHeight="1" x14ac:dyDescent="0.25">
      <c r="A479" s="553">
        <v>6</v>
      </c>
      <c r="B479" s="553">
        <v>2</v>
      </c>
      <c r="C479" s="553">
        <v>2</v>
      </c>
      <c r="D479" s="553">
        <v>3</v>
      </c>
      <c r="E479" s="553">
        <v>2</v>
      </c>
      <c r="F479" s="553">
        <v>2</v>
      </c>
      <c r="G479" s="553" t="s">
        <v>487</v>
      </c>
      <c r="H479" s="553">
        <v>1311.6375</v>
      </c>
      <c r="I479" s="553">
        <v>89</v>
      </c>
      <c r="J479" s="553">
        <v>59</v>
      </c>
      <c r="K479" s="553">
        <v>27</v>
      </c>
      <c r="L479" s="553">
        <v>3</v>
      </c>
      <c r="M479" s="505" t="s">
        <v>137</v>
      </c>
      <c r="N479" s="500">
        <v>43013538730000</v>
      </c>
      <c r="O479" s="553" t="s">
        <v>952</v>
      </c>
      <c r="P479" s="650" t="s">
        <v>1082</v>
      </c>
      <c r="Q479" s="564" t="s">
        <v>583</v>
      </c>
      <c r="R479" s="564">
        <v>2</v>
      </c>
    </row>
    <row r="480" spans="1:18" ht="15" customHeight="1" x14ac:dyDescent="0.25">
      <c r="A480" s="553">
        <v>6</v>
      </c>
      <c r="B480" s="553">
        <v>2</v>
      </c>
      <c r="C480" s="553">
        <v>2</v>
      </c>
      <c r="D480" s="553">
        <v>3</v>
      </c>
      <c r="E480" s="553">
        <v>2</v>
      </c>
      <c r="F480" s="553">
        <v>2</v>
      </c>
      <c r="G480" s="502" t="s">
        <v>489</v>
      </c>
      <c r="H480" s="553">
        <v>1311.6375</v>
      </c>
      <c r="I480" s="553">
        <v>89</v>
      </c>
      <c r="J480" s="553">
        <v>59</v>
      </c>
      <c r="K480" s="553">
        <v>27</v>
      </c>
      <c r="L480" s="553">
        <v>3</v>
      </c>
      <c r="M480" s="505" t="s">
        <v>137</v>
      </c>
      <c r="N480" s="500">
        <v>43013538730000</v>
      </c>
      <c r="O480" s="553" t="s">
        <v>952</v>
      </c>
      <c r="P480" s="650" t="s">
        <v>1083</v>
      </c>
      <c r="Q480" s="564" t="s">
        <v>583</v>
      </c>
      <c r="R480" s="564">
        <v>2</v>
      </c>
    </row>
    <row r="481" spans="1:20" ht="15" customHeight="1" x14ac:dyDescent="0.25">
      <c r="A481" s="553">
        <v>6</v>
      </c>
      <c r="B481" s="553">
        <v>2</v>
      </c>
      <c r="C481" s="553">
        <v>2</v>
      </c>
      <c r="D481" s="553">
        <v>3</v>
      </c>
      <c r="E481" s="553">
        <v>2</v>
      </c>
      <c r="F481" s="553">
        <v>2</v>
      </c>
      <c r="G481" s="553" t="s">
        <v>491</v>
      </c>
      <c r="H481" s="553">
        <v>1311.6375</v>
      </c>
      <c r="I481" s="553">
        <v>89</v>
      </c>
      <c r="J481" s="553">
        <v>59</v>
      </c>
      <c r="K481" s="553">
        <v>27</v>
      </c>
      <c r="L481" s="553">
        <v>3</v>
      </c>
      <c r="M481" s="505" t="s">
        <v>137</v>
      </c>
      <c r="N481" s="500">
        <v>43013538730000</v>
      </c>
      <c r="O481" s="553" t="s">
        <v>952</v>
      </c>
      <c r="P481" s="650" t="s">
        <v>1084</v>
      </c>
      <c r="Q481" s="564" t="s">
        <v>583</v>
      </c>
      <c r="R481" s="564">
        <v>2</v>
      </c>
    </row>
    <row r="482" spans="1:20" ht="15" customHeight="1" x14ac:dyDescent="0.25">
      <c r="A482" s="553">
        <v>6</v>
      </c>
      <c r="B482" s="553">
        <v>2</v>
      </c>
      <c r="C482" s="553">
        <v>2</v>
      </c>
      <c r="D482" s="553">
        <v>3</v>
      </c>
      <c r="E482" s="553">
        <v>2</v>
      </c>
      <c r="F482" s="553">
        <v>2</v>
      </c>
      <c r="G482" s="553" t="s">
        <v>494</v>
      </c>
      <c r="H482" s="553">
        <v>1311.6375</v>
      </c>
      <c r="I482" s="553">
        <v>89</v>
      </c>
      <c r="J482" s="553">
        <v>59</v>
      </c>
      <c r="K482" s="553">
        <v>27</v>
      </c>
      <c r="L482" s="553">
        <v>3</v>
      </c>
      <c r="M482" s="505" t="s">
        <v>137</v>
      </c>
      <c r="N482" s="500">
        <v>43013538730000</v>
      </c>
      <c r="O482" s="553" t="s">
        <v>952</v>
      </c>
      <c r="P482" s="650" t="s">
        <v>1085</v>
      </c>
      <c r="Q482" s="564" t="s">
        <v>583</v>
      </c>
      <c r="R482" s="564">
        <v>2</v>
      </c>
    </row>
    <row r="483" spans="1:20" ht="15" customHeight="1" x14ac:dyDescent="0.25">
      <c r="A483" s="553">
        <v>6</v>
      </c>
      <c r="B483" s="553">
        <v>3</v>
      </c>
      <c r="C483" s="553">
        <v>2</v>
      </c>
      <c r="D483" s="553">
        <v>4</v>
      </c>
      <c r="E483" s="553">
        <v>2</v>
      </c>
      <c r="F483" s="553">
        <v>2</v>
      </c>
      <c r="G483" s="553" t="s">
        <v>473</v>
      </c>
      <c r="H483" s="553">
        <v>1311.09</v>
      </c>
      <c r="I483" s="553">
        <v>0</v>
      </c>
      <c r="J483" s="553">
        <v>0</v>
      </c>
      <c r="K483" s="553">
        <v>0</v>
      </c>
      <c r="L483" s="553">
        <v>0</v>
      </c>
      <c r="M483" s="505"/>
      <c r="N483" s="500"/>
      <c r="O483" s="553"/>
      <c r="P483" s="650" t="s">
        <v>1086</v>
      </c>
      <c r="Q483" s="564" t="s">
        <v>583</v>
      </c>
      <c r="R483" s="564">
        <v>1</v>
      </c>
      <c r="S483" s="484"/>
      <c r="T483" s="484"/>
    </row>
    <row r="484" spans="1:20" ht="15" customHeight="1" x14ac:dyDescent="0.25">
      <c r="A484" s="553">
        <v>6</v>
      </c>
      <c r="B484" s="553">
        <v>3</v>
      </c>
      <c r="C484" s="553">
        <v>2</v>
      </c>
      <c r="D484" s="553">
        <v>4</v>
      </c>
      <c r="E484" s="553">
        <v>2</v>
      </c>
      <c r="F484" s="553">
        <v>2</v>
      </c>
      <c r="G484" s="502" t="s">
        <v>476</v>
      </c>
      <c r="H484" s="553">
        <v>1316.41</v>
      </c>
      <c r="I484" s="553">
        <v>0</v>
      </c>
      <c r="J484" s="553">
        <v>0</v>
      </c>
      <c r="K484" s="553">
        <v>0</v>
      </c>
      <c r="L484" s="553">
        <v>0</v>
      </c>
      <c r="M484" s="505"/>
      <c r="N484" s="500"/>
      <c r="O484" s="553"/>
      <c r="P484" s="650" t="s">
        <v>1087</v>
      </c>
      <c r="Q484" s="564" t="s">
        <v>583</v>
      </c>
      <c r="R484" s="564">
        <v>1</v>
      </c>
      <c r="S484" s="484"/>
      <c r="T484" s="484"/>
    </row>
    <row r="485" spans="1:20" ht="15" customHeight="1" x14ac:dyDescent="0.25">
      <c r="A485" s="553">
        <v>6</v>
      </c>
      <c r="B485" s="553">
        <v>3</v>
      </c>
      <c r="C485" s="553">
        <v>2</v>
      </c>
      <c r="D485" s="553">
        <v>4</v>
      </c>
      <c r="E485" s="553">
        <v>2</v>
      </c>
      <c r="F485" s="553">
        <v>2</v>
      </c>
      <c r="G485" s="553" t="s">
        <v>478</v>
      </c>
      <c r="H485" s="553">
        <v>1316.3150000000001</v>
      </c>
      <c r="I485" s="553">
        <v>0</v>
      </c>
      <c r="J485" s="553">
        <v>0</v>
      </c>
      <c r="K485" s="553">
        <v>0</v>
      </c>
      <c r="L485" s="553">
        <v>0</v>
      </c>
      <c r="M485" s="505"/>
      <c r="N485" s="500"/>
      <c r="O485" s="553"/>
      <c r="P485" s="650" t="s">
        <v>1088</v>
      </c>
      <c r="Q485" s="564" t="s">
        <v>583</v>
      </c>
      <c r="R485" s="564">
        <v>1</v>
      </c>
      <c r="S485" s="484"/>
      <c r="T485" s="484"/>
    </row>
    <row r="486" spans="1:20" ht="15" customHeight="1" x14ac:dyDescent="0.25">
      <c r="A486" s="553">
        <v>6</v>
      </c>
      <c r="B486" s="553">
        <v>3</v>
      </c>
      <c r="C486" s="553">
        <v>2</v>
      </c>
      <c r="D486" s="553">
        <v>4</v>
      </c>
      <c r="E486" s="553">
        <v>2</v>
      </c>
      <c r="F486" s="553">
        <v>2</v>
      </c>
      <c r="G486" s="553" t="s">
        <v>484</v>
      </c>
      <c r="H486" s="553">
        <v>1316.3150000000001</v>
      </c>
      <c r="I486" s="553">
        <v>0</v>
      </c>
      <c r="J486" s="553">
        <v>0</v>
      </c>
      <c r="K486" s="553">
        <v>0</v>
      </c>
      <c r="L486" s="553">
        <v>0</v>
      </c>
      <c r="M486" s="505"/>
      <c r="N486" s="500"/>
      <c r="O486" s="553"/>
      <c r="P486" s="650" t="s">
        <v>1089</v>
      </c>
      <c r="Q486" s="564" t="s">
        <v>583</v>
      </c>
      <c r="R486" s="564">
        <v>1</v>
      </c>
      <c r="S486" s="484"/>
      <c r="T486" s="484"/>
    </row>
    <row r="487" spans="1:20" ht="15" customHeight="1" x14ac:dyDescent="0.25">
      <c r="A487" s="553">
        <v>6</v>
      </c>
      <c r="B487" s="553">
        <v>3</v>
      </c>
      <c r="C487" s="553">
        <v>2</v>
      </c>
      <c r="D487" s="553">
        <v>4</v>
      </c>
      <c r="E487" s="553">
        <v>2</v>
      </c>
      <c r="F487" s="553">
        <v>2</v>
      </c>
      <c r="G487" s="553" t="s">
        <v>486</v>
      </c>
      <c r="H487" s="553">
        <v>1321.75</v>
      </c>
      <c r="I487" s="553">
        <v>0</v>
      </c>
      <c r="J487" s="553">
        <v>20</v>
      </c>
      <c r="K487" s="553">
        <v>9</v>
      </c>
      <c r="L487" s="553">
        <v>4</v>
      </c>
      <c r="M487" s="505"/>
      <c r="N487" s="500"/>
      <c r="O487" s="553"/>
      <c r="P487" s="650" t="s">
        <v>1090</v>
      </c>
      <c r="Q487" s="564" t="s">
        <v>583</v>
      </c>
      <c r="R487" s="564">
        <v>1</v>
      </c>
      <c r="S487" s="484"/>
      <c r="T487" s="484"/>
    </row>
    <row r="488" spans="1:20" ht="15" customHeight="1" x14ac:dyDescent="0.25">
      <c r="A488" s="553">
        <v>6</v>
      </c>
      <c r="B488" s="553">
        <v>3</v>
      </c>
      <c r="C488" s="553">
        <v>2</v>
      </c>
      <c r="D488" s="553">
        <v>4</v>
      </c>
      <c r="E488" s="553">
        <v>2</v>
      </c>
      <c r="F488" s="553">
        <v>2</v>
      </c>
      <c r="G488" s="502" t="s">
        <v>488</v>
      </c>
      <c r="H488" s="553">
        <v>1321.75</v>
      </c>
      <c r="I488" s="553">
        <v>0</v>
      </c>
      <c r="J488" s="553">
        <v>20</v>
      </c>
      <c r="K488" s="553">
        <v>9</v>
      </c>
      <c r="L488" s="553">
        <v>4</v>
      </c>
      <c r="M488" s="505"/>
      <c r="N488" s="500"/>
      <c r="O488" s="553"/>
      <c r="P488" s="650" t="s">
        <v>1091</v>
      </c>
      <c r="Q488" s="564" t="s">
        <v>583</v>
      </c>
      <c r="R488" s="564">
        <v>1</v>
      </c>
      <c r="S488" s="484"/>
      <c r="T488" s="484"/>
    </row>
    <row r="489" spans="1:20" ht="15" customHeight="1" x14ac:dyDescent="0.25">
      <c r="A489" s="553">
        <v>6</v>
      </c>
      <c r="B489" s="553">
        <v>3</v>
      </c>
      <c r="C489" s="553">
        <v>2</v>
      </c>
      <c r="D489" s="553">
        <v>4</v>
      </c>
      <c r="E489" s="553">
        <v>2</v>
      </c>
      <c r="F489" s="553">
        <v>2</v>
      </c>
      <c r="G489" s="553" t="s">
        <v>490</v>
      </c>
      <c r="H489" s="553">
        <v>1314.04</v>
      </c>
      <c r="I489" s="553">
        <v>0</v>
      </c>
      <c r="J489" s="553">
        <v>18</v>
      </c>
      <c r="K489" s="553">
        <v>35</v>
      </c>
      <c r="L489" s="553">
        <v>4</v>
      </c>
      <c r="M489" s="505"/>
      <c r="N489" s="500"/>
      <c r="O489" s="553"/>
      <c r="P489" s="650" t="s">
        <v>1092</v>
      </c>
      <c r="Q489" s="564" t="s">
        <v>583</v>
      </c>
      <c r="R489" s="564">
        <v>1</v>
      </c>
      <c r="S489" s="484"/>
      <c r="T489" s="484"/>
    </row>
    <row r="490" spans="1:20" ht="15" customHeight="1" x14ac:dyDescent="0.25">
      <c r="A490" s="553">
        <v>6</v>
      </c>
      <c r="B490" s="553">
        <v>3</v>
      </c>
      <c r="C490" s="553">
        <v>2</v>
      </c>
      <c r="D490" s="553">
        <v>4</v>
      </c>
      <c r="E490" s="553">
        <v>2</v>
      </c>
      <c r="F490" s="553">
        <v>2</v>
      </c>
      <c r="G490" s="553" t="s">
        <v>493</v>
      </c>
      <c r="H490" s="553">
        <v>1314.04</v>
      </c>
      <c r="I490" s="553">
        <v>0</v>
      </c>
      <c r="J490" s="553">
        <v>18</v>
      </c>
      <c r="K490" s="553">
        <v>35</v>
      </c>
      <c r="L490" s="553">
        <v>4</v>
      </c>
      <c r="M490" s="505"/>
      <c r="N490" s="500"/>
      <c r="O490" s="553"/>
      <c r="P490" s="650" t="s">
        <v>1093</v>
      </c>
      <c r="Q490" s="564" t="s">
        <v>583</v>
      </c>
      <c r="R490" s="564">
        <v>1</v>
      </c>
      <c r="S490" s="484"/>
      <c r="T490" s="484"/>
    </row>
    <row r="491" spans="1:20" ht="15" customHeight="1" x14ac:dyDescent="0.25">
      <c r="A491" s="553">
        <v>6</v>
      </c>
      <c r="B491" s="553">
        <v>3</v>
      </c>
      <c r="C491" s="553">
        <v>2</v>
      </c>
      <c r="D491" s="553">
        <v>4</v>
      </c>
      <c r="E491" s="553">
        <v>2</v>
      </c>
      <c r="F491" s="553">
        <v>2</v>
      </c>
      <c r="G491" s="553" t="s">
        <v>474</v>
      </c>
      <c r="H491" s="553">
        <v>1328.5</v>
      </c>
      <c r="I491" s="553">
        <v>89</v>
      </c>
      <c r="J491" s="553">
        <v>32</v>
      </c>
      <c r="K491" s="553">
        <v>43</v>
      </c>
      <c r="L491" s="553">
        <v>4</v>
      </c>
      <c r="M491" s="505"/>
      <c r="N491" s="500"/>
      <c r="O491" s="553"/>
      <c r="P491" s="650" t="s">
        <v>1094</v>
      </c>
      <c r="Q491" s="564" t="s">
        <v>583</v>
      </c>
      <c r="R491" s="564">
        <v>1</v>
      </c>
      <c r="S491" s="484"/>
      <c r="T491" s="484"/>
    </row>
    <row r="492" spans="1:20" ht="15" customHeight="1" x14ac:dyDescent="0.25">
      <c r="A492" s="553">
        <v>6</v>
      </c>
      <c r="B492" s="553">
        <v>3</v>
      </c>
      <c r="C492" s="553">
        <v>2</v>
      </c>
      <c r="D492" s="553">
        <v>4</v>
      </c>
      <c r="E492" s="553">
        <v>2</v>
      </c>
      <c r="F492" s="553">
        <v>2</v>
      </c>
      <c r="G492" s="502" t="s">
        <v>477</v>
      </c>
      <c r="H492" s="553">
        <v>1328.5</v>
      </c>
      <c r="I492" s="553">
        <v>89</v>
      </c>
      <c r="J492" s="553">
        <v>32</v>
      </c>
      <c r="K492" s="553">
        <v>43</v>
      </c>
      <c r="L492" s="553">
        <v>4</v>
      </c>
      <c r="M492" s="505"/>
      <c r="N492" s="500"/>
      <c r="O492" s="553"/>
      <c r="P492" s="650" t="s">
        <v>1095</v>
      </c>
      <c r="Q492" s="564" t="s">
        <v>583</v>
      </c>
      <c r="R492" s="564">
        <v>1</v>
      </c>
      <c r="S492" s="484"/>
      <c r="T492" s="484"/>
    </row>
    <row r="493" spans="1:20" ht="15" customHeight="1" x14ac:dyDescent="0.25">
      <c r="A493" s="553">
        <v>6</v>
      </c>
      <c r="B493" s="553">
        <v>3</v>
      </c>
      <c r="C493" s="553">
        <v>2</v>
      </c>
      <c r="D493" s="553">
        <v>4</v>
      </c>
      <c r="E493" s="553">
        <v>2</v>
      </c>
      <c r="F493" s="553">
        <v>2</v>
      </c>
      <c r="G493" s="553" t="s">
        <v>479</v>
      </c>
      <c r="H493" s="553">
        <v>1315.9849999999999</v>
      </c>
      <c r="I493" s="553">
        <v>89</v>
      </c>
      <c r="J493" s="553">
        <v>48</v>
      </c>
      <c r="K493" s="553">
        <v>12</v>
      </c>
      <c r="L493" s="553">
        <v>1</v>
      </c>
      <c r="M493" s="505"/>
      <c r="N493" s="500"/>
      <c r="O493" s="553"/>
      <c r="P493" s="650" t="s">
        <v>1096</v>
      </c>
      <c r="Q493" s="564" t="s">
        <v>583</v>
      </c>
      <c r="R493" s="564">
        <v>1</v>
      </c>
      <c r="S493" s="484"/>
      <c r="T493" s="484"/>
    </row>
    <row r="494" spans="1:20" ht="15" customHeight="1" x14ac:dyDescent="0.25">
      <c r="A494" s="553">
        <v>6</v>
      </c>
      <c r="B494" s="553">
        <v>3</v>
      </c>
      <c r="C494" s="553">
        <v>2</v>
      </c>
      <c r="D494" s="553">
        <v>4</v>
      </c>
      <c r="E494" s="553">
        <v>2</v>
      </c>
      <c r="F494" s="553">
        <v>2</v>
      </c>
      <c r="G494" s="553" t="s">
        <v>485</v>
      </c>
      <c r="H494" s="553">
        <v>1315.9849999999999</v>
      </c>
      <c r="I494" s="553">
        <v>89</v>
      </c>
      <c r="J494" s="553">
        <v>48</v>
      </c>
      <c r="K494" s="553">
        <v>12</v>
      </c>
      <c r="L494" s="553">
        <v>1</v>
      </c>
      <c r="M494" s="505"/>
      <c r="N494" s="500"/>
      <c r="O494" s="553"/>
      <c r="P494" s="650" t="s">
        <v>1097</v>
      </c>
      <c r="Q494" s="564" t="s">
        <v>583</v>
      </c>
      <c r="R494" s="564">
        <v>1</v>
      </c>
      <c r="S494" s="484"/>
      <c r="T494" s="484"/>
    </row>
    <row r="495" spans="1:20" ht="15" customHeight="1" x14ac:dyDescent="0.25">
      <c r="A495" s="553">
        <v>6</v>
      </c>
      <c r="B495" s="553">
        <v>3</v>
      </c>
      <c r="C495" s="553">
        <v>2</v>
      </c>
      <c r="D495" s="553">
        <v>4</v>
      </c>
      <c r="E495" s="553">
        <v>2</v>
      </c>
      <c r="F495" s="553">
        <v>2</v>
      </c>
      <c r="G495" s="553" t="s">
        <v>487</v>
      </c>
      <c r="H495" s="553">
        <v>1332.9949999999999</v>
      </c>
      <c r="I495" s="553">
        <v>89</v>
      </c>
      <c r="J495" s="553">
        <v>51</v>
      </c>
      <c r="K495" s="553">
        <v>41</v>
      </c>
      <c r="L495" s="553">
        <v>2</v>
      </c>
      <c r="M495" s="505"/>
      <c r="N495" s="500"/>
      <c r="O495" s="553"/>
      <c r="P495" s="650" t="s">
        <v>1098</v>
      </c>
      <c r="Q495" s="564" t="s">
        <v>583</v>
      </c>
      <c r="R495" s="564">
        <v>1</v>
      </c>
      <c r="S495" s="484"/>
      <c r="T495" s="484"/>
    </row>
    <row r="496" spans="1:20" ht="15" customHeight="1" x14ac:dyDescent="0.25">
      <c r="A496" s="553">
        <v>6</v>
      </c>
      <c r="B496" s="553">
        <v>3</v>
      </c>
      <c r="C496" s="553">
        <v>2</v>
      </c>
      <c r="D496" s="553">
        <v>4</v>
      </c>
      <c r="E496" s="553">
        <v>2</v>
      </c>
      <c r="F496" s="553">
        <v>2</v>
      </c>
      <c r="G496" s="502" t="s">
        <v>489</v>
      </c>
      <c r="H496" s="553">
        <v>1332.9949999999999</v>
      </c>
      <c r="I496" s="553">
        <v>89</v>
      </c>
      <c r="J496" s="553">
        <v>51</v>
      </c>
      <c r="K496" s="553">
        <v>41</v>
      </c>
      <c r="L496" s="553">
        <v>2</v>
      </c>
      <c r="M496" s="505"/>
      <c r="N496" s="500"/>
      <c r="O496" s="553"/>
      <c r="P496" s="650" t="s">
        <v>1099</v>
      </c>
      <c r="Q496" s="564" t="s">
        <v>583</v>
      </c>
      <c r="R496" s="564">
        <v>1</v>
      </c>
      <c r="S496" s="484"/>
      <c r="T496" s="484"/>
    </row>
    <row r="497" spans="1:20" ht="15" customHeight="1" x14ac:dyDescent="0.25">
      <c r="A497" s="553">
        <v>6</v>
      </c>
      <c r="B497" s="553">
        <v>3</v>
      </c>
      <c r="C497" s="553">
        <v>2</v>
      </c>
      <c r="D497" s="553">
        <v>4</v>
      </c>
      <c r="E497" s="553">
        <v>2</v>
      </c>
      <c r="F497" s="553">
        <v>2</v>
      </c>
      <c r="G497" s="553" t="s">
        <v>491</v>
      </c>
      <c r="H497" s="553">
        <v>1331.115</v>
      </c>
      <c r="I497" s="553">
        <v>89</v>
      </c>
      <c r="J497" s="553">
        <v>52</v>
      </c>
      <c r="K497" s="553">
        <v>32</v>
      </c>
      <c r="L497" s="553">
        <v>1</v>
      </c>
      <c r="M497" s="505"/>
      <c r="N497" s="500"/>
      <c r="O497" s="553"/>
      <c r="P497" s="650" t="s">
        <v>1100</v>
      </c>
      <c r="Q497" s="564" t="s">
        <v>583</v>
      </c>
      <c r="R497" s="564">
        <v>1</v>
      </c>
      <c r="S497" s="484"/>
      <c r="T497" s="484"/>
    </row>
    <row r="498" spans="1:20" ht="15" customHeight="1" x14ac:dyDescent="0.25">
      <c r="A498" s="553">
        <v>6</v>
      </c>
      <c r="B498" s="553">
        <v>3</v>
      </c>
      <c r="C498" s="553">
        <v>2</v>
      </c>
      <c r="D498" s="553">
        <v>4</v>
      </c>
      <c r="E498" s="553">
        <v>2</v>
      </c>
      <c r="F498" s="553">
        <v>2</v>
      </c>
      <c r="G498" s="553" t="s">
        <v>494</v>
      </c>
      <c r="H498" s="553">
        <v>1331.115</v>
      </c>
      <c r="I498" s="553">
        <v>89</v>
      </c>
      <c r="J498" s="553">
        <v>52</v>
      </c>
      <c r="K498" s="553">
        <v>32</v>
      </c>
      <c r="L498" s="553">
        <v>1</v>
      </c>
      <c r="M498" s="505"/>
      <c r="N498" s="500"/>
      <c r="O498" s="553"/>
      <c r="P498" s="650" t="s">
        <v>1101</v>
      </c>
      <c r="Q498" s="564" t="s">
        <v>583</v>
      </c>
      <c r="R498" s="564">
        <v>1</v>
      </c>
      <c r="S498" s="484"/>
      <c r="T498" s="484"/>
    </row>
    <row r="499" spans="1:20" ht="15" customHeight="1" x14ac:dyDescent="0.25">
      <c r="A499" s="564">
        <v>6</v>
      </c>
      <c r="B499" s="564">
        <v>3</v>
      </c>
      <c r="C499" s="564">
        <v>2</v>
      </c>
      <c r="D499" s="564">
        <v>2</v>
      </c>
      <c r="E499" s="564">
        <v>2</v>
      </c>
      <c r="F499" s="564">
        <v>2</v>
      </c>
      <c r="G499" s="553" t="s">
        <v>473</v>
      </c>
      <c r="H499" s="564">
        <v>1289.8499999999999</v>
      </c>
      <c r="I499" s="564">
        <v>0</v>
      </c>
      <c r="J499" s="564">
        <v>0</v>
      </c>
      <c r="K499" s="564">
        <v>37</v>
      </c>
      <c r="L499" s="564">
        <v>4</v>
      </c>
      <c r="M499" s="561" t="s">
        <v>137</v>
      </c>
      <c r="N499" s="520">
        <v>4301354041</v>
      </c>
      <c r="O499" s="564" t="s">
        <v>1102</v>
      </c>
      <c r="P499" s="522" t="s">
        <v>1103</v>
      </c>
      <c r="Q499" s="564"/>
      <c r="R499" s="564">
        <v>2</v>
      </c>
    </row>
    <row r="500" spans="1:20" ht="15" customHeight="1" x14ac:dyDescent="0.25">
      <c r="A500" s="564">
        <v>6</v>
      </c>
      <c r="B500" s="564">
        <v>3</v>
      </c>
      <c r="C500" s="564">
        <v>2</v>
      </c>
      <c r="D500" s="564">
        <v>2</v>
      </c>
      <c r="E500" s="564">
        <v>2</v>
      </c>
      <c r="F500" s="564">
        <v>2</v>
      </c>
      <c r="G500" s="502" t="s">
        <v>476</v>
      </c>
      <c r="H500" s="564">
        <v>1289.1600000000001</v>
      </c>
      <c r="I500" s="564">
        <v>0</v>
      </c>
      <c r="J500" s="564">
        <v>18</v>
      </c>
      <c r="K500" s="564">
        <v>16</v>
      </c>
      <c r="L500" s="564">
        <v>4</v>
      </c>
      <c r="M500" s="561" t="s">
        <v>137</v>
      </c>
      <c r="N500" s="520">
        <v>4301354041</v>
      </c>
      <c r="O500" s="564" t="s">
        <v>1102</v>
      </c>
      <c r="P500" s="522" t="s">
        <v>1104</v>
      </c>
      <c r="Q500" s="564"/>
      <c r="R500" s="564">
        <v>2</v>
      </c>
    </row>
    <row r="501" spans="1:20" ht="15" customHeight="1" x14ac:dyDescent="0.25">
      <c r="A501" s="564">
        <v>6</v>
      </c>
      <c r="B501" s="564">
        <v>3</v>
      </c>
      <c r="C501" s="564">
        <v>2</v>
      </c>
      <c r="D501" s="564">
        <v>2</v>
      </c>
      <c r="E501" s="564">
        <v>2</v>
      </c>
      <c r="F501" s="564">
        <v>2</v>
      </c>
      <c r="G501" s="553" t="s">
        <v>478</v>
      </c>
      <c r="H501" s="564">
        <v>1288.78</v>
      </c>
      <c r="I501" s="564">
        <v>0</v>
      </c>
      <c r="J501" s="564">
        <v>5</v>
      </c>
      <c r="K501" s="564">
        <v>20</v>
      </c>
      <c r="L501" s="564">
        <v>2</v>
      </c>
      <c r="M501" s="561" t="s">
        <v>137</v>
      </c>
      <c r="N501" s="520">
        <v>4301354041</v>
      </c>
      <c r="O501" s="564" t="s">
        <v>1102</v>
      </c>
      <c r="P501" s="522" t="s">
        <v>1105</v>
      </c>
      <c r="Q501" s="564"/>
      <c r="R501" s="564">
        <v>2</v>
      </c>
    </row>
    <row r="502" spans="1:20" ht="15" customHeight="1" x14ac:dyDescent="0.25">
      <c r="A502" s="564">
        <v>6</v>
      </c>
      <c r="B502" s="564">
        <v>3</v>
      </c>
      <c r="C502" s="564">
        <v>2</v>
      </c>
      <c r="D502" s="564">
        <v>2</v>
      </c>
      <c r="E502" s="564">
        <v>2</v>
      </c>
      <c r="F502" s="564">
        <v>2</v>
      </c>
      <c r="G502" s="553" t="s">
        <v>484</v>
      </c>
      <c r="H502" s="564">
        <v>1288.78</v>
      </c>
      <c r="I502" s="564">
        <v>0</v>
      </c>
      <c r="J502" s="564">
        <v>5</v>
      </c>
      <c r="K502" s="564">
        <v>20</v>
      </c>
      <c r="L502" s="564">
        <v>2</v>
      </c>
      <c r="M502" s="561" t="s">
        <v>137</v>
      </c>
      <c r="N502" s="520">
        <v>4301354041</v>
      </c>
      <c r="O502" s="564" t="s">
        <v>1102</v>
      </c>
      <c r="P502" s="522" t="s">
        <v>1106</v>
      </c>
      <c r="Q502" s="564"/>
      <c r="R502" s="564">
        <v>2</v>
      </c>
    </row>
    <row r="503" spans="1:20" ht="15" customHeight="1" x14ac:dyDescent="0.25">
      <c r="A503" s="564">
        <v>6</v>
      </c>
      <c r="B503" s="564">
        <v>3</v>
      </c>
      <c r="C503" s="564">
        <v>2</v>
      </c>
      <c r="D503" s="564">
        <v>2</v>
      </c>
      <c r="E503" s="564">
        <v>2</v>
      </c>
      <c r="F503" s="564">
        <v>2</v>
      </c>
      <c r="G503" s="553" t="s">
        <v>486</v>
      </c>
      <c r="H503" s="564">
        <v>1340.47</v>
      </c>
      <c r="I503" s="564">
        <v>0</v>
      </c>
      <c r="J503" s="564">
        <v>14</v>
      </c>
      <c r="K503" s="564">
        <v>40</v>
      </c>
      <c r="L503" s="564">
        <v>2</v>
      </c>
      <c r="M503" s="561" t="s">
        <v>137</v>
      </c>
      <c r="N503" s="520">
        <v>4301354041</v>
      </c>
      <c r="O503" s="564" t="s">
        <v>1102</v>
      </c>
      <c r="P503" s="522" t="s">
        <v>1107</v>
      </c>
      <c r="Q503" s="564"/>
      <c r="R503" s="564">
        <v>2</v>
      </c>
    </row>
    <row r="504" spans="1:20" ht="15" customHeight="1" x14ac:dyDescent="0.25">
      <c r="A504" s="564">
        <v>6</v>
      </c>
      <c r="B504" s="564">
        <v>3</v>
      </c>
      <c r="C504" s="564">
        <v>2</v>
      </c>
      <c r="D504" s="564">
        <v>2</v>
      </c>
      <c r="E504" s="564">
        <v>2</v>
      </c>
      <c r="F504" s="564">
        <v>2</v>
      </c>
      <c r="G504" s="502" t="s">
        <v>488</v>
      </c>
      <c r="H504" s="564">
        <v>1340.47</v>
      </c>
      <c r="I504" s="564">
        <v>0</v>
      </c>
      <c r="J504" s="564">
        <v>14</v>
      </c>
      <c r="K504" s="564">
        <v>40</v>
      </c>
      <c r="L504" s="564">
        <v>2</v>
      </c>
      <c r="M504" s="561" t="s">
        <v>137</v>
      </c>
      <c r="N504" s="520">
        <v>4301354041</v>
      </c>
      <c r="O504" s="564" t="s">
        <v>1102</v>
      </c>
      <c r="P504" s="522" t="s">
        <v>1108</v>
      </c>
      <c r="Q504" s="564"/>
      <c r="R504" s="564">
        <v>2</v>
      </c>
    </row>
    <row r="505" spans="1:20" ht="15" customHeight="1" x14ac:dyDescent="0.25">
      <c r="A505" s="564">
        <v>6</v>
      </c>
      <c r="B505" s="564">
        <v>3</v>
      </c>
      <c r="C505" s="564">
        <v>2</v>
      </c>
      <c r="D505" s="564">
        <v>2</v>
      </c>
      <c r="E505" s="564">
        <v>2</v>
      </c>
      <c r="F505" s="564">
        <v>2</v>
      </c>
      <c r="G505" s="553" t="s">
        <v>490</v>
      </c>
      <c r="H505" s="564">
        <v>1302.48</v>
      </c>
      <c r="I505" s="564">
        <v>0</v>
      </c>
      <c r="J505" s="564">
        <v>36</v>
      </c>
      <c r="K505" s="564">
        <v>1</v>
      </c>
      <c r="L505" s="564">
        <v>4</v>
      </c>
      <c r="M505" s="561" t="s">
        <v>137</v>
      </c>
      <c r="N505" s="520">
        <v>4301354041</v>
      </c>
      <c r="O505" s="564" t="s">
        <v>1102</v>
      </c>
      <c r="P505" s="522" t="s">
        <v>1109</v>
      </c>
      <c r="Q505" s="564"/>
      <c r="R505" s="564">
        <v>2</v>
      </c>
    </row>
    <row r="506" spans="1:20" ht="15" customHeight="1" x14ac:dyDescent="0.25">
      <c r="A506" s="564">
        <v>6</v>
      </c>
      <c r="B506" s="564">
        <v>3</v>
      </c>
      <c r="C506" s="564">
        <v>2</v>
      </c>
      <c r="D506" s="564">
        <v>2</v>
      </c>
      <c r="E506" s="564">
        <v>2</v>
      </c>
      <c r="F506" s="564">
        <v>2</v>
      </c>
      <c r="G506" s="553" t="s">
        <v>493</v>
      </c>
      <c r="H506" s="564">
        <v>1302.48</v>
      </c>
      <c r="I506" s="564">
        <v>0</v>
      </c>
      <c r="J506" s="564">
        <v>36</v>
      </c>
      <c r="K506" s="564">
        <v>1</v>
      </c>
      <c r="L506" s="564">
        <v>4</v>
      </c>
      <c r="M506" s="561" t="s">
        <v>137</v>
      </c>
      <c r="N506" s="520">
        <v>4301354041</v>
      </c>
      <c r="O506" s="564" t="s">
        <v>1102</v>
      </c>
      <c r="P506" s="522" t="s">
        <v>1110</v>
      </c>
      <c r="Q506" s="564"/>
      <c r="R506" s="564">
        <v>2</v>
      </c>
    </row>
    <row r="507" spans="1:20" ht="15" customHeight="1" x14ac:dyDescent="0.25">
      <c r="A507" s="564">
        <v>6</v>
      </c>
      <c r="B507" s="564">
        <v>3</v>
      </c>
      <c r="C507" s="564">
        <v>2</v>
      </c>
      <c r="D507" s="564">
        <v>2</v>
      </c>
      <c r="E507" s="564">
        <v>2</v>
      </c>
      <c r="F507" s="564">
        <v>2</v>
      </c>
      <c r="G507" s="553" t="s">
        <v>474</v>
      </c>
      <c r="H507" s="564">
        <v>1235.52</v>
      </c>
      <c r="I507" s="564">
        <v>89</v>
      </c>
      <c r="J507" s="564">
        <v>49</v>
      </c>
      <c r="K507" s="564">
        <v>22</v>
      </c>
      <c r="L507" s="564">
        <v>3</v>
      </c>
      <c r="M507" s="561" t="s">
        <v>137</v>
      </c>
      <c r="N507" s="520">
        <v>4301354041</v>
      </c>
      <c r="O507" s="564" t="s">
        <v>1102</v>
      </c>
      <c r="P507" s="522" t="s">
        <v>1111</v>
      </c>
      <c r="Q507" s="564"/>
      <c r="R507" s="564">
        <v>2</v>
      </c>
    </row>
    <row r="508" spans="1:20" ht="15" customHeight="1" x14ac:dyDescent="0.25">
      <c r="A508" s="564">
        <v>6</v>
      </c>
      <c r="B508" s="564">
        <v>3</v>
      </c>
      <c r="C508" s="564">
        <v>2</v>
      </c>
      <c r="D508" s="564">
        <v>2</v>
      </c>
      <c r="E508" s="564">
        <v>2</v>
      </c>
      <c r="F508" s="564">
        <v>2</v>
      </c>
      <c r="G508" s="502" t="s">
        <v>477</v>
      </c>
      <c r="H508" s="564">
        <v>1321.87</v>
      </c>
      <c r="I508" s="564">
        <v>89</v>
      </c>
      <c r="J508" s="564">
        <v>49</v>
      </c>
      <c r="K508" s="564">
        <v>26</v>
      </c>
      <c r="L508" s="564">
        <v>3</v>
      </c>
      <c r="M508" s="561" t="s">
        <v>137</v>
      </c>
      <c r="N508" s="520">
        <v>4301354041</v>
      </c>
      <c r="O508" s="564" t="s">
        <v>1102</v>
      </c>
      <c r="P508" s="522" t="s">
        <v>1112</v>
      </c>
      <c r="Q508" s="564"/>
      <c r="R508" s="564">
        <v>2</v>
      </c>
    </row>
    <row r="509" spans="1:20" ht="15" customHeight="1" x14ac:dyDescent="0.25">
      <c r="A509" s="564">
        <v>6</v>
      </c>
      <c r="B509" s="564">
        <v>3</v>
      </c>
      <c r="C509" s="564">
        <v>2</v>
      </c>
      <c r="D509" s="564">
        <v>2</v>
      </c>
      <c r="E509" s="564">
        <v>2</v>
      </c>
      <c r="F509" s="564">
        <v>2</v>
      </c>
      <c r="G509" s="553" t="s">
        <v>479</v>
      </c>
      <c r="H509" s="564">
        <v>1320.74</v>
      </c>
      <c r="I509" s="564">
        <v>89</v>
      </c>
      <c r="J509" s="564">
        <v>49</v>
      </c>
      <c r="K509" s="564">
        <v>27</v>
      </c>
      <c r="L509" s="564">
        <v>3</v>
      </c>
      <c r="M509" s="561" t="s">
        <v>137</v>
      </c>
      <c r="N509" s="520">
        <v>4301354041</v>
      </c>
      <c r="O509" s="564" t="s">
        <v>1102</v>
      </c>
      <c r="P509" s="522" t="s">
        <v>1113</v>
      </c>
      <c r="Q509" s="564"/>
      <c r="R509" s="564">
        <v>2</v>
      </c>
    </row>
    <row r="510" spans="1:20" ht="15" customHeight="1" x14ac:dyDescent="0.25">
      <c r="A510" s="564">
        <v>6</v>
      </c>
      <c r="B510" s="564">
        <v>3</v>
      </c>
      <c r="C510" s="564">
        <v>2</v>
      </c>
      <c r="D510" s="564">
        <v>2</v>
      </c>
      <c r="E510" s="564">
        <v>2</v>
      </c>
      <c r="F510" s="564">
        <v>2</v>
      </c>
      <c r="G510" s="553" t="s">
        <v>485</v>
      </c>
      <c r="H510" s="564">
        <v>1320.74</v>
      </c>
      <c r="I510" s="564">
        <v>89</v>
      </c>
      <c r="J510" s="564">
        <v>49</v>
      </c>
      <c r="K510" s="564">
        <v>27</v>
      </c>
      <c r="L510" s="564">
        <v>3</v>
      </c>
      <c r="M510" s="561" t="s">
        <v>137</v>
      </c>
      <c r="N510" s="520">
        <v>4301354041</v>
      </c>
      <c r="O510" s="564" t="s">
        <v>1102</v>
      </c>
      <c r="P510" s="522" t="s">
        <v>1114</v>
      </c>
      <c r="Q510" s="564"/>
      <c r="R510" s="564">
        <v>2</v>
      </c>
    </row>
    <row r="511" spans="1:20" ht="15" customHeight="1" x14ac:dyDescent="0.25">
      <c r="A511" s="564">
        <v>6</v>
      </c>
      <c r="B511" s="564">
        <v>3</v>
      </c>
      <c r="C511" s="564">
        <v>2</v>
      </c>
      <c r="D511" s="564">
        <v>2</v>
      </c>
      <c r="E511" s="564">
        <v>2</v>
      </c>
      <c r="F511" s="564">
        <v>2</v>
      </c>
      <c r="G511" s="553" t="s">
        <v>487</v>
      </c>
      <c r="H511" s="564">
        <v>1303.21</v>
      </c>
      <c r="I511" s="564">
        <v>88</v>
      </c>
      <c r="J511" s="564">
        <v>45</v>
      </c>
      <c r="K511" s="564">
        <v>21</v>
      </c>
      <c r="L511" s="564">
        <v>4</v>
      </c>
      <c r="M511" s="561" t="s">
        <v>137</v>
      </c>
      <c r="N511" s="520">
        <v>4301354041</v>
      </c>
      <c r="O511" s="564" t="s">
        <v>1102</v>
      </c>
      <c r="P511" s="522" t="s">
        <v>1115</v>
      </c>
      <c r="Q511" s="564"/>
      <c r="R511" s="564">
        <v>2</v>
      </c>
    </row>
    <row r="512" spans="1:20" ht="15" customHeight="1" x14ac:dyDescent="0.25">
      <c r="A512" s="564">
        <v>6</v>
      </c>
      <c r="B512" s="564">
        <v>3</v>
      </c>
      <c r="C512" s="564">
        <v>2</v>
      </c>
      <c r="D512" s="564">
        <v>2</v>
      </c>
      <c r="E512" s="564">
        <v>2</v>
      </c>
      <c r="F512" s="564">
        <v>2</v>
      </c>
      <c r="G512" s="502" t="s">
        <v>489</v>
      </c>
      <c r="H512" s="564">
        <v>1303.21</v>
      </c>
      <c r="I512" s="564">
        <v>88</v>
      </c>
      <c r="J512" s="564">
        <v>45</v>
      </c>
      <c r="K512" s="564">
        <v>21</v>
      </c>
      <c r="L512" s="564">
        <v>4</v>
      </c>
      <c r="M512" s="561" t="s">
        <v>137</v>
      </c>
      <c r="N512" s="520">
        <v>4301354041</v>
      </c>
      <c r="O512" s="564" t="s">
        <v>1102</v>
      </c>
      <c r="P512" s="522" t="s">
        <v>1116</v>
      </c>
      <c r="Q512" s="564"/>
      <c r="R512" s="564">
        <v>2</v>
      </c>
    </row>
    <row r="513" spans="1:18" ht="15" customHeight="1" x14ac:dyDescent="0.25">
      <c r="A513" s="564">
        <v>6</v>
      </c>
      <c r="B513" s="564">
        <v>3</v>
      </c>
      <c r="C513" s="564">
        <v>2</v>
      </c>
      <c r="D513" s="564">
        <v>2</v>
      </c>
      <c r="E513" s="564">
        <v>2</v>
      </c>
      <c r="F513" s="564">
        <v>2</v>
      </c>
      <c r="G513" s="553" t="s">
        <v>491</v>
      </c>
      <c r="H513" s="564">
        <v>1303.21</v>
      </c>
      <c r="I513" s="564">
        <v>88</v>
      </c>
      <c r="J513" s="564">
        <v>45</v>
      </c>
      <c r="K513" s="564">
        <v>21</v>
      </c>
      <c r="L513" s="564">
        <v>4</v>
      </c>
      <c r="M513" s="561" t="s">
        <v>137</v>
      </c>
      <c r="N513" s="520">
        <v>4301354041</v>
      </c>
      <c r="O513" s="564" t="s">
        <v>1102</v>
      </c>
      <c r="P513" s="522" t="s">
        <v>1117</v>
      </c>
      <c r="Q513" s="564"/>
      <c r="R513" s="564">
        <v>2</v>
      </c>
    </row>
    <row r="514" spans="1:18" ht="15" customHeight="1" x14ac:dyDescent="0.25">
      <c r="A514" s="564">
        <v>6</v>
      </c>
      <c r="B514" s="564">
        <v>3</v>
      </c>
      <c r="C514" s="564">
        <v>2</v>
      </c>
      <c r="D514" s="564">
        <v>2</v>
      </c>
      <c r="E514" s="564">
        <v>2</v>
      </c>
      <c r="F514" s="564">
        <v>2</v>
      </c>
      <c r="G514" s="553" t="s">
        <v>494</v>
      </c>
      <c r="H514" s="564">
        <v>1303.21</v>
      </c>
      <c r="I514" s="564">
        <v>88</v>
      </c>
      <c r="J514" s="564">
        <v>45</v>
      </c>
      <c r="K514" s="564">
        <v>21</v>
      </c>
      <c r="L514" s="564">
        <v>4</v>
      </c>
      <c r="M514" s="561" t="s">
        <v>137</v>
      </c>
      <c r="N514" s="520">
        <v>4301354041</v>
      </c>
      <c r="O514" s="564" t="s">
        <v>1102</v>
      </c>
      <c r="P514" s="522" t="s">
        <v>1118</v>
      </c>
      <c r="Q514" s="564"/>
      <c r="R514" s="564">
        <v>2</v>
      </c>
    </row>
    <row r="515" spans="1:18" ht="15" customHeight="1" x14ac:dyDescent="0.25">
      <c r="A515" s="564">
        <v>6</v>
      </c>
      <c r="B515" s="564">
        <v>3</v>
      </c>
      <c r="C515" s="564">
        <v>2</v>
      </c>
      <c r="D515" s="564">
        <v>1</v>
      </c>
      <c r="E515" s="564">
        <v>1</v>
      </c>
      <c r="F515" s="564">
        <v>2</v>
      </c>
      <c r="G515" s="564" t="s">
        <v>473</v>
      </c>
      <c r="H515" s="564">
        <v>1283.02</v>
      </c>
      <c r="I515" s="564">
        <v>0</v>
      </c>
      <c r="J515" s="564">
        <v>33</v>
      </c>
      <c r="K515" s="564">
        <v>8</v>
      </c>
      <c r="L515" s="564">
        <v>2</v>
      </c>
      <c r="M515" s="561" t="s">
        <v>137</v>
      </c>
      <c r="N515" s="651">
        <v>4304756711</v>
      </c>
      <c r="O515" s="564" t="s">
        <v>1119</v>
      </c>
      <c r="P515" s="564" t="s">
        <v>1120</v>
      </c>
      <c r="Q515" s="564" t="s">
        <v>4440</v>
      </c>
      <c r="R515" s="564">
        <v>1</v>
      </c>
    </row>
    <row r="516" spans="1:18" ht="15" customHeight="1" x14ac:dyDescent="0.25">
      <c r="A516" s="564">
        <v>6</v>
      </c>
      <c r="B516" s="564">
        <v>3</v>
      </c>
      <c r="C516" s="564">
        <v>2</v>
      </c>
      <c r="D516" s="564">
        <v>1</v>
      </c>
      <c r="E516" s="564">
        <v>1</v>
      </c>
      <c r="F516" s="564">
        <v>2</v>
      </c>
      <c r="G516" s="521" t="s">
        <v>476</v>
      </c>
      <c r="H516" s="564">
        <v>1320.24</v>
      </c>
      <c r="I516" s="564">
        <v>0</v>
      </c>
      <c r="J516" s="564">
        <v>9</v>
      </c>
      <c r="K516" s="564">
        <v>47</v>
      </c>
      <c r="L516" s="564">
        <v>2</v>
      </c>
      <c r="M516" s="561" t="s">
        <v>137</v>
      </c>
      <c r="N516" s="651">
        <v>4304756711</v>
      </c>
      <c r="O516" s="564" t="s">
        <v>1119</v>
      </c>
      <c r="P516" s="564" t="s">
        <v>1121</v>
      </c>
      <c r="Q516" s="564" t="s">
        <v>4440</v>
      </c>
      <c r="R516" s="564">
        <v>1</v>
      </c>
    </row>
    <row r="517" spans="1:18" ht="15" customHeight="1" x14ac:dyDescent="0.25">
      <c r="A517" s="564">
        <v>6</v>
      </c>
      <c r="B517" s="564">
        <v>3</v>
      </c>
      <c r="C517" s="564">
        <v>2</v>
      </c>
      <c r="D517" s="564">
        <v>1</v>
      </c>
      <c r="E517" s="564">
        <v>1</v>
      </c>
      <c r="F517" s="564">
        <v>2</v>
      </c>
      <c r="G517" s="564" t="s">
        <v>478</v>
      </c>
      <c r="H517" s="564">
        <v>2639.97</v>
      </c>
      <c r="I517" s="564">
        <v>0</v>
      </c>
      <c r="J517" s="564">
        <v>9</v>
      </c>
      <c r="K517" s="564">
        <v>47</v>
      </c>
      <c r="L517" s="564">
        <v>2</v>
      </c>
      <c r="M517" s="561" t="s">
        <v>137</v>
      </c>
      <c r="N517" s="651">
        <v>4304756711</v>
      </c>
      <c r="O517" s="564" t="s">
        <v>1119</v>
      </c>
      <c r="P517" s="564" t="s">
        <v>1122</v>
      </c>
      <c r="Q517" s="564" t="s">
        <v>4440</v>
      </c>
      <c r="R517" s="564">
        <v>1</v>
      </c>
    </row>
    <row r="518" spans="1:18" ht="15" customHeight="1" x14ac:dyDescent="0.25">
      <c r="A518" s="564">
        <v>6</v>
      </c>
      <c r="B518" s="564">
        <v>3</v>
      </c>
      <c r="C518" s="564">
        <v>2</v>
      </c>
      <c r="D518" s="564">
        <v>1</v>
      </c>
      <c r="E518" s="564">
        <v>1</v>
      </c>
      <c r="F518" s="564">
        <v>2</v>
      </c>
      <c r="G518" s="564" t="s">
        <v>484</v>
      </c>
      <c r="H518" s="564">
        <v>151.84</v>
      </c>
      <c r="I518" s="564">
        <v>0</v>
      </c>
      <c r="J518" s="564">
        <v>21</v>
      </c>
      <c r="K518" s="564">
        <v>16</v>
      </c>
      <c r="L518" s="564">
        <v>2</v>
      </c>
      <c r="M518" s="561" t="s">
        <v>137</v>
      </c>
      <c r="N518" s="651">
        <v>4304756711</v>
      </c>
      <c r="O518" s="564" t="s">
        <v>1119</v>
      </c>
      <c r="P518" s="564" t="s">
        <v>1123</v>
      </c>
      <c r="Q518" s="564" t="s">
        <v>4440</v>
      </c>
      <c r="R518" s="564">
        <v>1</v>
      </c>
    </row>
    <row r="519" spans="1:18" ht="15" customHeight="1" x14ac:dyDescent="0.25">
      <c r="A519" s="564">
        <v>6</v>
      </c>
      <c r="B519" s="564">
        <v>3</v>
      </c>
      <c r="C519" s="564">
        <v>2</v>
      </c>
      <c r="D519" s="564">
        <v>1</v>
      </c>
      <c r="E519" s="564">
        <v>1</v>
      </c>
      <c r="F519" s="564">
        <v>2</v>
      </c>
      <c r="G519" s="564" t="s">
        <v>486</v>
      </c>
      <c r="H519" s="564">
        <v>1423.3</v>
      </c>
      <c r="I519" s="564">
        <v>0</v>
      </c>
      <c r="J519" s="564">
        <v>4</v>
      </c>
      <c r="K519" s="564">
        <v>36</v>
      </c>
      <c r="L519" s="564">
        <v>4</v>
      </c>
      <c r="M519" s="561" t="s">
        <v>137</v>
      </c>
      <c r="N519" s="651">
        <v>4304756711</v>
      </c>
      <c r="O519" s="564" t="s">
        <v>1119</v>
      </c>
      <c r="P519" s="564" t="s">
        <v>1124</v>
      </c>
      <c r="Q519" s="564" t="s">
        <v>4440</v>
      </c>
      <c r="R519" s="564">
        <v>1</v>
      </c>
    </row>
    <row r="520" spans="1:18" ht="15" customHeight="1" x14ac:dyDescent="0.25">
      <c r="A520" s="564">
        <v>6</v>
      </c>
      <c r="B520" s="564">
        <v>3</v>
      </c>
      <c r="C520" s="564">
        <v>2</v>
      </c>
      <c r="D520" s="564">
        <v>1</v>
      </c>
      <c r="E520" s="564">
        <v>1</v>
      </c>
      <c r="F520" s="564">
        <v>2</v>
      </c>
      <c r="G520" s="521" t="s">
        <v>488</v>
      </c>
      <c r="H520" s="564">
        <v>1321.84</v>
      </c>
      <c r="I520" s="564">
        <v>0</v>
      </c>
      <c r="J520" s="564">
        <v>2</v>
      </c>
      <c r="K520" s="564">
        <v>56</v>
      </c>
      <c r="L520" s="564">
        <v>4</v>
      </c>
      <c r="M520" s="561" t="s">
        <v>137</v>
      </c>
      <c r="N520" s="651">
        <v>4304756711</v>
      </c>
      <c r="O520" s="564" t="s">
        <v>1119</v>
      </c>
      <c r="P520" s="564" t="s">
        <v>1125</v>
      </c>
      <c r="Q520" s="564" t="s">
        <v>4440</v>
      </c>
      <c r="R520" s="564">
        <v>1</v>
      </c>
    </row>
    <row r="521" spans="1:18" ht="15" customHeight="1" x14ac:dyDescent="0.25">
      <c r="A521" s="564">
        <v>6</v>
      </c>
      <c r="B521" s="564">
        <v>3</v>
      </c>
      <c r="C521" s="564">
        <v>2</v>
      </c>
      <c r="D521" s="564">
        <v>1</v>
      </c>
      <c r="E521" s="564">
        <v>1</v>
      </c>
      <c r="F521" s="564">
        <v>2</v>
      </c>
      <c r="G521" s="564" t="s">
        <v>490</v>
      </c>
      <c r="H521" s="564">
        <v>1321.6</v>
      </c>
      <c r="I521" s="564">
        <v>0</v>
      </c>
      <c r="J521" s="564">
        <v>4</v>
      </c>
      <c r="K521" s="564">
        <v>12</v>
      </c>
      <c r="L521" s="564">
        <v>4</v>
      </c>
      <c r="M521" s="561" t="s">
        <v>137</v>
      </c>
      <c r="N521" s="651">
        <v>4304756711</v>
      </c>
      <c r="O521" s="564" t="s">
        <v>1119</v>
      </c>
      <c r="P521" s="564" t="s">
        <v>1126</v>
      </c>
      <c r="Q521" s="564" t="s">
        <v>4440</v>
      </c>
      <c r="R521" s="564">
        <v>1</v>
      </c>
    </row>
    <row r="522" spans="1:18" ht="15" customHeight="1" x14ac:dyDescent="0.25">
      <c r="A522" s="564">
        <v>6</v>
      </c>
      <c r="B522" s="564">
        <v>3</v>
      </c>
      <c r="C522" s="564">
        <v>2</v>
      </c>
      <c r="D522" s="564">
        <v>1</v>
      </c>
      <c r="E522" s="564">
        <v>1</v>
      </c>
      <c r="F522" s="564">
        <v>2</v>
      </c>
      <c r="G522" s="564" t="s">
        <v>493</v>
      </c>
      <c r="H522" s="564">
        <v>1321.6</v>
      </c>
      <c r="I522" s="564">
        <v>0</v>
      </c>
      <c r="J522" s="564">
        <v>4</v>
      </c>
      <c r="K522" s="564">
        <v>12</v>
      </c>
      <c r="L522" s="564">
        <v>4</v>
      </c>
      <c r="M522" s="561" t="s">
        <v>137</v>
      </c>
      <c r="N522" s="651">
        <v>4304756711</v>
      </c>
      <c r="O522" s="564" t="s">
        <v>1119</v>
      </c>
      <c r="P522" s="564" t="s">
        <v>1127</v>
      </c>
      <c r="Q522" s="564" t="s">
        <v>4440</v>
      </c>
      <c r="R522" s="564">
        <v>1</v>
      </c>
    </row>
    <row r="523" spans="1:18" ht="15" customHeight="1" x14ac:dyDescent="0.25">
      <c r="A523" s="564">
        <v>6</v>
      </c>
      <c r="B523" s="564">
        <v>3</v>
      </c>
      <c r="C523" s="564">
        <v>2</v>
      </c>
      <c r="D523" s="564">
        <v>1</v>
      </c>
      <c r="E523" s="564">
        <v>1</v>
      </c>
      <c r="F523" s="564">
        <v>2</v>
      </c>
      <c r="G523" s="564" t="s">
        <v>474</v>
      </c>
      <c r="H523" s="564">
        <v>1232.75</v>
      </c>
      <c r="I523" s="564">
        <v>89</v>
      </c>
      <c r="J523" s="564">
        <v>59</v>
      </c>
      <c r="K523" s="564">
        <v>20</v>
      </c>
      <c r="L523" s="564">
        <v>2</v>
      </c>
      <c r="M523" s="561" t="s">
        <v>137</v>
      </c>
      <c r="N523" s="651">
        <v>4304756711</v>
      </c>
      <c r="O523" s="564" t="s">
        <v>1119</v>
      </c>
      <c r="P523" s="564" t="s">
        <v>1128</v>
      </c>
      <c r="Q523" s="564" t="s">
        <v>4440</v>
      </c>
      <c r="R523" s="564">
        <v>1</v>
      </c>
    </row>
    <row r="524" spans="1:18" ht="15" customHeight="1" x14ac:dyDescent="0.25">
      <c r="A524" s="564">
        <v>6</v>
      </c>
      <c r="B524" s="564">
        <v>3</v>
      </c>
      <c r="C524" s="564">
        <v>2</v>
      </c>
      <c r="D524" s="564">
        <v>1</v>
      </c>
      <c r="E524" s="564">
        <v>1</v>
      </c>
      <c r="F524" s="564">
        <v>2</v>
      </c>
      <c r="G524" s="521" t="s">
        <v>477</v>
      </c>
      <c r="H524" s="564">
        <v>1318.17</v>
      </c>
      <c r="I524" s="564">
        <v>89</v>
      </c>
      <c r="J524" s="564">
        <v>59</v>
      </c>
      <c r="K524" s="564">
        <v>20</v>
      </c>
      <c r="L524" s="564">
        <v>2</v>
      </c>
      <c r="M524" s="561" t="s">
        <v>137</v>
      </c>
      <c r="N524" s="651">
        <v>4304756711</v>
      </c>
      <c r="O524" s="564" t="s">
        <v>1119</v>
      </c>
      <c r="P524" s="564" t="s">
        <v>1129</v>
      </c>
      <c r="Q524" s="564" t="s">
        <v>4440</v>
      </c>
      <c r="R524" s="564">
        <v>1</v>
      </c>
    </row>
    <row r="525" spans="1:18" ht="15" customHeight="1" x14ac:dyDescent="0.25">
      <c r="A525" s="564">
        <v>6</v>
      </c>
      <c r="B525" s="564">
        <v>3</v>
      </c>
      <c r="C525" s="564">
        <v>2</v>
      </c>
      <c r="D525" s="564">
        <v>1</v>
      </c>
      <c r="E525" s="564">
        <v>1</v>
      </c>
      <c r="F525" s="564">
        <v>2</v>
      </c>
      <c r="G525" s="564" t="s">
        <v>479</v>
      </c>
      <c r="H525" s="564">
        <v>2636.84</v>
      </c>
      <c r="I525" s="564">
        <v>89</v>
      </c>
      <c r="J525" s="564">
        <v>58</v>
      </c>
      <c r="K525" s="564">
        <v>48</v>
      </c>
      <c r="L525" s="564">
        <v>2</v>
      </c>
      <c r="M525" s="561" t="s">
        <v>137</v>
      </c>
      <c r="N525" s="651">
        <v>4304756711</v>
      </c>
      <c r="O525" s="564" t="s">
        <v>1119</v>
      </c>
      <c r="P525" s="564" t="s">
        <v>1130</v>
      </c>
      <c r="Q525" s="564" t="s">
        <v>4440</v>
      </c>
      <c r="R525" s="564">
        <v>1</v>
      </c>
    </row>
    <row r="526" spans="1:18" ht="15" customHeight="1" x14ac:dyDescent="0.25">
      <c r="A526" s="564">
        <v>6</v>
      </c>
      <c r="B526" s="564">
        <v>3</v>
      </c>
      <c r="C526" s="564">
        <v>2</v>
      </c>
      <c r="D526" s="564">
        <v>1</v>
      </c>
      <c r="E526" s="564">
        <v>1</v>
      </c>
      <c r="F526" s="564">
        <v>2</v>
      </c>
      <c r="G526" s="564" t="s">
        <v>485</v>
      </c>
      <c r="H526" s="564">
        <v>0</v>
      </c>
      <c r="I526" s="564">
        <v>0</v>
      </c>
      <c r="J526" s="564">
        <v>0</v>
      </c>
      <c r="K526" s="564">
        <v>0</v>
      </c>
      <c r="L526" s="564">
        <v>0</v>
      </c>
      <c r="M526" s="561" t="s">
        <v>137</v>
      </c>
      <c r="N526" s="651">
        <v>4304756711</v>
      </c>
      <c r="O526" s="564" t="s">
        <v>1119</v>
      </c>
      <c r="P526" s="564" t="s">
        <v>1131</v>
      </c>
      <c r="Q526" s="564" t="s">
        <v>4440</v>
      </c>
      <c r="R526" s="564">
        <v>1</v>
      </c>
    </row>
    <row r="527" spans="1:18" ht="15" customHeight="1" x14ac:dyDescent="0.25">
      <c r="A527" s="564">
        <v>6</v>
      </c>
      <c r="B527" s="564">
        <v>3</v>
      </c>
      <c r="C527" s="564">
        <v>2</v>
      </c>
      <c r="D527" s="564">
        <v>1</v>
      </c>
      <c r="E527" s="564">
        <v>1</v>
      </c>
      <c r="F527" s="564">
        <v>2</v>
      </c>
      <c r="G527" s="564" t="s">
        <v>487</v>
      </c>
      <c r="H527" s="564">
        <v>1287.29</v>
      </c>
      <c r="I527" s="564">
        <v>89</v>
      </c>
      <c r="J527" s="564">
        <v>54</v>
      </c>
      <c r="K527" s="564">
        <v>45</v>
      </c>
      <c r="L527" s="564">
        <v>3</v>
      </c>
      <c r="M527" s="561" t="s">
        <v>137</v>
      </c>
      <c r="N527" s="651">
        <v>4304756711</v>
      </c>
      <c r="O527" s="564" t="s">
        <v>1119</v>
      </c>
      <c r="P527" s="564" t="s">
        <v>1132</v>
      </c>
      <c r="Q527" s="564" t="s">
        <v>4440</v>
      </c>
      <c r="R527" s="564">
        <v>1</v>
      </c>
    </row>
    <row r="528" spans="1:18" ht="15" customHeight="1" x14ac:dyDescent="0.25">
      <c r="A528" s="564">
        <v>6</v>
      </c>
      <c r="B528" s="564">
        <v>3</v>
      </c>
      <c r="C528" s="564">
        <v>2</v>
      </c>
      <c r="D528" s="564">
        <v>1</v>
      </c>
      <c r="E528" s="564">
        <v>1</v>
      </c>
      <c r="F528" s="564">
        <v>2</v>
      </c>
      <c r="G528" s="521" t="s">
        <v>489</v>
      </c>
      <c r="H528" s="564">
        <v>1287.29</v>
      </c>
      <c r="I528" s="564">
        <v>89</v>
      </c>
      <c r="J528" s="564">
        <v>54</v>
      </c>
      <c r="K528" s="564">
        <v>45</v>
      </c>
      <c r="L528" s="564">
        <v>3</v>
      </c>
      <c r="M528" s="561" t="s">
        <v>137</v>
      </c>
      <c r="N528" s="651">
        <v>4304756711</v>
      </c>
      <c r="O528" s="564" t="s">
        <v>1119</v>
      </c>
      <c r="P528" s="564" t="s">
        <v>1133</v>
      </c>
      <c r="Q528" s="564" t="s">
        <v>4440</v>
      </c>
      <c r="R528" s="564">
        <v>1</v>
      </c>
    </row>
    <row r="529" spans="1:18" ht="15" customHeight="1" x14ac:dyDescent="0.25">
      <c r="A529" s="564">
        <v>6</v>
      </c>
      <c r="B529" s="564">
        <v>3</v>
      </c>
      <c r="C529" s="564">
        <v>2</v>
      </c>
      <c r="D529" s="564">
        <v>1</v>
      </c>
      <c r="E529" s="564">
        <v>1</v>
      </c>
      <c r="F529" s="564">
        <v>2</v>
      </c>
      <c r="G529" s="564" t="s">
        <v>491</v>
      </c>
      <c r="H529" s="564">
        <v>1322.01</v>
      </c>
      <c r="I529" s="564">
        <v>89</v>
      </c>
      <c r="J529" s="564">
        <v>54</v>
      </c>
      <c r="K529" s="564">
        <v>45</v>
      </c>
      <c r="L529" s="564">
        <v>3</v>
      </c>
      <c r="M529" s="561" t="s">
        <v>137</v>
      </c>
      <c r="N529" s="651">
        <v>4304756711</v>
      </c>
      <c r="O529" s="564" t="s">
        <v>1119</v>
      </c>
      <c r="P529" s="564" t="s">
        <v>1134</v>
      </c>
      <c r="Q529" s="564" t="s">
        <v>4440</v>
      </c>
      <c r="R529" s="564">
        <v>1</v>
      </c>
    </row>
    <row r="530" spans="1:18" ht="15" customHeight="1" x14ac:dyDescent="0.25">
      <c r="A530" s="564">
        <v>6</v>
      </c>
      <c r="B530" s="564">
        <v>3</v>
      </c>
      <c r="C530" s="564">
        <v>2</v>
      </c>
      <c r="D530" s="564">
        <v>1</v>
      </c>
      <c r="E530" s="564">
        <v>1</v>
      </c>
      <c r="F530" s="564">
        <v>2</v>
      </c>
      <c r="G530" s="564" t="s">
        <v>494</v>
      </c>
      <c r="H530" s="564">
        <v>1322.01</v>
      </c>
      <c r="I530" s="564">
        <v>89</v>
      </c>
      <c r="J530" s="564">
        <v>54</v>
      </c>
      <c r="K530" s="564">
        <v>45</v>
      </c>
      <c r="L530" s="564">
        <v>3</v>
      </c>
      <c r="M530" s="561" t="s">
        <v>137</v>
      </c>
      <c r="N530" s="651">
        <v>4304756711</v>
      </c>
      <c r="O530" s="564" t="s">
        <v>1119</v>
      </c>
      <c r="P530" s="564" t="s">
        <v>1135</v>
      </c>
      <c r="Q530" s="564" t="s">
        <v>4440</v>
      </c>
      <c r="R530" s="564">
        <v>1</v>
      </c>
    </row>
    <row r="531" spans="1:18" ht="15" customHeight="1" x14ac:dyDescent="0.25">
      <c r="A531" s="553">
        <v>7</v>
      </c>
      <c r="B531" s="553">
        <v>9</v>
      </c>
      <c r="C531" s="553">
        <v>2</v>
      </c>
      <c r="D531" s="553">
        <v>21</v>
      </c>
      <c r="E531" s="553">
        <v>1</v>
      </c>
      <c r="F531" s="553">
        <v>1</v>
      </c>
      <c r="G531" s="553" t="s">
        <v>473</v>
      </c>
      <c r="H531" s="553">
        <v>1332.6849999999999</v>
      </c>
      <c r="I531" s="553">
        <v>0</v>
      </c>
      <c r="J531" s="553">
        <v>9</v>
      </c>
      <c r="K531" s="553">
        <v>39</v>
      </c>
      <c r="L531" s="553">
        <v>1</v>
      </c>
      <c r="M531" s="505" t="s">
        <v>137</v>
      </c>
      <c r="N531" s="500">
        <v>4304752514</v>
      </c>
      <c r="O531" s="553" t="s">
        <v>1136</v>
      </c>
      <c r="P531" s="650" t="s">
        <v>1137</v>
      </c>
      <c r="Q531" s="564" t="s">
        <v>583</v>
      </c>
      <c r="R531" s="564">
        <v>2</v>
      </c>
    </row>
    <row r="532" spans="1:18" ht="15" customHeight="1" x14ac:dyDescent="0.25">
      <c r="A532" s="553">
        <v>7</v>
      </c>
      <c r="B532" s="553">
        <v>9</v>
      </c>
      <c r="C532" s="553">
        <v>2</v>
      </c>
      <c r="D532" s="553">
        <v>21</v>
      </c>
      <c r="E532" s="553">
        <v>1</v>
      </c>
      <c r="F532" s="553">
        <v>1</v>
      </c>
      <c r="G532" s="502" t="s">
        <v>476</v>
      </c>
      <c r="H532" s="553">
        <v>1332.6849999999999</v>
      </c>
      <c r="I532" s="553">
        <v>0</v>
      </c>
      <c r="J532" s="553">
        <v>9</v>
      </c>
      <c r="K532" s="553">
        <v>39</v>
      </c>
      <c r="L532" s="553">
        <v>1</v>
      </c>
      <c r="M532" s="505" t="s">
        <v>137</v>
      </c>
      <c r="N532" s="500">
        <v>4304752514</v>
      </c>
      <c r="O532" s="553" t="s">
        <v>1136</v>
      </c>
      <c r="P532" s="650" t="s">
        <v>1138</v>
      </c>
      <c r="Q532" s="564" t="s">
        <v>583</v>
      </c>
      <c r="R532" s="564">
        <v>2</v>
      </c>
    </row>
    <row r="533" spans="1:18" ht="15" customHeight="1" x14ac:dyDescent="0.25">
      <c r="A533" s="553">
        <v>7</v>
      </c>
      <c r="B533" s="553">
        <v>9</v>
      </c>
      <c r="C533" s="553">
        <v>2</v>
      </c>
      <c r="D533" s="553">
        <v>21</v>
      </c>
      <c r="E533" s="553">
        <v>1</v>
      </c>
      <c r="F533" s="553">
        <v>1</v>
      </c>
      <c r="G533" s="553" t="s">
        <v>478</v>
      </c>
      <c r="H533" s="553">
        <v>1307.5450000000001</v>
      </c>
      <c r="I533" s="553">
        <v>0</v>
      </c>
      <c r="J533" s="553">
        <v>36</v>
      </c>
      <c r="K533" s="553">
        <v>7</v>
      </c>
      <c r="L533" s="553">
        <v>4</v>
      </c>
      <c r="M533" s="505" t="s">
        <v>137</v>
      </c>
      <c r="N533" s="500">
        <v>4304752514</v>
      </c>
      <c r="O533" s="553" t="s">
        <v>1136</v>
      </c>
      <c r="P533" s="650" t="s">
        <v>1139</v>
      </c>
      <c r="Q533" s="564" t="s">
        <v>583</v>
      </c>
      <c r="R533" s="564">
        <v>2</v>
      </c>
    </row>
    <row r="534" spans="1:18" ht="15" customHeight="1" x14ac:dyDescent="0.25">
      <c r="A534" s="553">
        <v>7</v>
      </c>
      <c r="B534" s="553">
        <v>9</v>
      </c>
      <c r="C534" s="553">
        <v>2</v>
      </c>
      <c r="D534" s="553">
        <v>21</v>
      </c>
      <c r="E534" s="553">
        <v>1</v>
      </c>
      <c r="F534" s="553">
        <v>1</v>
      </c>
      <c r="G534" s="553" t="s">
        <v>484</v>
      </c>
      <c r="H534" s="553">
        <v>1307.5450000000001</v>
      </c>
      <c r="I534" s="553">
        <v>0</v>
      </c>
      <c r="J534" s="553">
        <v>36</v>
      </c>
      <c r="K534" s="553">
        <v>7</v>
      </c>
      <c r="L534" s="553">
        <v>4</v>
      </c>
      <c r="M534" s="505" t="s">
        <v>137</v>
      </c>
      <c r="N534" s="500">
        <v>4304752514</v>
      </c>
      <c r="O534" s="553" t="s">
        <v>1136</v>
      </c>
      <c r="P534" s="650" t="s">
        <v>1140</v>
      </c>
      <c r="Q534" s="564" t="s">
        <v>583</v>
      </c>
      <c r="R534" s="564">
        <v>2</v>
      </c>
    </row>
    <row r="535" spans="1:18" ht="15" customHeight="1" x14ac:dyDescent="0.25">
      <c r="A535" s="553">
        <v>7</v>
      </c>
      <c r="B535" s="553">
        <v>9</v>
      </c>
      <c r="C535" s="553">
        <v>2</v>
      </c>
      <c r="D535" s="553">
        <v>21</v>
      </c>
      <c r="E535" s="553">
        <v>1</v>
      </c>
      <c r="F535" s="553">
        <v>1</v>
      </c>
      <c r="G535" s="553" t="s">
        <v>486</v>
      </c>
      <c r="H535" s="553">
        <v>1317.92</v>
      </c>
      <c r="I535" s="553">
        <v>0</v>
      </c>
      <c r="J535" s="553">
        <v>1</v>
      </c>
      <c r="K535" s="553">
        <v>52</v>
      </c>
      <c r="L535" s="553">
        <v>4</v>
      </c>
      <c r="M535" s="505" t="s">
        <v>137</v>
      </c>
      <c r="N535" s="500">
        <v>4304752514</v>
      </c>
      <c r="O535" s="553" t="s">
        <v>1136</v>
      </c>
      <c r="P535" s="650" t="s">
        <v>1141</v>
      </c>
      <c r="Q535" s="564" t="s">
        <v>583</v>
      </c>
      <c r="R535" s="564">
        <v>2</v>
      </c>
    </row>
    <row r="536" spans="1:18" ht="15" customHeight="1" x14ac:dyDescent="0.25">
      <c r="A536" s="553">
        <v>7</v>
      </c>
      <c r="B536" s="553">
        <v>9</v>
      </c>
      <c r="C536" s="553">
        <v>2</v>
      </c>
      <c r="D536" s="553">
        <v>21</v>
      </c>
      <c r="E536" s="553">
        <v>1</v>
      </c>
      <c r="F536" s="553">
        <v>1</v>
      </c>
      <c r="G536" s="502" t="s">
        <v>488</v>
      </c>
      <c r="H536" s="553">
        <v>1317.92</v>
      </c>
      <c r="I536" s="553">
        <v>0</v>
      </c>
      <c r="J536" s="553">
        <v>1</v>
      </c>
      <c r="K536" s="553">
        <v>52</v>
      </c>
      <c r="L536" s="553">
        <v>4</v>
      </c>
      <c r="M536" s="505" t="s">
        <v>137</v>
      </c>
      <c r="N536" s="500">
        <v>4304752514</v>
      </c>
      <c r="O536" s="553" t="s">
        <v>1136</v>
      </c>
      <c r="P536" s="650" t="s">
        <v>1142</v>
      </c>
      <c r="Q536" s="564" t="s">
        <v>583</v>
      </c>
      <c r="R536" s="564">
        <v>2</v>
      </c>
    </row>
    <row r="537" spans="1:18" ht="15" customHeight="1" x14ac:dyDescent="0.25">
      <c r="A537" s="553">
        <v>7</v>
      </c>
      <c r="B537" s="553">
        <v>9</v>
      </c>
      <c r="C537" s="553">
        <v>2</v>
      </c>
      <c r="D537" s="553">
        <v>21</v>
      </c>
      <c r="E537" s="553">
        <v>1</v>
      </c>
      <c r="F537" s="553">
        <v>1</v>
      </c>
      <c r="G537" s="553" t="s">
        <v>490</v>
      </c>
      <c r="H537" s="553">
        <v>1317.89</v>
      </c>
      <c r="I537" s="553">
        <v>0</v>
      </c>
      <c r="J537" s="553">
        <v>0</v>
      </c>
      <c r="K537" s="553">
        <v>56</v>
      </c>
      <c r="L537" s="553">
        <v>4</v>
      </c>
      <c r="M537" s="505" t="s">
        <v>137</v>
      </c>
      <c r="N537" s="500">
        <v>4304752514</v>
      </c>
      <c r="O537" s="553" t="s">
        <v>1136</v>
      </c>
      <c r="P537" s="650" t="s">
        <v>1143</v>
      </c>
      <c r="Q537" s="564" t="s">
        <v>583</v>
      </c>
      <c r="R537" s="564">
        <v>2</v>
      </c>
    </row>
    <row r="538" spans="1:18" ht="15" customHeight="1" x14ac:dyDescent="0.25">
      <c r="A538" s="553">
        <v>7</v>
      </c>
      <c r="B538" s="553">
        <v>9</v>
      </c>
      <c r="C538" s="553">
        <v>2</v>
      </c>
      <c r="D538" s="553">
        <v>21</v>
      </c>
      <c r="E538" s="553">
        <v>1</v>
      </c>
      <c r="F538" s="553">
        <v>1</v>
      </c>
      <c r="G538" s="553" t="s">
        <v>493</v>
      </c>
      <c r="H538" s="553">
        <v>1317.89</v>
      </c>
      <c r="I538" s="553">
        <v>0</v>
      </c>
      <c r="J538" s="553">
        <v>0</v>
      </c>
      <c r="K538" s="553">
        <v>56</v>
      </c>
      <c r="L538" s="553">
        <v>4</v>
      </c>
      <c r="M538" s="505" t="s">
        <v>137</v>
      </c>
      <c r="N538" s="500">
        <v>4304752514</v>
      </c>
      <c r="O538" s="553" t="s">
        <v>1136</v>
      </c>
      <c r="P538" s="650" t="s">
        <v>1144</v>
      </c>
      <c r="Q538" s="564" t="s">
        <v>583</v>
      </c>
      <c r="R538" s="564">
        <v>2</v>
      </c>
    </row>
    <row r="539" spans="1:18" ht="15" customHeight="1" x14ac:dyDescent="0.25">
      <c r="A539" s="553">
        <v>7</v>
      </c>
      <c r="B539" s="553">
        <v>9</v>
      </c>
      <c r="C539" s="553">
        <v>2</v>
      </c>
      <c r="D539" s="553">
        <v>21</v>
      </c>
      <c r="E539" s="553">
        <v>1</v>
      </c>
      <c r="F539" s="553">
        <v>1</v>
      </c>
      <c r="G539" s="553" t="s">
        <v>474</v>
      </c>
      <c r="H539" s="553">
        <v>1892.96</v>
      </c>
      <c r="I539" s="553">
        <v>89</v>
      </c>
      <c r="J539" s="553">
        <v>58</v>
      </c>
      <c r="K539" s="553">
        <v>22</v>
      </c>
      <c r="L539" s="553">
        <v>4</v>
      </c>
      <c r="M539" s="505" t="s">
        <v>137</v>
      </c>
      <c r="N539" s="500">
        <v>4304752514</v>
      </c>
      <c r="O539" s="553" t="s">
        <v>1136</v>
      </c>
      <c r="P539" s="650" t="s">
        <v>1145</v>
      </c>
      <c r="Q539" s="564" t="s">
        <v>583</v>
      </c>
      <c r="R539" s="564">
        <v>2</v>
      </c>
    </row>
    <row r="540" spans="1:18" ht="15" customHeight="1" x14ac:dyDescent="0.25">
      <c r="A540" s="553">
        <v>7</v>
      </c>
      <c r="B540" s="553">
        <v>9</v>
      </c>
      <c r="C540" s="553">
        <v>2</v>
      </c>
      <c r="D540" s="553">
        <v>21</v>
      </c>
      <c r="E540" s="553">
        <v>1</v>
      </c>
      <c r="F540" s="553">
        <v>1</v>
      </c>
      <c r="G540" s="502" t="s">
        <v>477</v>
      </c>
      <c r="H540" s="553">
        <v>1320.44</v>
      </c>
      <c r="I540" s="553">
        <v>89</v>
      </c>
      <c r="J540" s="553">
        <v>57</v>
      </c>
      <c r="K540" s="553">
        <v>54</v>
      </c>
      <c r="L540" s="553">
        <v>4</v>
      </c>
      <c r="M540" s="505" t="s">
        <v>137</v>
      </c>
      <c r="N540" s="500">
        <v>4304752514</v>
      </c>
      <c r="O540" s="553" t="s">
        <v>1136</v>
      </c>
      <c r="P540" s="650" t="s">
        <v>1146</v>
      </c>
      <c r="Q540" s="564" t="s">
        <v>583</v>
      </c>
      <c r="R540" s="564">
        <v>2</v>
      </c>
    </row>
    <row r="541" spans="1:18" ht="15" customHeight="1" x14ac:dyDescent="0.25">
      <c r="A541" s="553">
        <v>7</v>
      </c>
      <c r="B541" s="553">
        <v>9</v>
      </c>
      <c r="C541" s="553">
        <v>2</v>
      </c>
      <c r="D541" s="553">
        <v>21</v>
      </c>
      <c r="E541" s="553">
        <v>1</v>
      </c>
      <c r="F541" s="553">
        <v>1</v>
      </c>
      <c r="G541" s="553" t="s">
        <v>479</v>
      </c>
      <c r="H541" s="553">
        <v>1322.34</v>
      </c>
      <c r="I541" s="553">
        <v>89</v>
      </c>
      <c r="J541" s="553">
        <v>56</v>
      </c>
      <c r="K541" s="553">
        <v>6</v>
      </c>
      <c r="L541" s="553">
        <v>4</v>
      </c>
      <c r="M541" s="505" t="s">
        <v>137</v>
      </c>
      <c r="N541" s="500">
        <v>4304752514</v>
      </c>
      <c r="O541" s="553" t="s">
        <v>1136</v>
      </c>
      <c r="P541" s="650" t="s">
        <v>1147</v>
      </c>
      <c r="Q541" s="564" t="s">
        <v>583</v>
      </c>
      <c r="R541" s="564">
        <v>2</v>
      </c>
    </row>
    <row r="542" spans="1:18" ht="15" customHeight="1" x14ac:dyDescent="0.25">
      <c r="A542" s="553">
        <v>7</v>
      </c>
      <c r="B542" s="553">
        <v>9</v>
      </c>
      <c r="C542" s="553">
        <v>2</v>
      </c>
      <c r="D542" s="553">
        <v>21</v>
      </c>
      <c r="E542" s="553">
        <v>1</v>
      </c>
      <c r="F542" s="553">
        <v>1</v>
      </c>
      <c r="G542" s="553" t="s">
        <v>485</v>
      </c>
      <c r="H542" s="553">
        <v>1322.33</v>
      </c>
      <c r="I542" s="553">
        <v>89</v>
      </c>
      <c r="J542" s="553">
        <v>55</v>
      </c>
      <c r="K542" s="553">
        <v>50</v>
      </c>
      <c r="L542" s="553">
        <v>4</v>
      </c>
      <c r="M542" s="505" t="s">
        <v>137</v>
      </c>
      <c r="N542" s="500">
        <v>4304752514</v>
      </c>
      <c r="O542" s="553" t="s">
        <v>1136</v>
      </c>
      <c r="P542" s="650" t="s">
        <v>1148</v>
      </c>
      <c r="Q542" s="564" t="s">
        <v>583</v>
      </c>
      <c r="R542" s="564">
        <v>2</v>
      </c>
    </row>
    <row r="543" spans="1:18" ht="15" customHeight="1" x14ac:dyDescent="0.25">
      <c r="A543" s="553">
        <v>7</v>
      </c>
      <c r="B543" s="553">
        <v>9</v>
      </c>
      <c r="C543" s="553">
        <v>2</v>
      </c>
      <c r="D543" s="553">
        <v>21</v>
      </c>
      <c r="E543" s="553">
        <v>1</v>
      </c>
      <c r="F543" s="553">
        <v>1</v>
      </c>
      <c r="G543" s="553" t="s">
        <v>487</v>
      </c>
      <c r="H543" s="553">
        <v>1600.8050000000001</v>
      </c>
      <c r="I543" s="553">
        <v>89</v>
      </c>
      <c r="J543" s="553">
        <v>23</v>
      </c>
      <c r="K543" s="553">
        <v>20</v>
      </c>
      <c r="L543" s="553">
        <v>3</v>
      </c>
      <c r="M543" s="505" t="s">
        <v>137</v>
      </c>
      <c r="N543" s="500">
        <v>4304752514</v>
      </c>
      <c r="O543" s="553" t="s">
        <v>1136</v>
      </c>
      <c r="P543" s="650" t="s">
        <v>1149</v>
      </c>
      <c r="Q543" s="564" t="s">
        <v>583</v>
      </c>
      <c r="R543" s="564">
        <v>2</v>
      </c>
    </row>
    <row r="544" spans="1:18" ht="15" customHeight="1" x14ac:dyDescent="0.25">
      <c r="A544" s="553">
        <v>7</v>
      </c>
      <c r="B544" s="553">
        <v>9</v>
      </c>
      <c r="C544" s="553">
        <v>2</v>
      </c>
      <c r="D544" s="553">
        <v>21</v>
      </c>
      <c r="E544" s="553">
        <v>1</v>
      </c>
      <c r="F544" s="553">
        <v>1</v>
      </c>
      <c r="G544" s="502" t="s">
        <v>489</v>
      </c>
      <c r="H544" s="553">
        <v>1600.8050000000001</v>
      </c>
      <c r="I544" s="553">
        <v>89</v>
      </c>
      <c r="J544" s="553">
        <v>23</v>
      </c>
      <c r="K544" s="553">
        <v>20</v>
      </c>
      <c r="L544" s="553">
        <v>3</v>
      </c>
      <c r="M544" s="505" t="s">
        <v>137</v>
      </c>
      <c r="N544" s="500">
        <v>4304752514</v>
      </c>
      <c r="O544" s="553" t="s">
        <v>1136</v>
      </c>
      <c r="P544" s="650" t="s">
        <v>1150</v>
      </c>
      <c r="Q544" s="564" t="s">
        <v>583</v>
      </c>
      <c r="R544" s="564">
        <v>2</v>
      </c>
    </row>
    <row r="545" spans="1:18" ht="15" customHeight="1" x14ac:dyDescent="0.25">
      <c r="A545" s="553">
        <v>7</v>
      </c>
      <c r="B545" s="553">
        <v>9</v>
      </c>
      <c r="C545" s="553">
        <v>2</v>
      </c>
      <c r="D545" s="553">
        <v>21</v>
      </c>
      <c r="E545" s="553">
        <v>1</v>
      </c>
      <c r="F545" s="553">
        <v>1</v>
      </c>
      <c r="G545" s="553" t="s">
        <v>491</v>
      </c>
      <c r="H545" s="553">
        <v>1318.095</v>
      </c>
      <c r="I545" s="553">
        <v>89</v>
      </c>
      <c r="J545" s="553">
        <v>59</v>
      </c>
      <c r="K545" s="553">
        <v>52</v>
      </c>
      <c r="L545" s="553">
        <v>2</v>
      </c>
      <c r="M545" s="505" t="s">
        <v>137</v>
      </c>
      <c r="N545" s="500">
        <v>4304752514</v>
      </c>
      <c r="O545" s="553" t="s">
        <v>1136</v>
      </c>
      <c r="P545" s="650" t="s">
        <v>1151</v>
      </c>
      <c r="Q545" s="564" t="s">
        <v>583</v>
      </c>
      <c r="R545" s="564">
        <v>2</v>
      </c>
    </row>
    <row r="546" spans="1:18" ht="15" customHeight="1" x14ac:dyDescent="0.25">
      <c r="A546" s="553">
        <v>7</v>
      </c>
      <c r="B546" s="553">
        <v>9</v>
      </c>
      <c r="C546" s="553">
        <v>2</v>
      </c>
      <c r="D546" s="553">
        <v>21</v>
      </c>
      <c r="E546" s="553">
        <v>1</v>
      </c>
      <c r="F546" s="553">
        <v>1</v>
      </c>
      <c r="G546" s="553" t="s">
        <v>494</v>
      </c>
      <c r="H546" s="553">
        <v>1318.095</v>
      </c>
      <c r="I546" s="553">
        <v>89</v>
      </c>
      <c r="J546" s="553">
        <v>59</v>
      </c>
      <c r="K546" s="553">
        <v>52</v>
      </c>
      <c r="L546" s="553">
        <v>2</v>
      </c>
      <c r="M546" s="505" t="s">
        <v>137</v>
      </c>
      <c r="N546" s="500">
        <v>4304752514</v>
      </c>
      <c r="O546" s="553" t="s">
        <v>1136</v>
      </c>
      <c r="P546" s="650" t="s">
        <v>1152</v>
      </c>
      <c r="Q546" s="564" t="s">
        <v>583</v>
      </c>
      <c r="R546" s="564">
        <v>2</v>
      </c>
    </row>
    <row r="547" spans="1:18" ht="15" customHeight="1" x14ac:dyDescent="0.25">
      <c r="A547" s="553">
        <v>7</v>
      </c>
      <c r="B547" s="553">
        <v>1</v>
      </c>
      <c r="C547" s="553">
        <v>2</v>
      </c>
      <c r="D547" s="553">
        <v>1</v>
      </c>
      <c r="E547" s="553">
        <v>2</v>
      </c>
      <c r="F547" s="553">
        <v>2</v>
      </c>
      <c r="G547" s="553" t="s">
        <v>473</v>
      </c>
      <c r="H547" s="553">
        <v>1328.8</v>
      </c>
      <c r="I547" s="553">
        <v>0</v>
      </c>
      <c r="J547" s="553">
        <v>29</v>
      </c>
      <c r="K547" s="553">
        <v>16</v>
      </c>
      <c r="L547" s="553">
        <v>4</v>
      </c>
      <c r="M547" s="505" t="s">
        <v>137</v>
      </c>
      <c r="N547" s="500">
        <v>43013539300000</v>
      </c>
      <c r="O547" s="553" t="s">
        <v>1153</v>
      </c>
      <c r="P547" s="650" t="s">
        <v>1154</v>
      </c>
      <c r="Q547" s="564" t="s">
        <v>583</v>
      </c>
      <c r="R547" s="564">
        <v>1</v>
      </c>
    </row>
    <row r="548" spans="1:18" ht="15" customHeight="1" x14ac:dyDescent="0.25">
      <c r="A548" s="553">
        <v>7</v>
      </c>
      <c r="B548" s="553">
        <v>1</v>
      </c>
      <c r="C548" s="553">
        <v>2</v>
      </c>
      <c r="D548" s="553">
        <v>1</v>
      </c>
      <c r="E548" s="553">
        <v>2</v>
      </c>
      <c r="F548" s="553">
        <v>2</v>
      </c>
      <c r="G548" s="502" t="s">
        <v>476</v>
      </c>
      <c r="H548" s="553">
        <v>1328.8</v>
      </c>
      <c r="I548" s="553">
        <v>0</v>
      </c>
      <c r="J548" s="553">
        <v>29</v>
      </c>
      <c r="K548" s="553">
        <v>16</v>
      </c>
      <c r="L548" s="553">
        <v>4</v>
      </c>
      <c r="M548" s="505" t="s">
        <v>137</v>
      </c>
      <c r="N548" s="500">
        <v>43013539300000</v>
      </c>
      <c r="O548" s="553" t="s">
        <v>1153</v>
      </c>
      <c r="P548" s="650" t="s">
        <v>1155</v>
      </c>
      <c r="Q548" s="564" t="s">
        <v>583</v>
      </c>
      <c r="R548" s="564">
        <v>1</v>
      </c>
    </row>
    <row r="549" spans="1:18" ht="15" customHeight="1" x14ac:dyDescent="0.25">
      <c r="A549" s="553">
        <v>7</v>
      </c>
      <c r="B549" s="553">
        <v>1</v>
      </c>
      <c r="C549" s="553">
        <v>2</v>
      </c>
      <c r="D549" s="553">
        <v>1</v>
      </c>
      <c r="E549" s="553">
        <v>2</v>
      </c>
      <c r="F549" s="553">
        <v>2</v>
      </c>
      <c r="G549" s="553" t="s">
        <v>478</v>
      </c>
      <c r="H549" s="553">
        <v>1327.2049999999999</v>
      </c>
      <c r="I549" s="553">
        <v>0</v>
      </c>
      <c r="J549" s="553">
        <v>2</v>
      </c>
      <c r="K549" s="553">
        <v>36</v>
      </c>
      <c r="L549" s="553">
        <v>4</v>
      </c>
      <c r="M549" s="505" t="s">
        <v>137</v>
      </c>
      <c r="N549" s="500">
        <v>43013539300000</v>
      </c>
      <c r="O549" s="553" t="s">
        <v>1153</v>
      </c>
      <c r="P549" s="650" t="s">
        <v>1156</v>
      </c>
      <c r="Q549" s="564" t="s">
        <v>583</v>
      </c>
      <c r="R549" s="564">
        <v>1</v>
      </c>
    </row>
    <row r="550" spans="1:18" ht="15" customHeight="1" x14ac:dyDescent="0.25">
      <c r="A550" s="553">
        <v>7</v>
      </c>
      <c r="B550" s="553">
        <v>1</v>
      </c>
      <c r="C550" s="553">
        <v>2</v>
      </c>
      <c r="D550" s="553">
        <v>1</v>
      </c>
      <c r="E550" s="553">
        <v>2</v>
      </c>
      <c r="F550" s="553">
        <v>2</v>
      </c>
      <c r="G550" s="553" t="s">
        <v>484</v>
      </c>
      <c r="H550" s="553">
        <v>1327.2049999999999</v>
      </c>
      <c r="I550" s="553">
        <v>0</v>
      </c>
      <c r="J550" s="553">
        <v>2</v>
      </c>
      <c r="K550" s="553">
        <v>36</v>
      </c>
      <c r="L550" s="553">
        <v>4</v>
      </c>
      <c r="M550" s="505" t="s">
        <v>137</v>
      </c>
      <c r="N550" s="500">
        <v>43013539300000</v>
      </c>
      <c r="O550" s="553" t="s">
        <v>1153</v>
      </c>
      <c r="P550" s="650" t="s">
        <v>1157</v>
      </c>
      <c r="Q550" s="564" t="s">
        <v>583</v>
      </c>
      <c r="R550" s="564">
        <v>1</v>
      </c>
    </row>
    <row r="551" spans="1:18" ht="15" customHeight="1" x14ac:dyDescent="0.25">
      <c r="A551" s="553">
        <v>7</v>
      </c>
      <c r="B551" s="553">
        <v>1</v>
      </c>
      <c r="C551" s="553">
        <v>2</v>
      </c>
      <c r="D551" s="553">
        <v>1</v>
      </c>
      <c r="E551" s="553">
        <v>2</v>
      </c>
      <c r="F551" s="553">
        <v>2</v>
      </c>
      <c r="G551" s="553" t="s">
        <v>486</v>
      </c>
      <c r="H551" s="553">
        <v>1319.34</v>
      </c>
      <c r="I551" s="553">
        <v>0</v>
      </c>
      <c r="J551" s="553">
        <v>16</v>
      </c>
      <c r="K551" s="553">
        <v>49</v>
      </c>
      <c r="L551" s="553">
        <v>4</v>
      </c>
      <c r="M551" s="505" t="s">
        <v>137</v>
      </c>
      <c r="N551" s="500">
        <v>43013539300000</v>
      </c>
      <c r="O551" s="553" t="s">
        <v>1153</v>
      </c>
      <c r="P551" s="650" t="s">
        <v>1158</v>
      </c>
      <c r="Q551" s="564" t="s">
        <v>583</v>
      </c>
      <c r="R551" s="564">
        <v>1</v>
      </c>
    </row>
    <row r="552" spans="1:18" ht="15" customHeight="1" x14ac:dyDescent="0.25">
      <c r="A552" s="553">
        <v>7</v>
      </c>
      <c r="B552" s="553">
        <v>1</v>
      </c>
      <c r="C552" s="553">
        <v>2</v>
      </c>
      <c r="D552" s="553">
        <v>1</v>
      </c>
      <c r="E552" s="553">
        <v>2</v>
      </c>
      <c r="F552" s="553">
        <v>2</v>
      </c>
      <c r="G552" s="502" t="s">
        <v>488</v>
      </c>
      <c r="H552" s="553">
        <v>1319.34</v>
      </c>
      <c r="I552" s="553">
        <v>0</v>
      </c>
      <c r="J552" s="553">
        <v>16</v>
      </c>
      <c r="K552" s="553">
        <v>49</v>
      </c>
      <c r="L552" s="553">
        <v>4</v>
      </c>
      <c r="M552" s="505" t="s">
        <v>137</v>
      </c>
      <c r="N552" s="500">
        <v>43013539300000</v>
      </c>
      <c r="O552" s="553" t="s">
        <v>1153</v>
      </c>
      <c r="P552" s="650" t="s">
        <v>1159</v>
      </c>
      <c r="Q552" s="564" t="s">
        <v>583</v>
      </c>
      <c r="R552" s="564">
        <v>1</v>
      </c>
    </row>
    <row r="553" spans="1:18" ht="15" customHeight="1" x14ac:dyDescent="0.25">
      <c r="A553" s="553">
        <v>7</v>
      </c>
      <c r="B553" s="553">
        <v>1</v>
      </c>
      <c r="C553" s="553">
        <v>2</v>
      </c>
      <c r="D553" s="553">
        <v>1</v>
      </c>
      <c r="E553" s="553">
        <v>2</v>
      </c>
      <c r="F553" s="553">
        <v>2</v>
      </c>
      <c r="G553" s="553" t="s">
        <v>490</v>
      </c>
      <c r="H553" s="553">
        <v>1320.66</v>
      </c>
      <c r="I553" s="553">
        <v>0</v>
      </c>
      <c r="J553" s="553">
        <v>18</v>
      </c>
      <c r="K553" s="553">
        <v>38</v>
      </c>
      <c r="L553" s="553">
        <v>4</v>
      </c>
      <c r="M553" s="505" t="s">
        <v>137</v>
      </c>
      <c r="N553" s="500">
        <v>43013539300000</v>
      </c>
      <c r="O553" s="553" t="s">
        <v>1153</v>
      </c>
      <c r="P553" s="650" t="s">
        <v>1160</v>
      </c>
      <c r="Q553" s="564" t="s">
        <v>583</v>
      </c>
      <c r="R553" s="564">
        <v>1</v>
      </c>
    </row>
    <row r="554" spans="1:18" ht="15" customHeight="1" x14ac:dyDescent="0.25">
      <c r="A554" s="553">
        <v>7</v>
      </c>
      <c r="B554" s="553">
        <v>1</v>
      </c>
      <c r="C554" s="553">
        <v>2</v>
      </c>
      <c r="D554" s="553">
        <v>1</v>
      </c>
      <c r="E554" s="553">
        <v>2</v>
      </c>
      <c r="F554" s="553">
        <v>2</v>
      </c>
      <c r="G554" s="553" t="s">
        <v>493</v>
      </c>
      <c r="H554" s="553">
        <v>1320.66</v>
      </c>
      <c r="I554" s="553">
        <v>0</v>
      </c>
      <c r="J554" s="553">
        <v>18</v>
      </c>
      <c r="K554" s="553">
        <v>38</v>
      </c>
      <c r="L554" s="553">
        <v>4</v>
      </c>
      <c r="M554" s="505" t="s">
        <v>137</v>
      </c>
      <c r="N554" s="500">
        <v>43013539300000</v>
      </c>
      <c r="O554" s="553" t="s">
        <v>1153</v>
      </c>
      <c r="P554" s="650" t="s">
        <v>1161</v>
      </c>
      <c r="Q554" s="564" t="s">
        <v>583</v>
      </c>
      <c r="R554" s="564">
        <v>1</v>
      </c>
    </row>
    <row r="555" spans="1:18" ht="15" customHeight="1" x14ac:dyDescent="0.25">
      <c r="A555" s="553">
        <v>7</v>
      </c>
      <c r="B555" s="553">
        <v>1</v>
      </c>
      <c r="C555" s="553">
        <v>2</v>
      </c>
      <c r="D555" s="553">
        <v>1</v>
      </c>
      <c r="E555" s="553">
        <v>2</v>
      </c>
      <c r="F555" s="553">
        <v>2</v>
      </c>
      <c r="G555" s="553" t="s">
        <v>474</v>
      </c>
      <c r="H555" s="553">
        <v>1319.4549999999999</v>
      </c>
      <c r="I555" s="553">
        <v>89</v>
      </c>
      <c r="J555" s="553">
        <v>52</v>
      </c>
      <c r="K555" s="553">
        <v>35</v>
      </c>
      <c r="L555" s="553">
        <v>2</v>
      </c>
      <c r="M555" s="505" t="s">
        <v>137</v>
      </c>
      <c r="N555" s="500">
        <v>43013539300000</v>
      </c>
      <c r="O555" s="553" t="s">
        <v>1153</v>
      </c>
      <c r="P555" s="650" t="s">
        <v>1162</v>
      </c>
      <c r="Q555" s="564" t="s">
        <v>583</v>
      </c>
      <c r="R555" s="564">
        <v>1</v>
      </c>
    </row>
    <row r="556" spans="1:18" ht="15" customHeight="1" x14ac:dyDescent="0.25">
      <c r="A556" s="553">
        <v>7</v>
      </c>
      <c r="B556" s="553">
        <v>1</v>
      </c>
      <c r="C556" s="553">
        <v>2</v>
      </c>
      <c r="D556" s="553">
        <v>1</v>
      </c>
      <c r="E556" s="553">
        <v>2</v>
      </c>
      <c r="F556" s="553">
        <v>2</v>
      </c>
      <c r="G556" s="502" t="s">
        <v>477</v>
      </c>
      <c r="H556" s="553">
        <v>1319.4549999999999</v>
      </c>
      <c r="I556" s="553">
        <v>89</v>
      </c>
      <c r="J556" s="553">
        <v>52</v>
      </c>
      <c r="K556" s="553">
        <v>35</v>
      </c>
      <c r="L556" s="553">
        <v>2</v>
      </c>
      <c r="M556" s="505" t="s">
        <v>137</v>
      </c>
      <c r="N556" s="500">
        <v>43013539300000</v>
      </c>
      <c r="O556" s="553" t="s">
        <v>1153</v>
      </c>
      <c r="P556" s="650" t="s">
        <v>1163</v>
      </c>
      <c r="Q556" s="564" t="s">
        <v>583</v>
      </c>
      <c r="R556" s="564">
        <v>1</v>
      </c>
    </row>
    <row r="557" spans="1:18" ht="15" customHeight="1" x14ac:dyDescent="0.25">
      <c r="A557" s="553">
        <v>7</v>
      </c>
      <c r="B557" s="553">
        <v>1</v>
      </c>
      <c r="C557" s="553">
        <v>2</v>
      </c>
      <c r="D557" s="553">
        <v>1</v>
      </c>
      <c r="E557" s="553">
        <v>2</v>
      </c>
      <c r="F557" s="553">
        <v>2</v>
      </c>
      <c r="G557" s="553" t="s">
        <v>479</v>
      </c>
      <c r="H557" s="553">
        <v>1313.5650000000001</v>
      </c>
      <c r="I557" s="553">
        <v>89</v>
      </c>
      <c r="J557" s="553">
        <v>51</v>
      </c>
      <c r="K557" s="553">
        <v>48</v>
      </c>
      <c r="L557" s="553">
        <v>2</v>
      </c>
      <c r="M557" s="505" t="s">
        <v>137</v>
      </c>
      <c r="N557" s="500">
        <v>43013539300000</v>
      </c>
      <c r="O557" s="553" t="s">
        <v>1153</v>
      </c>
      <c r="P557" s="650" t="s">
        <v>1164</v>
      </c>
      <c r="Q557" s="564" t="s">
        <v>583</v>
      </c>
      <c r="R557" s="564">
        <v>1</v>
      </c>
    </row>
    <row r="558" spans="1:18" ht="15" customHeight="1" x14ac:dyDescent="0.25">
      <c r="A558" s="553">
        <v>7</v>
      </c>
      <c r="B558" s="553">
        <v>1</v>
      </c>
      <c r="C558" s="553">
        <v>2</v>
      </c>
      <c r="D558" s="553">
        <v>1</v>
      </c>
      <c r="E558" s="553">
        <v>2</v>
      </c>
      <c r="F558" s="553">
        <v>2</v>
      </c>
      <c r="G558" s="553" t="s">
        <v>485</v>
      </c>
      <c r="H558" s="553">
        <v>1313.5650000000001</v>
      </c>
      <c r="I558" s="553">
        <v>89</v>
      </c>
      <c r="J558" s="553">
        <v>51</v>
      </c>
      <c r="K558" s="553">
        <v>48</v>
      </c>
      <c r="L558" s="553">
        <v>2</v>
      </c>
      <c r="M558" s="505" t="s">
        <v>137</v>
      </c>
      <c r="N558" s="500">
        <v>43013539300000</v>
      </c>
      <c r="O558" s="553" t="s">
        <v>1153</v>
      </c>
      <c r="P558" s="650" t="s">
        <v>1165</v>
      </c>
      <c r="Q558" s="564" t="s">
        <v>583</v>
      </c>
      <c r="R558" s="564">
        <v>1</v>
      </c>
    </row>
    <row r="559" spans="1:18" ht="15" customHeight="1" x14ac:dyDescent="0.25">
      <c r="A559" s="553">
        <v>7</v>
      </c>
      <c r="B559" s="553">
        <v>1</v>
      </c>
      <c r="C559" s="553">
        <v>2</v>
      </c>
      <c r="D559" s="553">
        <v>1</v>
      </c>
      <c r="E559" s="553">
        <v>2</v>
      </c>
      <c r="F559" s="553">
        <v>2</v>
      </c>
      <c r="G559" s="553" t="s">
        <v>487</v>
      </c>
      <c r="H559" s="553">
        <v>1317.2025000000001</v>
      </c>
      <c r="I559" s="553">
        <v>89</v>
      </c>
      <c r="J559" s="553">
        <v>31</v>
      </c>
      <c r="K559" s="553">
        <v>20</v>
      </c>
      <c r="L559" s="553">
        <v>2</v>
      </c>
      <c r="M559" s="505" t="s">
        <v>137</v>
      </c>
      <c r="N559" s="500">
        <v>43013539300000</v>
      </c>
      <c r="O559" s="553" t="s">
        <v>1153</v>
      </c>
      <c r="P559" s="650" t="s">
        <v>1166</v>
      </c>
      <c r="Q559" s="564" t="s">
        <v>583</v>
      </c>
      <c r="R559" s="564">
        <v>1</v>
      </c>
    </row>
    <row r="560" spans="1:18" ht="15" customHeight="1" x14ac:dyDescent="0.25">
      <c r="A560" s="553">
        <v>7</v>
      </c>
      <c r="B560" s="553">
        <v>1</v>
      </c>
      <c r="C560" s="553">
        <v>2</v>
      </c>
      <c r="D560" s="553">
        <v>1</v>
      </c>
      <c r="E560" s="553">
        <v>2</v>
      </c>
      <c r="F560" s="553">
        <v>2</v>
      </c>
      <c r="G560" s="502" t="s">
        <v>489</v>
      </c>
      <c r="H560" s="553">
        <v>1317.2025000000001</v>
      </c>
      <c r="I560" s="553">
        <v>89</v>
      </c>
      <c r="J560" s="553">
        <v>31</v>
      </c>
      <c r="K560" s="553">
        <v>20</v>
      </c>
      <c r="L560" s="553">
        <v>2</v>
      </c>
      <c r="M560" s="505" t="s">
        <v>137</v>
      </c>
      <c r="N560" s="500">
        <v>43013539300000</v>
      </c>
      <c r="O560" s="553" t="s">
        <v>1153</v>
      </c>
      <c r="P560" s="650" t="s">
        <v>1167</v>
      </c>
      <c r="Q560" s="564" t="s">
        <v>583</v>
      </c>
      <c r="R560" s="564">
        <v>1</v>
      </c>
    </row>
    <row r="561" spans="1:18" ht="15" customHeight="1" x14ac:dyDescent="0.25">
      <c r="A561" s="553">
        <v>7</v>
      </c>
      <c r="B561" s="553">
        <v>1</v>
      </c>
      <c r="C561" s="553">
        <v>2</v>
      </c>
      <c r="D561" s="553">
        <v>1</v>
      </c>
      <c r="E561" s="553">
        <v>2</v>
      </c>
      <c r="F561" s="553">
        <v>2</v>
      </c>
      <c r="G561" s="553" t="s">
        <v>491</v>
      </c>
      <c r="H561" s="553">
        <v>1317.2025000000001</v>
      </c>
      <c r="I561" s="553">
        <v>89</v>
      </c>
      <c r="J561" s="553">
        <v>31</v>
      </c>
      <c r="K561" s="553">
        <v>20</v>
      </c>
      <c r="L561" s="553">
        <v>2</v>
      </c>
      <c r="M561" s="505" t="s">
        <v>137</v>
      </c>
      <c r="N561" s="500">
        <v>43013539300000</v>
      </c>
      <c r="O561" s="553" t="s">
        <v>1153</v>
      </c>
      <c r="P561" s="650" t="s">
        <v>1168</v>
      </c>
      <c r="Q561" s="564" t="s">
        <v>583</v>
      </c>
      <c r="R561" s="564">
        <v>1</v>
      </c>
    </row>
    <row r="562" spans="1:18" ht="15" customHeight="1" x14ac:dyDescent="0.25">
      <c r="A562" s="553">
        <v>7</v>
      </c>
      <c r="B562" s="553">
        <v>1</v>
      </c>
      <c r="C562" s="553">
        <v>2</v>
      </c>
      <c r="D562" s="553">
        <v>1</v>
      </c>
      <c r="E562" s="553">
        <v>2</v>
      </c>
      <c r="F562" s="553">
        <v>2</v>
      </c>
      <c r="G562" s="553" t="s">
        <v>494</v>
      </c>
      <c r="H562" s="553">
        <v>1317.2025000000001</v>
      </c>
      <c r="I562" s="553">
        <v>89</v>
      </c>
      <c r="J562" s="553">
        <v>31</v>
      </c>
      <c r="K562" s="553">
        <v>20</v>
      </c>
      <c r="L562" s="553">
        <v>2</v>
      </c>
      <c r="M562" s="505" t="s">
        <v>137</v>
      </c>
      <c r="N562" s="500">
        <v>43013539300000</v>
      </c>
      <c r="O562" s="553" t="s">
        <v>1153</v>
      </c>
      <c r="P562" s="650" t="s">
        <v>1169</v>
      </c>
      <c r="Q562" s="564" t="s">
        <v>583</v>
      </c>
      <c r="R562" s="564">
        <v>1</v>
      </c>
    </row>
    <row r="563" spans="1:18" ht="15" customHeight="1" x14ac:dyDescent="0.25">
      <c r="A563" s="553">
        <v>7</v>
      </c>
      <c r="B563" s="553">
        <v>15</v>
      </c>
      <c r="C563" s="553">
        <v>2</v>
      </c>
      <c r="D563" s="553">
        <v>23</v>
      </c>
      <c r="E563" s="553">
        <v>1</v>
      </c>
      <c r="F563" s="553">
        <v>2</v>
      </c>
      <c r="G563" s="553" t="s">
        <v>473</v>
      </c>
      <c r="H563" s="553">
        <v>1320.3150000000001</v>
      </c>
      <c r="I563" s="553">
        <v>0</v>
      </c>
      <c r="J563" s="553">
        <v>1</v>
      </c>
      <c r="K563" s="553">
        <v>5</v>
      </c>
      <c r="L563" s="553">
        <v>2</v>
      </c>
      <c r="M563" s="505" t="s">
        <v>137</v>
      </c>
      <c r="N563" s="500">
        <v>43047394660000</v>
      </c>
      <c r="O563" s="553" t="s">
        <v>1170</v>
      </c>
      <c r="P563" s="650" t="s">
        <v>1171</v>
      </c>
      <c r="Q563" s="564" t="s">
        <v>583</v>
      </c>
      <c r="R563" s="564">
        <v>2</v>
      </c>
    </row>
    <row r="564" spans="1:18" ht="15" customHeight="1" x14ac:dyDescent="0.25">
      <c r="A564" s="553">
        <v>7</v>
      </c>
      <c r="B564" s="553">
        <v>15</v>
      </c>
      <c r="C564" s="553">
        <v>2</v>
      </c>
      <c r="D564" s="553">
        <v>23</v>
      </c>
      <c r="E564" s="553">
        <v>1</v>
      </c>
      <c r="F564" s="553">
        <v>2</v>
      </c>
      <c r="G564" s="502" t="s">
        <v>476</v>
      </c>
      <c r="H564" s="553">
        <v>1320.3150000000001</v>
      </c>
      <c r="I564" s="553">
        <v>0</v>
      </c>
      <c r="J564" s="553">
        <v>1</v>
      </c>
      <c r="K564" s="553">
        <v>5</v>
      </c>
      <c r="L564" s="553">
        <v>2</v>
      </c>
      <c r="M564" s="505" t="s">
        <v>137</v>
      </c>
      <c r="N564" s="500">
        <v>43047394660000</v>
      </c>
      <c r="O564" s="553" t="s">
        <v>1170</v>
      </c>
      <c r="P564" s="650" t="s">
        <v>1172</v>
      </c>
      <c r="Q564" s="564" t="s">
        <v>583</v>
      </c>
      <c r="R564" s="564">
        <v>2</v>
      </c>
    </row>
    <row r="565" spans="1:18" ht="15" customHeight="1" x14ac:dyDescent="0.25">
      <c r="A565" s="553">
        <v>7</v>
      </c>
      <c r="B565" s="553">
        <v>15</v>
      </c>
      <c r="C565" s="553">
        <v>2</v>
      </c>
      <c r="D565" s="553">
        <v>23</v>
      </c>
      <c r="E565" s="553">
        <v>1</v>
      </c>
      <c r="F565" s="553">
        <v>2</v>
      </c>
      <c r="G565" s="553" t="s">
        <v>478</v>
      </c>
      <c r="H565" s="553">
        <v>1320.9</v>
      </c>
      <c r="I565" s="553">
        <v>1</v>
      </c>
      <c r="J565" s="553">
        <v>20</v>
      </c>
      <c r="K565" s="553">
        <v>47</v>
      </c>
      <c r="L565" s="553">
        <v>4</v>
      </c>
      <c r="M565" s="505" t="s">
        <v>137</v>
      </c>
      <c r="N565" s="500">
        <v>43047394660000</v>
      </c>
      <c r="O565" s="553" t="s">
        <v>1170</v>
      </c>
      <c r="P565" s="650" t="s">
        <v>1173</v>
      </c>
      <c r="Q565" s="564" t="s">
        <v>583</v>
      </c>
      <c r="R565" s="564">
        <v>2</v>
      </c>
    </row>
    <row r="566" spans="1:18" ht="15" customHeight="1" x14ac:dyDescent="0.25">
      <c r="A566" s="553">
        <v>7</v>
      </c>
      <c r="B566" s="553">
        <v>15</v>
      </c>
      <c r="C566" s="553">
        <v>2</v>
      </c>
      <c r="D566" s="553">
        <v>23</v>
      </c>
      <c r="E566" s="553">
        <v>1</v>
      </c>
      <c r="F566" s="553">
        <v>2</v>
      </c>
      <c r="G566" s="553" t="s">
        <v>484</v>
      </c>
      <c r="H566" s="553">
        <v>1320.9</v>
      </c>
      <c r="I566" s="553">
        <v>1</v>
      </c>
      <c r="J566" s="553">
        <v>20</v>
      </c>
      <c r="K566" s="553">
        <v>47</v>
      </c>
      <c r="L566" s="553">
        <v>4</v>
      </c>
      <c r="M566" s="505" t="s">
        <v>137</v>
      </c>
      <c r="N566" s="500">
        <v>43047394660000</v>
      </c>
      <c r="O566" s="553" t="s">
        <v>1170</v>
      </c>
      <c r="P566" s="650" t="s">
        <v>1174</v>
      </c>
      <c r="Q566" s="564" t="s">
        <v>583</v>
      </c>
      <c r="R566" s="564">
        <v>2</v>
      </c>
    </row>
    <row r="567" spans="1:18" ht="15" customHeight="1" x14ac:dyDescent="0.25">
      <c r="A567" s="553">
        <v>7</v>
      </c>
      <c r="B567" s="553">
        <v>15</v>
      </c>
      <c r="C567" s="553">
        <v>2</v>
      </c>
      <c r="D567" s="553">
        <v>23</v>
      </c>
      <c r="E567" s="553">
        <v>1</v>
      </c>
      <c r="F567" s="553">
        <v>2</v>
      </c>
      <c r="G567" s="553" t="s">
        <v>486</v>
      </c>
      <c r="H567" s="553">
        <v>1322.88</v>
      </c>
      <c r="I567" s="553">
        <v>0</v>
      </c>
      <c r="J567" s="553">
        <v>1</v>
      </c>
      <c r="K567" s="553">
        <v>20</v>
      </c>
      <c r="L567" s="553">
        <v>4</v>
      </c>
      <c r="M567" s="505" t="s">
        <v>137</v>
      </c>
      <c r="N567" s="500">
        <v>43047394660000</v>
      </c>
      <c r="O567" s="553" t="s">
        <v>1170</v>
      </c>
      <c r="P567" s="650" t="s">
        <v>1175</v>
      </c>
      <c r="Q567" s="564" t="s">
        <v>583</v>
      </c>
      <c r="R567" s="564">
        <v>2</v>
      </c>
    </row>
    <row r="568" spans="1:18" ht="15" customHeight="1" x14ac:dyDescent="0.25">
      <c r="A568" s="553">
        <v>7</v>
      </c>
      <c r="B568" s="553">
        <v>15</v>
      </c>
      <c r="C568" s="553">
        <v>2</v>
      </c>
      <c r="D568" s="553">
        <v>23</v>
      </c>
      <c r="E568" s="553">
        <v>1</v>
      </c>
      <c r="F568" s="553">
        <v>2</v>
      </c>
      <c r="G568" s="502" t="s">
        <v>488</v>
      </c>
      <c r="H568" s="553">
        <v>1322.88</v>
      </c>
      <c r="I568" s="553">
        <v>0</v>
      </c>
      <c r="J568" s="553">
        <v>1</v>
      </c>
      <c r="K568" s="553">
        <v>20</v>
      </c>
      <c r="L568" s="553">
        <v>4</v>
      </c>
      <c r="M568" s="505" t="s">
        <v>137</v>
      </c>
      <c r="N568" s="500">
        <v>43047394660000</v>
      </c>
      <c r="O568" s="553" t="s">
        <v>1170</v>
      </c>
      <c r="P568" s="650" t="s">
        <v>1176</v>
      </c>
      <c r="Q568" s="564" t="s">
        <v>583</v>
      </c>
      <c r="R568" s="564">
        <v>2</v>
      </c>
    </row>
    <row r="569" spans="1:18" ht="15" customHeight="1" x14ac:dyDescent="0.25">
      <c r="A569" s="553">
        <v>7</v>
      </c>
      <c r="B569" s="553">
        <v>15</v>
      </c>
      <c r="C569" s="553">
        <v>2</v>
      </c>
      <c r="D569" s="553">
        <v>23</v>
      </c>
      <c r="E569" s="553">
        <v>1</v>
      </c>
      <c r="F569" s="553">
        <v>2</v>
      </c>
      <c r="G569" s="553" t="s">
        <v>490</v>
      </c>
      <c r="H569" s="553">
        <v>1315.625</v>
      </c>
      <c r="I569" s="553">
        <v>1</v>
      </c>
      <c r="J569" s="553">
        <v>22</v>
      </c>
      <c r="K569" s="553">
        <v>53</v>
      </c>
      <c r="L569" s="553">
        <v>4</v>
      </c>
      <c r="M569" s="505" t="s">
        <v>137</v>
      </c>
      <c r="N569" s="500">
        <v>43047394660000</v>
      </c>
      <c r="O569" s="553" t="s">
        <v>1170</v>
      </c>
      <c r="P569" s="650" t="s">
        <v>1177</v>
      </c>
      <c r="Q569" s="564" t="s">
        <v>583</v>
      </c>
      <c r="R569" s="564">
        <v>2</v>
      </c>
    </row>
    <row r="570" spans="1:18" ht="15" customHeight="1" x14ac:dyDescent="0.25">
      <c r="A570" s="553">
        <v>7</v>
      </c>
      <c r="B570" s="553">
        <v>15</v>
      </c>
      <c r="C570" s="553">
        <v>2</v>
      </c>
      <c r="D570" s="553">
        <v>23</v>
      </c>
      <c r="E570" s="553">
        <v>1</v>
      </c>
      <c r="F570" s="553">
        <v>2</v>
      </c>
      <c r="G570" s="553" t="s">
        <v>493</v>
      </c>
      <c r="H570" s="553">
        <v>1315.625</v>
      </c>
      <c r="I570" s="553">
        <v>1</v>
      </c>
      <c r="J570" s="553">
        <v>22</v>
      </c>
      <c r="K570" s="553">
        <v>53</v>
      </c>
      <c r="L570" s="553">
        <v>4</v>
      </c>
      <c r="M570" s="505" t="s">
        <v>137</v>
      </c>
      <c r="N570" s="500">
        <v>43047394660000</v>
      </c>
      <c r="O570" s="553" t="s">
        <v>1170</v>
      </c>
      <c r="P570" s="650" t="s">
        <v>1178</v>
      </c>
      <c r="Q570" s="564" t="s">
        <v>583</v>
      </c>
      <c r="R570" s="564">
        <v>2</v>
      </c>
    </row>
    <row r="571" spans="1:18" ht="15" customHeight="1" x14ac:dyDescent="0.25">
      <c r="A571" s="553">
        <v>7</v>
      </c>
      <c r="B571" s="553">
        <v>15</v>
      </c>
      <c r="C571" s="553">
        <v>2</v>
      </c>
      <c r="D571" s="553">
        <v>23</v>
      </c>
      <c r="E571" s="553">
        <v>1</v>
      </c>
      <c r="F571" s="553">
        <v>2</v>
      </c>
      <c r="G571" s="553" t="s">
        <v>474</v>
      </c>
      <c r="H571" s="553">
        <v>1307.2249999999999</v>
      </c>
      <c r="I571" s="553">
        <v>89</v>
      </c>
      <c r="J571" s="553">
        <v>57</v>
      </c>
      <c r="K571" s="553">
        <v>10</v>
      </c>
      <c r="L571" s="553">
        <v>2</v>
      </c>
      <c r="M571" s="505" t="s">
        <v>137</v>
      </c>
      <c r="N571" s="500">
        <v>43047394660000</v>
      </c>
      <c r="O571" s="553" t="s">
        <v>1170</v>
      </c>
      <c r="P571" s="650" t="s">
        <v>1179</v>
      </c>
      <c r="Q571" s="564" t="s">
        <v>583</v>
      </c>
      <c r="R571" s="564">
        <v>2</v>
      </c>
    </row>
    <row r="572" spans="1:18" ht="15" customHeight="1" x14ac:dyDescent="0.25">
      <c r="A572" s="553">
        <v>7</v>
      </c>
      <c r="B572" s="553">
        <v>15</v>
      </c>
      <c r="C572" s="553">
        <v>2</v>
      </c>
      <c r="D572" s="553">
        <v>23</v>
      </c>
      <c r="E572" s="553">
        <v>1</v>
      </c>
      <c r="F572" s="553">
        <v>2</v>
      </c>
      <c r="G572" s="502" t="s">
        <v>477</v>
      </c>
      <c r="H572" s="553">
        <v>1307.2249999999999</v>
      </c>
      <c r="I572" s="553">
        <v>89</v>
      </c>
      <c r="J572" s="553">
        <v>57</v>
      </c>
      <c r="K572" s="553">
        <v>10</v>
      </c>
      <c r="L572" s="553">
        <v>2</v>
      </c>
      <c r="M572" s="505" t="s">
        <v>137</v>
      </c>
      <c r="N572" s="500">
        <v>43047394660000</v>
      </c>
      <c r="O572" s="553" t="s">
        <v>1170</v>
      </c>
      <c r="P572" s="650" t="s">
        <v>1180</v>
      </c>
      <c r="Q572" s="564" t="s">
        <v>583</v>
      </c>
      <c r="R572" s="564">
        <v>2</v>
      </c>
    </row>
    <row r="573" spans="1:18" ht="15" customHeight="1" x14ac:dyDescent="0.25">
      <c r="A573" s="553">
        <v>7</v>
      </c>
      <c r="B573" s="553">
        <v>15</v>
      </c>
      <c r="C573" s="553">
        <v>2</v>
      </c>
      <c r="D573" s="553">
        <v>23</v>
      </c>
      <c r="E573" s="553">
        <v>1</v>
      </c>
      <c r="F573" s="553">
        <v>2</v>
      </c>
      <c r="G573" s="553" t="s">
        <v>479</v>
      </c>
      <c r="H573" s="553">
        <v>1318.94</v>
      </c>
      <c r="I573" s="553">
        <v>89</v>
      </c>
      <c r="J573" s="553">
        <v>55</v>
      </c>
      <c r="K573" s="553">
        <v>42</v>
      </c>
      <c r="L573" s="553">
        <v>2</v>
      </c>
      <c r="M573" s="505" t="s">
        <v>137</v>
      </c>
      <c r="N573" s="500">
        <v>43047394660000</v>
      </c>
      <c r="O573" s="553" t="s">
        <v>1170</v>
      </c>
      <c r="P573" s="650" t="s">
        <v>1181</v>
      </c>
      <c r="Q573" s="564" t="s">
        <v>583</v>
      </c>
      <c r="R573" s="564">
        <v>2</v>
      </c>
    </row>
    <row r="574" spans="1:18" ht="15" customHeight="1" x14ac:dyDescent="0.25">
      <c r="A574" s="553">
        <v>7</v>
      </c>
      <c r="B574" s="553">
        <v>15</v>
      </c>
      <c r="C574" s="553">
        <v>2</v>
      </c>
      <c r="D574" s="553">
        <v>23</v>
      </c>
      <c r="E574" s="553">
        <v>1</v>
      </c>
      <c r="F574" s="553">
        <v>2</v>
      </c>
      <c r="G574" s="553" t="s">
        <v>485</v>
      </c>
      <c r="H574" s="553">
        <v>1318.94</v>
      </c>
      <c r="I574" s="553">
        <v>89</v>
      </c>
      <c r="J574" s="553">
        <v>55</v>
      </c>
      <c r="K574" s="553">
        <v>42</v>
      </c>
      <c r="L574" s="553">
        <v>2</v>
      </c>
      <c r="M574" s="505" t="s">
        <v>137</v>
      </c>
      <c r="N574" s="500">
        <v>43047394660000</v>
      </c>
      <c r="O574" s="553" t="s">
        <v>1170</v>
      </c>
      <c r="P574" s="650" t="s">
        <v>1182</v>
      </c>
      <c r="Q574" s="564" t="s">
        <v>583</v>
      </c>
      <c r="R574" s="564">
        <v>2</v>
      </c>
    </row>
    <row r="575" spans="1:18" ht="15" customHeight="1" x14ac:dyDescent="0.25">
      <c r="A575" s="553">
        <v>7</v>
      </c>
      <c r="B575" s="553">
        <v>15</v>
      </c>
      <c r="C575" s="553">
        <v>2</v>
      </c>
      <c r="D575" s="553">
        <v>23</v>
      </c>
      <c r="E575" s="553">
        <v>1</v>
      </c>
      <c r="F575" s="553">
        <v>2</v>
      </c>
      <c r="G575" s="553" t="s">
        <v>487</v>
      </c>
      <c r="H575" s="553">
        <v>1307.6949999999999</v>
      </c>
      <c r="I575" s="553">
        <v>88</v>
      </c>
      <c r="J575" s="553">
        <v>31</v>
      </c>
      <c r="K575" s="553">
        <v>1</v>
      </c>
      <c r="L575" s="553">
        <v>3</v>
      </c>
      <c r="M575" s="505" t="s">
        <v>137</v>
      </c>
      <c r="N575" s="500">
        <v>43047394660000</v>
      </c>
      <c r="O575" s="553" t="s">
        <v>1170</v>
      </c>
      <c r="P575" s="650" t="s">
        <v>1183</v>
      </c>
      <c r="Q575" s="564" t="s">
        <v>583</v>
      </c>
      <c r="R575" s="564">
        <v>2</v>
      </c>
    </row>
    <row r="576" spans="1:18" ht="15" customHeight="1" x14ac:dyDescent="0.25">
      <c r="A576" s="553">
        <v>7</v>
      </c>
      <c r="B576" s="553">
        <v>15</v>
      </c>
      <c r="C576" s="553">
        <v>2</v>
      </c>
      <c r="D576" s="553">
        <v>23</v>
      </c>
      <c r="E576" s="553">
        <v>1</v>
      </c>
      <c r="F576" s="553">
        <v>2</v>
      </c>
      <c r="G576" s="502" t="s">
        <v>489</v>
      </c>
      <c r="H576" s="553">
        <v>1307.6949999999999</v>
      </c>
      <c r="I576" s="553">
        <v>88</v>
      </c>
      <c r="J576" s="553">
        <v>31</v>
      </c>
      <c r="K576" s="553">
        <v>1</v>
      </c>
      <c r="L576" s="553">
        <v>3</v>
      </c>
      <c r="M576" s="505" t="s">
        <v>137</v>
      </c>
      <c r="N576" s="500">
        <v>43047394660000</v>
      </c>
      <c r="O576" s="553" t="s">
        <v>1170</v>
      </c>
      <c r="P576" s="650" t="s">
        <v>1184</v>
      </c>
      <c r="Q576" s="564" t="s">
        <v>583</v>
      </c>
      <c r="R576" s="564">
        <v>2</v>
      </c>
    </row>
    <row r="577" spans="1:18" ht="15" customHeight="1" x14ac:dyDescent="0.25">
      <c r="A577" s="553">
        <v>7</v>
      </c>
      <c r="B577" s="553">
        <v>15</v>
      </c>
      <c r="C577" s="553">
        <v>2</v>
      </c>
      <c r="D577" s="553">
        <v>23</v>
      </c>
      <c r="E577" s="553">
        <v>1</v>
      </c>
      <c r="F577" s="553">
        <v>2</v>
      </c>
      <c r="G577" s="553" t="s">
        <v>491</v>
      </c>
      <c r="H577" s="553">
        <v>1319.2</v>
      </c>
      <c r="I577" s="553">
        <v>88</v>
      </c>
      <c r="J577" s="553">
        <v>33</v>
      </c>
      <c r="K577" s="553">
        <v>14</v>
      </c>
      <c r="L577" s="553">
        <v>3</v>
      </c>
      <c r="M577" s="505" t="s">
        <v>137</v>
      </c>
      <c r="N577" s="500">
        <v>43047394660000</v>
      </c>
      <c r="O577" s="553" t="s">
        <v>1170</v>
      </c>
      <c r="P577" s="650" t="s">
        <v>1185</v>
      </c>
      <c r="Q577" s="564" t="s">
        <v>583</v>
      </c>
      <c r="R577" s="564">
        <v>2</v>
      </c>
    </row>
    <row r="578" spans="1:18" ht="15" customHeight="1" x14ac:dyDescent="0.25">
      <c r="A578" s="553">
        <v>7</v>
      </c>
      <c r="B578" s="553">
        <v>15</v>
      </c>
      <c r="C578" s="553">
        <v>2</v>
      </c>
      <c r="D578" s="553">
        <v>23</v>
      </c>
      <c r="E578" s="553">
        <v>1</v>
      </c>
      <c r="F578" s="553">
        <v>2</v>
      </c>
      <c r="G578" s="553" t="s">
        <v>494</v>
      </c>
      <c r="H578" s="553">
        <v>1319.2</v>
      </c>
      <c r="I578" s="553">
        <v>88</v>
      </c>
      <c r="J578" s="553">
        <v>33</v>
      </c>
      <c r="K578" s="553">
        <v>14</v>
      </c>
      <c r="L578" s="553">
        <v>3</v>
      </c>
      <c r="M578" s="505" t="s">
        <v>137</v>
      </c>
      <c r="N578" s="500">
        <v>43047394660000</v>
      </c>
      <c r="O578" s="553" t="s">
        <v>1170</v>
      </c>
      <c r="P578" s="650" t="s">
        <v>1186</v>
      </c>
      <c r="Q578" s="564" t="s">
        <v>583</v>
      </c>
      <c r="R578" s="564">
        <v>2</v>
      </c>
    </row>
    <row r="579" spans="1:18" ht="15" customHeight="1" x14ac:dyDescent="0.25">
      <c r="A579" s="553">
        <v>7</v>
      </c>
      <c r="B579" s="553">
        <v>2</v>
      </c>
      <c r="C579" s="553">
        <v>2</v>
      </c>
      <c r="D579" s="553">
        <v>2</v>
      </c>
      <c r="E579" s="553">
        <v>2</v>
      </c>
      <c r="F579" s="553">
        <v>2</v>
      </c>
      <c r="G579" s="553" t="s">
        <v>473</v>
      </c>
      <c r="H579" s="553">
        <v>1333.97</v>
      </c>
      <c r="I579" s="553">
        <v>0</v>
      </c>
      <c r="J579" s="553">
        <v>25</v>
      </c>
      <c r="K579" s="553">
        <v>49</v>
      </c>
      <c r="L579" s="553">
        <v>1</v>
      </c>
      <c r="M579" s="505" t="s">
        <v>137</v>
      </c>
      <c r="N579" s="500">
        <v>43013539110000</v>
      </c>
      <c r="O579" s="553" t="s">
        <v>1187</v>
      </c>
      <c r="P579" s="650" t="s">
        <v>1188</v>
      </c>
      <c r="Q579" s="564" t="s">
        <v>583</v>
      </c>
      <c r="R579" s="564">
        <v>1</v>
      </c>
    </row>
    <row r="580" spans="1:18" ht="15" customHeight="1" x14ac:dyDescent="0.25">
      <c r="A580" s="553">
        <v>7</v>
      </c>
      <c r="B580" s="553">
        <v>2</v>
      </c>
      <c r="C580" s="553">
        <v>2</v>
      </c>
      <c r="D580" s="553">
        <v>2</v>
      </c>
      <c r="E580" s="553">
        <v>2</v>
      </c>
      <c r="F580" s="553">
        <v>2</v>
      </c>
      <c r="G580" s="502" t="s">
        <v>476</v>
      </c>
      <c r="H580" s="553">
        <v>1323.47</v>
      </c>
      <c r="I580" s="553">
        <v>0</v>
      </c>
      <c r="J580" s="553">
        <v>57</v>
      </c>
      <c r="K580" s="553">
        <v>54</v>
      </c>
      <c r="L580" s="553">
        <v>3</v>
      </c>
      <c r="M580" s="505" t="s">
        <v>137</v>
      </c>
      <c r="N580" s="500">
        <v>43013539110000</v>
      </c>
      <c r="O580" s="553" t="s">
        <v>1187</v>
      </c>
      <c r="P580" s="650" t="s">
        <v>1189</v>
      </c>
      <c r="Q580" s="564" t="s">
        <v>583</v>
      </c>
      <c r="R580" s="564">
        <v>1</v>
      </c>
    </row>
    <row r="581" spans="1:18" ht="15" customHeight="1" x14ac:dyDescent="0.25">
      <c r="A581" s="553">
        <v>7</v>
      </c>
      <c r="B581" s="553">
        <v>2</v>
      </c>
      <c r="C581" s="553">
        <v>2</v>
      </c>
      <c r="D581" s="553">
        <v>2</v>
      </c>
      <c r="E581" s="553">
        <v>2</v>
      </c>
      <c r="F581" s="553">
        <v>2</v>
      </c>
      <c r="G581" s="553" t="s">
        <v>478</v>
      </c>
      <c r="H581" s="553">
        <v>1312.92</v>
      </c>
      <c r="I581" s="553">
        <v>0</v>
      </c>
      <c r="J581" s="553">
        <v>30</v>
      </c>
      <c r="K581" s="553">
        <v>49</v>
      </c>
      <c r="L581" s="553">
        <v>2</v>
      </c>
      <c r="M581" s="505" t="s">
        <v>137</v>
      </c>
      <c r="N581" s="500">
        <v>43013539110000</v>
      </c>
      <c r="O581" s="553" t="s">
        <v>1187</v>
      </c>
      <c r="P581" s="650" t="s">
        <v>1190</v>
      </c>
      <c r="Q581" s="564" t="s">
        <v>583</v>
      </c>
      <c r="R581" s="564">
        <v>1</v>
      </c>
    </row>
    <row r="582" spans="1:18" ht="15" customHeight="1" x14ac:dyDescent="0.25">
      <c r="A582" s="553">
        <v>7</v>
      </c>
      <c r="B582" s="553">
        <v>2</v>
      </c>
      <c r="C582" s="553">
        <v>2</v>
      </c>
      <c r="D582" s="553">
        <v>2</v>
      </c>
      <c r="E582" s="553">
        <v>2</v>
      </c>
      <c r="F582" s="553">
        <v>2</v>
      </c>
      <c r="G582" s="553" t="s">
        <v>484</v>
      </c>
      <c r="H582" s="553">
        <v>1312.92</v>
      </c>
      <c r="I582" s="553">
        <v>0</v>
      </c>
      <c r="J582" s="553">
        <v>30</v>
      </c>
      <c r="K582" s="553">
        <v>49</v>
      </c>
      <c r="L582" s="553">
        <v>2</v>
      </c>
      <c r="M582" s="505" t="s">
        <v>137</v>
      </c>
      <c r="N582" s="500">
        <v>43013539110000</v>
      </c>
      <c r="O582" s="553" t="s">
        <v>1187</v>
      </c>
      <c r="P582" s="650" t="s">
        <v>1191</v>
      </c>
      <c r="Q582" s="564" t="s">
        <v>583</v>
      </c>
      <c r="R582" s="564">
        <v>1</v>
      </c>
    </row>
    <row r="583" spans="1:18" ht="15" customHeight="1" x14ac:dyDescent="0.25">
      <c r="A583" s="553">
        <v>7</v>
      </c>
      <c r="B583" s="553">
        <v>2</v>
      </c>
      <c r="C583" s="553">
        <v>2</v>
      </c>
      <c r="D583" s="553">
        <v>2</v>
      </c>
      <c r="E583" s="553">
        <v>2</v>
      </c>
      <c r="F583" s="553">
        <v>2</v>
      </c>
      <c r="G583" s="553" t="s">
        <v>486</v>
      </c>
      <c r="H583" s="553">
        <v>1321.91</v>
      </c>
      <c r="I583" s="553">
        <v>0</v>
      </c>
      <c r="J583" s="553">
        <v>4</v>
      </c>
      <c r="K583" s="553">
        <v>46</v>
      </c>
      <c r="L583" s="553">
        <v>4</v>
      </c>
      <c r="M583" s="505" t="s">
        <v>137</v>
      </c>
      <c r="N583" s="500">
        <v>43013539110000</v>
      </c>
      <c r="O583" s="553" t="s">
        <v>1187</v>
      </c>
      <c r="P583" s="650" t="s">
        <v>1192</v>
      </c>
      <c r="Q583" s="564" t="s">
        <v>583</v>
      </c>
      <c r="R583" s="564">
        <v>1</v>
      </c>
    </row>
    <row r="584" spans="1:18" ht="15" customHeight="1" x14ac:dyDescent="0.25">
      <c r="A584" s="553">
        <v>7</v>
      </c>
      <c r="B584" s="553">
        <v>2</v>
      </c>
      <c r="C584" s="553">
        <v>2</v>
      </c>
      <c r="D584" s="553">
        <v>2</v>
      </c>
      <c r="E584" s="553">
        <v>2</v>
      </c>
      <c r="F584" s="553">
        <v>2</v>
      </c>
      <c r="G584" s="502" t="s">
        <v>488</v>
      </c>
      <c r="H584" s="553">
        <v>1321.91</v>
      </c>
      <c r="I584" s="553">
        <v>0</v>
      </c>
      <c r="J584" s="553">
        <v>4</v>
      </c>
      <c r="K584" s="553">
        <v>46</v>
      </c>
      <c r="L584" s="553">
        <v>4</v>
      </c>
      <c r="M584" s="505" t="s">
        <v>137</v>
      </c>
      <c r="N584" s="500">
        <v>43013539110000</v>
      </c>
      <c r="O584" s="553" t="s">
        <v>1187</v>
      </c>
      <c r="P584" s="650" t="s">
        <v>1193</v>
      </c>
      <c r="Q584" s="564" t="s">
        <v>583</v>
      </c>
      <c r="R584" s="564">
        <v>1</v>
      </c>
    </row>
    <row r="585" spans="1:18" ht="15" customHeight="1" x14ac:dyDescent="0.25">
      <c r="A585" s="553">
        <v>7</v>
      </c>
      <c r="B585" s="553">
        <v>2</v>
      </c>
      <c r="C585" s="553">
        <v>2</v>
      </c>
      <c r="D585" s="553">
        <v>2</v>
      </c>
      <c r="E585" s="553">
        <v>2</v>
      </c>
      <c r="F585" s="553">
        <v>2</v>
      </c>
      <c r="G585" s="553" t="s">
        <v>490</v>
      </c>
      <c r="H585" s="553">
        <v>1315.9349999999999</v>
      </c>
      <c r="I585" s="553">
        <v>0</v>
      </c>
      <c r="J585" s="553">
        <v>38</v>
      </c>
      <c r="K585" s="553">
        <v>2</v>
      </c>
      <c r="L585" s="553">
        <v>2</v>
      </c>
      <c r="M585" s="505" t="s">
        <v>137</v>
      </c>
      <c r="N585" s="500">
        <v>43013539110000</v>
      </c>
      <c r="O585" s="553" t="s">
        <v>1187</v>
      </c>
      <c r="P585" s="650" t="s">
        <v>1194</v>
      </c>
      <c r="Q585" s="564" t="s">
        <v>583</v>
      </c>
      <c r="R585" s="564">
        <v>1</v>
      </c>
    </row>
    <row r="586" spans="1:18" ht="15" customHeight="1" x14ac:dyDescent="0.25">
      <c r="A586" s="553">
        <v>7</v>
      </c>
      <c r="B586" s="553">
        <v>2</v>
      </c>
      <c r="C586" s="553">
        <v>2</v>
      </c>
      <c r="D586" s="553">
        <v>2</v>
      </c>
      <c r="E586" s="553">
        <v>2</v>
      </c>
      <c r="F586" s="553">
        <v>2</v>
      </c>
      <c r="G586" s="553" t="s">
        <v>493</v>
      </c>
      <c r="H586" s="553">
        <v>1315.9349999999999</v>
      </c>
      <c r="I586" s="553">
        <v>0</v>
      </c>
      <c r="J586" s="553">
        <v>38</v>
      </c>
      <c r="K586" s="553">
        <v>2</v>
      </c>
      <c r="L586" s="553">
        <v>2</v>
      </c>
      <c r="M586" s="505" t="s">
        <v>137</v>
      </c>
      <c r="N586" s="500">
        <v>43013539110000</v>
      </c>
      <c r="O586" s="553" t="s">
        <v>1187</v>
      </c>
      <c r="P586" s="650" t="s">
        <v>1195</v>
      </c>
      <c r="Q586" s="564" t="s">
        <v>583</v>
      </c>
      <c r="R586" s="564">
        <v>1</v>
      </c>
    </row>
    <row r="587" spans="1:18" ht="15" customHeight="1" x14ac:dyDescent="0.25">
      <c r="A587" s="553">
        <v>7</v>
      </c>
      <c r="B587" s="553">
        <v>2</v>
      </c>
      <c r="C587" s="553">
        <v>2</v>
      </c>
      <c r="D587" s="553">
        <v>2</v>
      </c>
      <c r="E587" s="553">
        <v>2</v>
      </c>
      <c r="F587" s="553">
        <v>2</v>
      </c>
      <c r="G587" s="553" t="s">
        <v>474</v>
      </c>
      <c r="H587" s="553">
        <v>1260.7249999999999</v>
      </c>
      <c r="I587" s="553">
        <v>89</v>
      </c>
      <c r="J587" s="553">
        <v>52</v>
      </c>
      <c r="K587" s="553">
        <v>28</v>
      </c>
      <c r="L587" s="553">
        <v>4</v>
      </c>
      <c r="M587" s="505" t="s">
        <v>137</v>
      </c>
      <c r="N587" s="500">
        <v>43013539110000</v>
      </c>
      <c r="O587" s="553" t="s">
        <v>1187</v>
      </c>
      <c r="P587" s="650" t="s">
        <v>1196</v>
      </c>
      <c r="Q587" s="564" t="s">
        <v>583</v>
      </c>
      <c r="R587" s="564">
        <v>1</v>
      </c>
    </row>
    <row r="588" spans="1:18" ht="15" customHeight="1" x14ac:dyDescent="0.25">
      <c r="A588" s="553">
        <v>7</v>
      </c>
      <c r="B588" s="553">
        <v>2</v>
      </c>
      <c r="C588" s="553">
        <v>2</v>
      </c>
      <c r="D588" s="553">
        <v>2</v>
      </c>
      <c r="E588" s="553">
        <v>2</v>
      </c>
      <c r="F588" s="553">
        <v>2</v>
      </c>
      <c r="G588" s="502" t="s">
        <v>477</v>
      </c>
      <c r="H588" s="553">
        <v>1260.7249999999999</v>
      </c>
      <c r="I588" s="553">
        <v>89</v>
      </c>
      <c r="J588" s="553">
        <v>52</v>
      </c>
      <c r="K588" s="553">
        <v>28</v>
      </c>
      <c r="L588" s="553">
        <v>4</v>
      </c>
      <c r="M588" s="505" t="s">
        <v>137</v>
      </c>
      <c r="N588" s="500">
        <v>43013539110000</v>
      </c>
      <c r="O588" s="553" t="s">
        <v>1187</v>
      </c>
      <c r="P588" s="650" t="s">
        <v>1197</v>
      </c>
      <c r="Q588" s="564" t="s">
        <v>583</v>
      </c>
      <c r="R588" s="564">
        <v>1</v>
      </c>
    </row>
    <row r="589" spans="1:18" ht="15" customHeight="1" x14ac:dyDescent="0.25">
      <c r="A589" s="553">
        <v>7</v>
      </c>
      <c r="B589" s="553">
        <v>2</v>
      </c>
      <c r="C589" s="553">
        <v>2</v>
      </c>
      <c r="D589" s="553">
        <v>2</v>
      </c>
      <c r="E589" s="553">
        <v>2</v>
      </c>
      <c r="F589" s="553">
        <v>2</v>
      </c>
      <c r="G589" s="553" t="s">
        <v>479</v>
      </c>
      <c r="H589" s="553">
        <v>1317.92</v>
      </c>
      <c r="I589" s="553">
        <v>89</v>
      </c>
      <c r="J589" s="553">
        <v>52</v>
      </c>
      <c r="K589" s="553">
        <v>35</v>
      </c>
      <c r="L589" s="553">
        <v>4</v>
      </c>
      <c r="M589" s="505" t="s">
        <v>137</v>
      </c>
      <c r="N589" s="500">
        <v>43013539110000</v>
      </c>
      <c r="O589" s="553" t="s">
        <v>1187</v>
      </c>
      <c r="P589" s="650" t="s">
        <v>1198</v>
      </c>
      <c r="Q589" s="564" t="s">
        <v>583</v>
      </c>
      <c r="R589" s="564">
        <v>1</v>
      </c>
    </row>
    <row r="590" spans="1:18" ht="15" customHeight="1" x14ac:dyDescent="0.25">
      <c r="A590" s="553">
        <v>7</v>
      </c>
      <c r="B590" s="553">
        <v>2</v>
      </c>
      <c r="C590" s="553">
        <v>2</v>
      </c>
      <c r="D590" s="553">
        <v>2</v>
      </c>
      <c r="E590" s="553">
        <v>2</v>
      </c>
      <c r="F590" s="553">
        <v>2</v>
      </c>
      <c r="G590" s="553" t="s">
        <v>485</v>
      </c>
      <c r="H590" s="553">
        <v>1317.92</v>
      </c>
      <c r="I590" s="553">
        <v>89</v>
      </c>
      <c r="J590" s="553">
        <v>52</v>
      </c>
      <c r="K590" s="553">
        <v>35</v>
      </c>
      <c r="L590" s="553">
        <v>4</v>
      </c>
      <c r="M590" s="505" t="s">
        <v>137</v>
      </c>
      <c r="N590" s="500">
        <v>43013539110000</v>
      </c>
      <c r="O590" s="553" t="s">
        <v>1187</v>
      </c>
      <c r="P590" s="650" t="s">
        <v>1199</v>
      </c>
      <c r="Q590" s="564" t="s">
        <v>583</v>
      </c>
      <c r="R590" s="564">
        <v>1</v>
      </c>
    </row>
    <row r="591" spans="1:18" ht="15" customHeight="1" x14ac:dyDescent="0.25">
      <c r="A591" s="553">
        <v>7</v>
      </c>
      <c r="B591" s="553">
        <v>2</v>
      </c>
      <c r="C591" s="553">
        <v>2</v>
      </c>
      <c r="D591" s="553">
        <v>2</v>
      </c>
      <c r="E591" s="553">
        <v>2</v>
      </c>
      <c r="F591" s="553">
        <v>2</v>
      </c>
      <c r="G591" s="553" t="s">
        <v>487</v>
      </c>
      <c r="H591" s="553">
        <v>1266.6199999999999</v>
      </c>
      <c r="I591" s="553">
        <v>89</v>
      </c>
      <c r="J591" s="553">
        <v>57</v>
      </c>
      <c r="K591" s="553">
        <v>59</v>
      </c>
      <c r="L591" s="553">
        <v>4</v>
      </c>
      <c r="M591" s="505" t="s">
        <v>137</v>
      </c>
      <c r="N591" s="500">
        <v>43013539110000</v>
      </c>
      <c r="O591" s="553" t="s">
        <v>1187</v>
      </c>
      <c r="P591" s="650" t="s">
        <v>1200</v>
      </c>
      <c r="Q591" s="564" t="s">
        <v>583</v>
      </c>
      <c r="R591" s="564">
        <v>1</v>
      </c>
    </row>
    <row r="592" spans="1:18" ht="15" customHeight="1" x14ac:dyDescent="0.25">
      <c r="A592" s="553">
        <v>7</v>
      </c>
      <c r="B592" s="553">
        <v>2</v>
      </c>
      <c r="C592" s="553">
        <v>2</v>
      </c>
      <c r="D592" s="553">
        <v>2</v>
      </c>
      <c r="E592" s="553">
        <v>2</v>
      </c>
      <c r="F592" s="553">
        <v>2</v>
      </c>
      <c r="G592" s="502" t="s">
        <v>489</v>
      </c>
      <c r="H592" s="553">
        <v>1266.6199999999999</v>
      </c>
      <c r="I592" s="553">
        <v>89</v>
      </c>
      <c r="J592" s="553">
        <v>57</v>
      </c>
      <c r="K592" s="553">
        <v>59</v>
      </c>
      <c r="L592" s="553">
        <v>4</v>
      </c>
      <c r="M592" s="505" t="s">
        <v>137</v>
      </c>
      <c r="N592" s="500">
        <v>43013539110000</v>
      </c>
      <c r="O592" s="553" t="s">
        <v>1187</v>
      </c>
      <c r="P592" s="650" t="s">
        <v>1201</v>
      </c>
      <c r="Q592" s="564" t="s">
        <v>583</v>
      </c>
      <c r="R592" s="564">
        <v>1</v>
      </c>
    </row>
    <row r="593" spans="1:18" ht="15" customHeight="1" x14ac:dyDescent="0.25">
      <c r="A593" s="553">
        <v>7</v>
      </c>
      <c r="B593" s="553">
        <v>2</v>
      </c>
      <c r="C593" s="553">
        <v>2</v>
      </c>
      <c r="D593" s="553">
        <v>2</v>
      </c>
      <c r="E593" s="553">
        <v>2</v>
      </c>
      <c r="F593" s="553">
        <v>2</v>
      </c>
      <c r="G593" s="553" t="s">
        <v>491</v>
      </c>
      <c r="H593" s="553">
        <v>1317.19</v>
      </c>
      <c r="I593" s="553">
        <v>89</v>
      </c>
      <c r="J593" s="553">
        <v>57</v>
      </c>
      <c r="K593" s="553">
        <v>20</v>
      </c>
      <c r="L593" s="553">
        <v>4</v>
      </c>
      <c r="M593" s="505" t="s">
        <v>137</v>
      </c>
      <c r="N593" s="500">
        <v>43013539110000</v>
      </c>
      <c r="O593" s="553" t="s">
        <v>1187</v>
      </c>
      <c r="P593" s="650" t="s">
        <v>1202</v>
      </c>
      <c r="Q593" s="564" t="s">
        <v>583</v>
      </c>
      <c r="R593" s="564">
        <v>1</v>
      </c>
    </row>
    <row r="594" spans="1:18" ht="15" customHeight="1" x14ac:dyDescent="0.25">
      <c r="A594" s="553">
        <v>7</v>
      </c>
      <c r="B594" s="553">
        <v>2</v>
      </c>
      <c r="C594" s="553">
        <v>2</v>
      </c>
      <c r="D594" s="553">
        <v>2</v>
      </c>
      <c r="E594" s="553">
        <v>2</v>
      </c>
      <c r="F594" s="553">
        <v>2</v>
      </c>
      <c r="G594" s="553" t="s">
        <v>494</v>
      </c>
      <c r="H594" s="553">
        <v>1317.19</v>
      </c>
      <c r="I594" s="553">
        <v>89</v>
      </c>
      <c r="J594" s="553">
        <v>57</v>
      </c>
      <c r="K594" s="553">
        <v>20</v>
      </c>
      <c r="L594" s="553">
        <v>4</v>
      </c>
      <c r="M594" s="505" t="s">
        <v>137</v>
      </c>
      <c r="N594" s="500">
        <v>43013539110000</v>
      </c>
      <c r="O594" s="553" t="s">
        <v>1187</v>
      </c>
      <c r="P594" s="650" t="s">
        <v>1203</v>
      </c>
      <c r="Q594" s="564" t="s">
        <v>583</v>
      </c>
      <c r="R594" s="564">
        <v>1</v>
      </c>
    </row>
    <row r="595" spans="1:18" ht="15" customHeight="1" x14ac:dyDescent="0.25">
      <c r="A595" s="553">
        <v>7</v>
      </c>
      <c r="B595" s="553">
        <v>2</v>
      </c>
      <c r="C595" s="553">
        <v>2</v>
      </c>
      <c r="D595" s="553">
        <v>3</v>
      </c>
      <c r="E595" s="553">
        <v>2</v>
      </c>
      <c r="F595" s="553">
        <v>2</v>
      </c>
      <c r="G595" s="553" t="s">
        <v>473</v>
      </c>
      <c r="H595" s="553">
        <v>1328.365</v>
      </c>
      <c r="I595" s="553">
        <v>0</v>
      </c>
      <c r="J595" s="553">
        <v>13</v>
      </c>
      <c r="K595" s="553">
        <v>6</v>
      </c>
      <c r="L595" s="553">
        <v>4</v>
      </c>
      <c r="M595" s="505" t="s">
        <v>137</v>
      </c>
      <c r="N595" s="652">
        <v>43013538740000</v>
      </c>
      <c r="O595" s="553" t="s">
        <v>869</v>
      </c>
      <c r="P595" s="650" t="s">
        <v>1204</v>
      </c>
      <c r="Q595" s="564" t="s">
        <v>583</v>
      </c>
      <c r="R595" s="564">
        <v>2</v>
      </c>
    </row>
    <row r="596" spans="1:18" ht="15" customHeight="1" x14ac:dyDescent="0.25">
      <c r="A596" s="553">
        <v>7</v>
      </c>
      <c r="B596" s="553">
        <v>2</v>
      </c>
      <c r="C596" s="553">
        <v>2</v>
      </c>
      <c r="D596" s="553">
        <v>3</v>
      </c>
      <c r="E596" s="553">
        <v>2</v>
      </c>
      <c r="F596" s="553">
        <v>2</v>
      </c>
      <c r="G596" s="502" t="s">
        <v>476</v>
      </c>
      <c r="H596" s="553">
        <v>1328.365</v>
      </c>
      <c r="I596" s="553">
        <v>0</v>
      </c>
      <c r="J596" s="553">
        <v>13</v>
      </c>
      <c r="K596" s="553">
        <v>6</v>
      </c>
      <c r="L596" s="553">
        <v>4</v>
      </c>
      <c r="M596" s="505" t="s">
        <v>137</v>
      </c>
      <c r="N596" s="652">
        <v>43013538740000</v>
      </c>
      <c r="O596" s="553" t="s">
        <v>869</v>
      </c>
      <c r="P596" s="650" t="s">
        <v>1205</v>
      </c>
      <c r="Q596" s="564" t="s">
        <v>583</v>
      </c>
      <c r="R596" s="564">
        <v>2</v>
      </c>
    </row>
    <row r="597" spans="1:18" ht="15" customHeight="1" x14ac:dyDescent="0.25">
      <c r="A597" s="553">
        <v>7</v>
      </c>
      <c r="B597" s="553">
        <v>2</v>
      </c>
      <c r="C597" s="553">
        <v>2</v>
      </c>
      <c r="D597" s="553">
        <v>3</v>
      </c>
      <c r="E597" s="553">
        <v>2</v>
      </c>
      <c r="F597" s="553">
        <v>2</v>
      </c>
      <c r="G597" s="553" t="s">
        <v>478</v>
      </c>
      <c r="H597" s="553">
        <v>1323.7449999999999</v>
      </c>
      <c r="I597" s="553">
        <v>0</v>
      </c>
      <c r="J597" s="553">
        <v>3</v>
      </c>
      <c r="K597" s="553">
        <v>17</v>
      </c>
      <c r="L597" s="553">
        <v>4</v>
      </c>
      <c r="M597" s="505" t="s">
        <v>137</v>
      </c>
      <c r="N597" s="652">
        <v>43013538740000</v>
      </c>
      <c r="O597" s="553" t="s">
        <v>869</v>
      </c>
      <c r="P597" s="650" t="s">
        <v>1206</v>
      </c>
      <c r="Q597" s="564" t="s">
        <v>583</v>
      </c>
      <c r="R597" s="564">
        <v>2</v>
      </c>
    </row>
    <row r="598" spans="1:18" ht="15" customHeight="1" x14ac:dyDescent="0.25">
      <c r="A598" s="553">
        <v>7</v>
      </c>
      <c r="B598" s="553">
        <v>2</v>
      </c>
      <c r="C598" s="553">
        <v>2</v>
      </c>
      <c r="D598" s="553">
        <v>3</v>
      </c>
      <c r="E598" s="553">
        <v>2</v>
      </c>
      <c r="F598" s="553">
        <v>2</v>
      </c>
      <c r="G598" s="553" t="s">
        <v>484</v>
      </c>
      <c r="H598" s="553">
        <v>1323.7449999999999</v>
      </c>
      <c r="I598" s="553">
        <v>0</v>
      </c>
      <c r="J598" s="553">
        <v>3</v>
      </c>
      <c r="K598" s="553">
        <v>17</v>
      </c>
      <c r="L598" s="553">
        <v>4</v>
      </c>
      <c r="M598" s="505" t="s">
        <v>137</v>
      </c>
      <c r="N598" s="652">
        <v>43013538740000</v>
      </c>
      <c r="O598" s="553" t="s">
        <v>869</v>
      </c>
      <c r="P598" s="650" t="s">
        <v>1207</v>
      </c>
      <c r="Q598" s="564" t="s">
        <v>583</v>
      </c>
      <c r="R598" s="564">
        <v>2</v>
      </c>
    </row>
    <row r="599" spans="1:18" ht="15" customHeight="1" x14ac:dyDescent="0.25">
      <c r="A599" s="553">
        <v>7</v>
      </c>
      <c r="B599" s="553">
        <v>2</v>
      </c>
      <c r="C599" s="553">
        <v>2</v>
      </c>
      <c r="D599" s="553">
        <v>3</v>
      </c>
      <c r="E599" s="553">
        <v>2</v>
      </c>
      <c r="F599" s="553">
        <v>2</v>
      </c>
      <c r="G599" s="553" t="s">
        <v>486</v>
      </c>
      <c r="H599" s="553">
        <v>1308.44</v>
      </c>
      <c r="I599" s="553">
        <v>0</v>
      </c>
      <c r="J599" s="553">
        <v>15</v>
      </c>
      <c r="K599" s="553">
        <v>45</v>
      </c>
      <c r="L599" s="553">
        <v>2</v>
      </c>
      <c r="M599" s="505" t="s">
        <v>137</v>
      </c>
      <c r="N599" s="652">
        <v>43013538740000</v>
      </c>
      <c r="O599" s="553" t="s">
        <v>869</v>
      </c>
      <c r="P599" s="650" t="s">
        <v>1208</v>
      </c>
      <c r="Q599" s="564" t="s">
        <v>583</v>
      </c>
      <c r="R599" s="564">
        <v>2</v>
      </c>
    </row>
    <row r="600" spans="1:18" ht="15" customHeight="1" x14ac:dyDescent="0.25">
      <c r="A600" s="553">
        <v>7</v>
      </c>
      <c r="B600" s="553">
        <v>2</v>
      </c>
      <c r="C600" s="553">
        <v>2</v>
      </c>
      <c r="D600" s="553">
        <v>3</v>
      </c>
      <c r="E600" s="553">
        <v>2</v>
      </c>
      <c r="F600" s="553">
        <v>2</v>
      </c>
      <c r="G600" s="502" t="s">
        <v>488</v>
      </c>
      <c r="H600" s="553">
        <v>1308.44</v>
      </c>
      <c r="I600" s="553">
        <v>0</v>
      </c>
      <c r="J600" s="553">
        <v>15</v>
      </c>
      <c r="K600" s="553">
        <v>45</v>
      </c>
      <c r="L600" s="553">
        <v>2</v>
      </c>
      <c r="M600" s="505" t="s">
        <v>137</v>
      </c>
      <c r="N600" s="652">
        <v>43013538740000</v>
      </c>
      <c r="O600" s="553" t="s">
        <v>869</v>
      </c>
      <c r="P600" s="650" t="s">
        <v>1209</v>
      </c>
      <c r="Q600" s="564" t="s">
        <v>583</v>
      </c>
      <c r="R600" s="564">
        <v>2</v>
      </c>
    </row>
    <row r="601" spans="1:18" ht="15" customHeight="1" x14ac:dyDescent="0.25">
      <c r="A601" s="553">
        <v>7</v>
      </c>
      <c r="B601" s="553">
        <v>2</v>
      </c>
      <c r="C601" s="553">
        <v>2</v>
      </c>
      <c r="D601" s="553">
        <v>3</v>
      </c>
      <c r="E601" s="553">
        <v>2</v>
      </c>
      <c r="F601" s="553">
        <v>2</v>
      </c>
      <c r="G601" s="553" t="s">
        <v>490</v>
      </c>
      <c r="H601" s="553">
        <v>1317.64</v>
      </c>
      <c r="I601" s="553">
        <v>0</v>
      </c>
      <c r="J601" s="553">
        <v>32</v>
      </c>
      <c r="K601" s="553">
        <v>48</v>
      </c>
      <c r="L601" s="553">
        <v>2</v>
      </c>
      <c r="M601" s="505" t="s">
        <v>137</v>
      </c>
      <c r="N601" s="652">
        <v>43013538740000</v>
      </c>
      <c r="O601" s="553" t="s">
        <v>869</v>
      </c>
      <c r="P601" s="650" t="s">
        <v>1210</v>
      </c>
      <c r="Q601" s="564" t="s">
        <v>583</v>
      </c>
      <c r="R601" s="564">
        <v>2</v>
      </c>
    </row>
    <row r="602" spans="1:18" ht="15" customHeight="1" x14ac:dyDescent="0.25">
      <c r="A602" s="553">
        <v>7</v>
      </c>
      <c r="B602" s="553">
        <v>2</v>
      </c>
      <c r="C602" s="553">
        <v>2</v>
      </c>
      <c r="D602" s="553">
        <v>3</v>
      </c>
      <c r="E602" s="553">
        <v>2</v>
      </c>
      <c r="F602" s="553">
        <v>2</v>
      </c>
      <c r="G602" s="553" t="s">
        <v>493</v>
      </c>
      <c r="H602" s="553">
        <v>1317.64</v>
      </c>
      <c r="I602" s="553">
        <v>0</v>
      </c>
      <c r="J602" s="553">
        <v>32</v>
      </c>
      <c r="K602" s="553">
        <v>48</v>
      </c>
      <c r="L602" s="553">
        <v>2</v>
      </c>
      <c r="M602" s="505" t="s">
        <v>137</v>
      </c>
      <c r="N602" s="652">
        <v>43013538740000</v>
      </c>
      <c r="O602" s="553" t="s">
        <v>869</v>
      </c>
      <c r="P602" s="650" t="s">
        <v>1211</v>
      </c>
      <c r="Q602" s="564" t="s">
        <v>583</v>
      </c>
      <c r="R602" s="564">
        <v>2</v>
      </c>
    </row>
    <row r="603" spans="1:18" ht="15" customHeight="1" x14ac:dyDescent="0.25">
      <c r="A603" s="553">
        <v>7</v>
      </c>
      <c r="B603" s="553">
        <v>2</v>
      </c>
      <c r="C603" s="553">
        <v>2</v>
      </c>
      <c r="D603" s="553">
        <v>3</v>
      </c>
      <c r="E603" s="553">
        <v>2</v>
      </c>
      <c r="F603" s="553">
        <v>2</v>
      </c>
      <c r="G603" s="553" t="s">
        <v>474</v>
      </c>
      <c r="H603" s="553">
        <v>1311.6375</v>
      </c>
      <c r="I603" s="553">
        <v>89</v>
      </c>
      <c r="J603" s="553">
        <v>59</v>
      </c>
      <c r="K603" s="553">
        <v>27</v>
      </c>
      <c r="L603" s="553">
        <v>3</v>
      </c>
      <c r="M603" s="505" t="s">
        <v>137</v>
      </c>
      <c r="N603" s="652">
        <v>43013538740000</v>
      </c>
      <c r="O603" s="553" t="s">
        <v>869</v>
      </c>
      <c r="P603" s="650" t="s">
        <v>1212</v>
      </c>
      <c r="Q603" s="564" t="s">
        <v>583</v>
      </c>
      <c r="R603" s="564">
        <v>2</v>
      </c>
    </row>
    <row r="604" spans="1:18" ht="15" customHeight="1" x14ac:dyDescent="0.25">
      <c r="A604" s="553">
        <v>7</v>
      </c>
      <c r="B604" s="553">
        <v>2</v>
      </c>
      <c r="C604" s="553">
        <v>2</v>
      </c>
      <c r="D604" s="553">
        <v>3</v>
      </c>
      <c r="E604" s="553">
        <v>2</v>
      </c>
      <c r="F604" s="553">
        <v>2</v>
      </c>
      <c r="G604" s="502" t="s">
        <v>477</v>
      </c>
      <c r="H604" s="553">
        <v>1311.6375</v>
      </c>
      <c r="I604" s="553">
        <v>89</v>
      </c>
      <c r="J604" s="553">
        <v>59</v>
      </c>
      <c r="K604" s="553">
        <v>27</v>
      </c>
      <c r="L604" s="553">
        <v>3</v>
      </c>
      <c r="M604" s="505" t="s">
        <v>137</v>
      </c>
      <c r="N604" s="652">
        <v>43013538740000</v>
      </c>
      <c r="O604" s="553" t="s">
        <v>869</v>
      </c>
      <c r="P604" s="650" t="s">
        <v>1213</v>
      </c>
      <c r="Q604" s="564" t="s">
        <v>583</v>
      </c>
      <c r="R604" s="564">
        <v>2</v>
      </c>
    </row>
    <row r="605" spans="1:18" ht="15" customHeight="1" x14ac:dyDescent="0.25">
      <c r="A605" s="553">
        <v>7</v>
      </c>
      <c r="B605" s="553">
        <v>2</v>
      </c>
      <c r="C605" s="553">
        <v>2</v>
      </c>
      <c r="D605" s="553">
        <v>3</v>
      </c>
      <c r="E605" s="553">
        <v>2</v>
      </c>
      <c r="F605" s="553">
        <v>2</v>
      </c>
      <c r="G605" s="553" t="s">
        <v>479</v>
      </c>
      <c r="H605" s="553">
        <v>1311.6375</v>
      </c>
      <c r="I605" s="553">
        <v>89</v>
      </c>
      <c r="J605" s="553">
        <v>59</v>
      </c>
      <c r="K605" s="553">
        <v>27</v>
      </c>
      <c r="L605" s="553">
        <v>3</v>
      </c>
      <c r="M605" s="505" t="s">
        <v>137</v>
      </c>
      <c r="N605" s="652">
        <v>43013538740000</v>
      </c>
      <c r="O605" s="553" t="s">
        <v>869</v>
      </c>
      <c r="P605" s="650" t="s">
        <v>1214</v>
      </c>
      <c r="Q605" s="564" t="s">
        <v>583</v>
      </c>
      <c r="R605" s="564">
        <v>2</v>
      </c>
    </row>
    <row r="606" spans="1:18" ht="15" customHeight="1" x14ac:dyDescent="0.25">
      <c r="A606" s="553">
        <v>7</v>
      </c>
      <c r="B606" s="553">
        <v>2</v>
      </c>
      <c r="C606" s="553">
        <v>2</v>
      </c>
      <c r="D606" s="553">
        <v>3</v>
      </c>
      <c r="E606" s="553">
        <v>2</v>
      </c>
      <c r="F606" s="553">
        <v>2</v>
      </c>
      <c r="G606" s="553" t="s">
        <v>485</v>
      </c>
      <c r="H606" s="553">
        <v>1311.6375</v>
      </c>
      <c r="I606" s="553">
        <v>89</v>
      </c>
      <c r="J606" s="553">
        <v>59</v>
      </c>
      <c r="K606" s="553">
        <v>27</v>
      </c>
      <c r="L606" s="553">
        <v>3</v>
      </c>
      <c r="M606" s="505" t="s">
        <v>137</v>
      </c>
      <c r="N606" s="652">
        <v>43013538740000</v>
      </c>
      <c r="O606" s="553" t="s">
        <v>869</v>
      </c>
      <c r="P606" s="650" t="s">
        <v>1215</v>
      </c>
      <c r="Q606" s="564" t="s">
        <v>583</v>
      </c>
      <c r="R606" s="564">
        <v>2</v>
      </c>
    </row>
    <row r="607" spans="1:18" ht="15" customHeight="1" x14ac:dyDescent="0.25">
      <c r="A607" s="553">
        <v>7</v>
      </c>
      <c r="B607" s="553">
        <v>2</v>
      </c>
      <c r="C607" s="553">
        <v>2</v>
      </c>
      <c r="D607" s="553">
        <v>3</v>
      </c>
      <c r="E607" s="553">
        <v>2</v>
      </c>
      <c r="F607" s="553">
        <v>2</v>
      </c>
      <c r="G607" s="553" t="s">
        <v>487</v>
      </c>
      <c r="H607" s="553">
        <v>1299.2574999999999</v>
      </c>
      <c r="I607" s="553">
        <v>89</v>
      </c>
      <c r="J607" s="553">
        <v>24</v>
      </c>
      <c r="K607" s="553">
        <v>56</v>
      </c>
      <c r="L607" s="553">
        <v>3</v>
      </c>
      <c r="M607" s="505" t="s">
        <v>137</v>
      </c>
      <c r="N607" s="652">
        <v>43013538740000</v>
      </c>
      <c r="O607" s="553" t="s">
        <v>869</v>
      </c>
      <c r="P607" s="650" t="s">
        <v>1216</v>
      </c>
      <c r="Q607" s="564" t="s">
        <v>583</v>
      </c>
      <c r="R607" s="564">
        <v>2</v>
      </c>
    </row>
    <row r="608" spans="1:18" ht="15" customHeight="1" x14ac:dyDescent="0.25">
      <c r="A608" s="553">
        <v>7</v>
      </c>
      <c r="B608" s="553">
        <v>2</v>
      </c>
      <c r="C608" s="553">
        <v>2</v>
      </c>
      <c r="D608" s="553">
        <v>3</v>
      </c>
      <c r="E608" s="553">
        <v>2</v>
      </c>
      <c r="F608" s="553">
        <v>2</v>
      </c>
      <c r="G608" s="502" t="s">
        <v>489</v>
      </c>
      <c r="H608" s="553">
        <v>1299.2574999999999</v>
      </c>
      <c r="I608" s="553">
        <v>89</v>
      </c>
      <c r="J608" s="553">
        <v>24</v>
      </c>
      <c r="K608" s="553">
        <v>56</v>
      </c>
      <c r="L608" s="553">
        <v>3</v>
      </c>
      <c r="M608" s="505" t="s">
        <v>137</v>
      </c>
      <c r="N608" s="652">
        <v>43013538740000</v>
      </c>
      <c r="O608" s="553" t="s">
        <v>869</v>
      </c>
      <c r="P608" s="650" t="s">
        <v>1217</v>
      </c>
      <c r="Q608" s="564" t="s">
        <v>583</v>
      </c>
      <c r="R608" s="564">
        <v>2</v>
      </c>
    </row>
    <row r="609" spans="1:18" ht="15" customHeight="1" x14ac:dyDescent="0.25">
      <c r="A609" s="553">
        <v>7</v>
      </c>
      <c r="B609" s="553">
        <v>2</v>
      </c>
      <c r="C609" s="553">
        <v>2</v>
      </c>
      <c r="D609" s="553">
        <v>3</v>
      </c>
      <c r="E609" s="553">
        <v>2</v>
      </c>
      <c r="F609" s="553">
        <v>2</v>
      </c>
      <c r="G609" s="553" t="s">
        <v>491</v>
      </c>
      <c r="H609" s="553">
        <v>1299.2574999999999</v>
      </c>
      <c r="I609" s="553">
        <v>89</v>
      </c>
      <c r="J609" s="553">
        <v>24</v>
      </c>
      <c r="K609" s="553">
        <v>56</v>
      </c>
      <c r="L609" s="553">
        <v>3</v>
      </c>
      <c r="M609" s="505" t="s">
        <v>137</v>
      </c>
      <c r="N609" s="652">
        <v>43013538740000</v>
      </c>
      <c r="O609" s="553" t="s">
        <v>869</v>
      </c>
      <c r="P609" s="650" t="s">
        <v>1218</v>
      </c>
      <c r="Q609" s="564" t="s">
        <v>583</v>
      </c>
      <c r="R609" s="564">
        <v>2</v>
      </c>
    </row>
    <row r="610" spans="1:18" ht="15" customHeight="1" x14ac:dyDescent="0.25">
      <c r="A610" s="553">
        <v>7</v>
      </c>
      <c r="B610" s="553">
        <v>2</v>
      </c>
      <c r="C610" s="553">
        <v>2</v>
      </c>
      <c r="D610" s="553">
        <v>3</v>
      </c>
      <c r="E610" s="553">
        <v>2</v>
      </c>
      <c r="F610" s="553">
        <v>2</v>
      </c>
      <c r="G610" s="553" t="s">
        <v>494</v>
      </c>
      <c r="H610" s="553">
        <v>1299.2574999999999</v>
      </c>
      <c r="I610" s="553">
        <v>89</v>
      </c>
      <c r="J610" s="553">
        <v>24</v>
      </c>
      <c r="K610" s="553">
        <v>56</v>
      </c>
      <c r="L610" s="553">
        <v>3</v>
      </c>
      <c r="M610" s="505" t="s">
        <v>137</v>
      </c>
      <c r="N610" s="652">
        <v>43013538740000</v>
      </c>
      <c r="O610" s="553" t="s">
        <v>869</v>
      </c>
      <c r="P610" s="650" t="s">
        <v>1219</v>
      </c>
      <c r="Q610" s="564" t="s">
        <v>583</v>
      </c>
      <c r="R610" s="564">
        <v>2</v>
      </c>
    </row>
    <row r="611" spans="1:18" ht="15" customHeight="1" x14ac:dyDescent="0.25">
      <c r="A611" s="522">
        <v>7</v>
      </c>
      <c r="B611" s="522">
        <v>3</v>
      </c>
      <c r="C611" s="522">
        <v>2</v>
      </c>
      <c r="D611" s="522">
        <v>1</v>
      </c>
      <c r="E611" s="522">
        <v>1</v>
      </c>
      <c r="F611" s="522">
        <v>2</v>
      </c>
      <c r="G611" s="522" t="s">
        <v>473</v>
      </c>
      <c r="H611" s="522">
        <v>2486.8000000000002</v>
      </c>
      <c r="I611" s="522">
        <v>0</v>
      </c>
      <c r="J611" s="522">
        <v>21</v>
      </c>
      <c r="K611" s="522">
        <v>16</v>
      </c>
      <c r="L611" s="522">
        <v>2</v>
      </c>
      <c r="M611" s="658" t="s">
        <v>137</v>
      </c>
      <c r="N611" s="563">
        <v>43047567110000</v>
      </c>
      <c r="O611" s="522" t="s">
        <v>1119</v>
      </c>
      <c r="P611" s="659" t="s">
        <v>1220</v>
      </c>
      <c r="Q611" s="660" t="s">
        <v>4440</v>
      </c>
      <c r="R611" s="564">
        <v>1</v>
      </c>
    </row>
    <row r="612" spans="1:18" ht="15" customHeight="1" x14ac:dyDescent="0.25">
      <c r="A612" s="522">
        <v>7</v>
      </c>
      <c r="B612" s="522">
        <v>3</v>
      </c>
      <c r="C612" s="522">
        <v>2</v>
      </c>
      <c r="D612" s="522">
        <v>1</v>
      </c>
      <c r="E612" s="522">
        <v>1</v>
      </c>
      <c r="F612" s="522">
        <v>2</v>
      </c>
      <c r="G612" s="523" t="s">
        <v>476</v>
      </c>
      <c r="H612" s="522">
        <v>155.69</v>
      </c>
      <c r="I612" s="522">
        <v>0</v>
      </c>
      <c r="J612" s="522">
        <v>0</v>
      </c>
      <c r="K612" s="522">
        <v>43</v>
      </c>
      <c r="L612" s="522">
        <v>4</v>
      </c>
      <c r="M612" s="658" t="s">
        <v>137</v>
      </c>
      <c r="N612" s="563">
        <v>43047567110001</v>
      </c>
      <c r="O612" s="522" t="s">
        <v>1119</v>
      </c>
      <c r="P612" s="659" t="s">
        <v>1221</v>
      </c>
      <c r="Q612" s="660" t="s">
        <v>4440</v>
      </c>
      <c r="R612" s="564">
        <v>1</v>
      </c>
    </row>
    <row r="613" spans="1:18" ht="15" customHeight="1" x14ac:dyDescent="0.25">
      <c r="A613" s="522">
        <v>7</v>
      </c>
      <c r="B613" s="522">
        <v>3</v>
      </c>
      <c r="C613" s="522">
        <v>2</v>
      </c>
      <c r="D613" s="522">
        <v>1</v>
      </c>
      <c r="E613" s="522">
        <v>1</v>
      </c>
      <c r="F613" s="522">
        <v>2</v>
      </c>
      <c r="G613" s="522" t="s">
        <v>478</v>
      </c>
      <c r="H613" s="522">
        <v>2642.6</v>
      </c>
      <c r="I613" s="522">
        <v>0</v>
      </c>
      <c r="J613" s="522">
        <v>0</v>
      </c>
      <c r="K613" s="522">
        <v>43</v>
      </c>
      <c r="L613" s="522">
        <v>4</v>
      </c>
      <c r="M613" s="658" t="s">
        <v>137</v>
      </c>
      <c r="N613" s="563">
        <v>43047567110002</v>
      </c>
      <c r="O613" s="522" t="s">
        <v>1119</v>
      </c>
      <c r="P613" s="659" t="s">
        <v>1222</v>
      </c>
      <c r="Q613" s="660" t="s">
        <v>4440</v>
      </c>
      <c r="R613" s="564">
        <v>1</v>
      </c>
    </row>
    <row r="614" spans="1:18" ht="15" customHeight="1" x14ac:dyDescent="0.25">
      <c r="A614" s="522">
        <v>7</v>
      </c>
      <c r="B614" s="522">
        <v>3</v>
      </c>
      <c r="C614" s="522">
        <v>2</v>
      </c>
      <c r="D614" s="522">
        <v>1</v>
      </c>
      <c r="E614" s="522">
        <v>1</v>
      </c>
      <c r="F614" s="522">
        <v>2</v>
      </c>
      <c r="G614" s="522" t="s">
        <v>484</v>
      </c>
      <c r="H614" s="522">
        <v>0</v>
      </c>
      <c r="I614" s="522">
        <v>0</v>
      </c>
      <c r="J614" s="522">
        <v>0</v>
      </c>
      <c r="K614" s="522">
        <v>0</v>
      </c>
      <c r="L614" s="522">
        <v>0</v>
      </c>
      <c r="M614" s="658" t="s">
        <v>137</v>
      </c>
      <c r="N614" s="563">
        <v>43047567110003</v>
      </c>
      <c r="O614" s="522" t="s">
        <v>1119</v>
      </c>
      <c r="P614" s="659" t="s">
        <v>1223</v>
      </c>
      <c r="Q614" s="660" t="s">
        <v>4440</v>
      </c>
      <c r="R614" s="564">
        <v>1</v>
      </c>
    </row>
    <row r="615" spans="1:18" ht="15" customHeight="1" x14ac:dyDescent="0.25">
      <c r="A615" s="522">
        <v>7</v>
      </c>
      <c r="B615" s="522">
        <v>3</v>
      </c>
      <c r="C615" s="522">
        <v>2</v>
      </c>
      <c r="D615" s="522">
        <v>1</v>
      </c>
      <c r="E615" s="522">
        <v>1</v>
      </c>
      <c r="F615" s="522">
        <v>2</v>
      </c>
      <c r="G615" s="522" t="s">
        <v>486</v>
      </c>
      <c r="H615" s="522">
        <v>0</v>
      </c>
      <c r="I615" s="522">
        <v>0</v>
      </c>
      <c r="J615" s="522">
        <v>0</v>
      </c>
      <c r="K615" s="522">
        <v>0</v>
      </c>
      <c r="L615" s="522">
        <v>0</v>
      </c>
      <c r="M615" s="658" t="s">
        <v>137</v>
      </c>
      <c r="N615" s="563">
        <v>43047567110004</v>
      </c>
      <c r="O615" s="522" t="s">
        <v>1119</v>
      </c>
      <c r="P615" s="659" t="s">
        <v>1224</v>
      </c>
      <c r="Q615" s="660" t="s">
        <v>4440</v>
      </c>
      <c r="R615" s="564">
        <v>1</v>
      </c>
    </row>
    <row r="616" spans="1:18" ht="15" customHeight="1" x14ac:dyDescent="0.25">
      <c r="A616" s="522">
        <v>7</v>
      </c>
      <c r="B616" s="522">
        <v>3</v>
      </c>
      <c r="C616" s="522">
        <v>2</v>
      </c>
      <c r="D616" s="522">
        <v>1</v>
      </c>
      <c r="E616" s="522">
        <v>1</v>
      </c>
      <c r="F616" s="522">
        <v>2</v>
      </c>
      <c r="G616" s="523" t="s">
        <v>488</v>
      </c>
      <c r="H616" s="522">
        <v>2640.69</v>
      </c>
      <c r="I616" s="522">
        <v>0</v>
      </c>
      <c r="J616" s="522">
        <v>6</v>
      </c>
      <c r="K616" s="522">
        <v>25</v>
      </c>
      <c r="L616" s="522">
        <v>2</v>
      </c>
      <c r="M616" s="658" t="s">
        <v>137</v>
      </c>
      <c r="N616" s="563">
        <v>43047567110005</v>
      </c>
      <c r="O616" s="522" t="s">
        <v>1119</v>
      </c>
      <c r="P616" s="659" t="s">
        <v>1225</v>
      </c>
      <c r="Q616" s="660" t="s">
        <v>4440</v>
      </c>
      <c r="R616" s="564">
        <v>1</v>
      </c>
    </row>
    <row r="617" spans="1:18" ht="15" customHeight="1" x14ac:dyDescent="0.25">
      <c r="A617" s="522">
        <v>7</v>
      </c>
      <c r="B617" s="522">
        <v>3</v>
      </c>
      <c r="C617" s="522">
        <v>2</v>
      </c>
      <c r="D617" s="522">
        <v>1</v>
      </c>
      <c r="E617" s="522">
        <v>1</v>
      </c>
      <c r="F617" s="522">
        <v>2</v>
      </c>
      <c r="G617" s="522" t="s">
        <v>490</v>
      </c>
      <c r="H617" s="522">
        <v>2637.11</v>
      </c>
      <c r="I617" s="522">
        <v>0</v>
      </c>
      <c r="J617" s="522">
        <v>1</v>
      </c>
      <c r="K617" s="522">
        <v>26</v>
      </c>
      <c r="L617" s="522">
        <v>2</v>
      </c>
      <c r="M617" s="658" t="s">
        <v>137</v>
      </c>
      <c r="N617" s="563">
        <v>43047567110006</v>
      </c>
      <c r="O617" s="522" t="s">
        <v>1119</v>
      </c>
      <c r="P617" s="659" t="s">
        <v>1226</v>
      </c>
      <c r="Q617" s="660" t="s">
        <v>4440</v>
      </c>
      <c r="R617" s="564">
        <v>1</v>
      </c>
    </row>
    <row r="618" spans="1:18" ht="15" customHeight="1" x14ac:dyDescent="0.25">
      <c r="A618" s="522">
        <v>7</v>
      </c>
      <c r="B618" s="522">
        <v>3</v>
      </c>
      <c r="C618" s="522">
        <v>2</v>
      </c>
      <c r="D618" s="522">
        <v>1</v>
      </c>
      <c r="E618" s="522">
        <v>1</v>
      </c>
      <c r="F618" s="522">
        <v>2</v>
      </c>
      <c r="G618" s="522" t="s">
        <v>493</v>
      </c>
      <c r="H618" s="522">
        <v>0</v>
      </c>
      <c r="I618" s="522">
        <v>0</v>
      </c>
      <c r="J618" s="522">
        <v>0</v>
      </c>
      <c r="K618" s="522">
        <v>0</v>
      </c>
      <c r="L618" s="522">
        <v>0</v>
      </c>
      <c r="M618" s="658" t="s">
        <v>137</v>
      </c>
      <c r="N618" s="563">
        <v>43047567110007</v>
      </c>
      <c r="O618" s="522" t="s">
        <v>1119</v>
      </c>
      <c r="P618" s="659" t="s">
        <v>1227</v>
      </c>
      <c r="Q618" s="660" t="s">
        <v>4440</v>
      </c>
      <c r="R618" s="564">
        <v>1</v>
      </c>
    </row>
    <row r="619" spans="1:18" ht="15" customHeight="1" x14ac:dyDescent="0.25">
      <c r="A619" s="522">
        <v>7</v>
      </c>
      <c r="B619" s="522">
        <v>3</v>
      </c>
      <c r="C619" s="522">
        <v>2</v>
      </c>
      <c r="D619" s="522">
        <v>1</v>
      </c>
      <c r="E619" s="522">
        <v>1</v>
      </c>
      <c r="F619" s="522">
        <v>2</v>
      </c>
      <c r="G619" s="522" t="s">
        <v>474</v>
      </c>
      <c r="H619" s="522">
        <v>0</v>
      </c>
      <c r="I619" s="522">
        <v>0</v>
      </c>
      <c r="J619" s="522">
        <v>0</v>
      </c>
      <c r="K619" s="522">
        <v>0</v>
      </c>
      <c r="L619" s="522">
        <v>0</v>
      </c>
      <c r="M619" s="658" t="s">
        <v>137</v>
      </c>
      <c r="N619" s="563">
        <v>43047567110008</v>
      </c>
      <c r="O619" s="522" t="s">
        <v>1119</v>
      </c>
      <c r="P619" s="659" t="s">
        <v>1228</v>
      </c>
      <c r="Q619" s="660" t="s">
        <v>4440</v>
      </c>
      <c r="R619" s="564">
        <v>1</v>
      </c>
    </row>
    <row r="620" spans="1:18" ht="15" customHeight="1" x14ac:dyDescent="0.25">
      <c r="A620" s="522">
        <v>7</v>
      </c>
      <c r="B620" s="522">
        <v>3</v>
      </c>
      <c r="C620" s="522">
        <v>2</v>
      </c>
      <c r="D620" s="522">
        <v>1</v>
      </c>
      <c r="E620" s="522">
        <v>1</v>
      </c>
      <c r="F620" s="522">
        <v>2</v>
      </c>
      <c r="G620" s="523" t="s">
        <v>477</v>
      </c>
      <c r="H620" s="522">
        <v>2574.58</v>
      </c>
      <c r="I620" s="522">
        <v>89</v>
      </c>
      <c r="J620" s="522">
        <v>54</v>
      </c>
      <c r="K620" s="522">
        <v>45</v>
      </c>
      <c r="L620" s="522">
        <v>3</v>
      </c>
      <c r="M620" s="658" t="s">
        <v>137</v>
      </c>
      <c r="N620" s="563">
        <v>43047567110009</v>
      </c>
      <c r="O620" s="522" t="s">
        <v>1119</v>
      </c>
      <c r="P620" s="659" t="s">
        <v>1229</v>
      </c>
      <c r="Q620" s="660" t="s">
        <v>4440</v>
      </c>
      <c r="R620" s="564">
        <v>1</v>
      </c>
    </row>
    <row r="621" spans="1:18" ht="15" customHeight="1" x14ac:dyDescent="0.25">
      <c r="A621" s="522">
        <v>7</v>
      </c>
      <c r="B621" s="522">
        <v>3</v>
      </c>
      <c r="C621" s="522">
        <v>2</v>
      </c>
      <c r="D621" s="522">
        <v>1</v>
      </c>
      <c r="E621" s="522">
        <v>1</v>
      </c>
      <c r="F621" s="522">
        <v>2</v>
      </c>
      <c r="G621" s="522" t="s">
        <v>479</v>
      </c>
      <c r="H621" s="522">
        <v>2644.02</v>
      </c>
      <c r="I621" s="522">
        <v>89</v>
      </c>
      <c r="J621" s="522">
        <v>54</v>
      </c>
      <c r="K621" s="522">
        <v>45</v>
      </c>
      <c r="L621" s="522">
        <v>3</v>
      </c>
      <c r="M621" s="658" t="s">
        <v>137</v>
      </c>
      <c r="N621" s="563">
        <v>43047567110010</v>
      </c>
      <c r="O621" s="522" t="s">
        <v>1119</v>
      </c>
      <c r="P621" s="659" t="s">
        <v>1230</v>
      </c>
      <c r="Q621" s="660" t="s">
        <v>4440</v>
      </c>
      <c r="R621" s="564">
        <v>1</v>
      </c>
    </row>
    <row r="622" spans="1:18" ht="15" customHeight="1" x14ac:dyDescent="0.25">
      <c r="A622" s="522">
        <v>7</v>
      </c>
      <c r="B622" s="522">
        <v>3</v>
      </c>
      <c r="C622" s="522">
        <v>2</v>
      </c>
      <c r="D622" s="522">
        <v>1</v>
      </c>
      <c r="E622" s="522">
        <v>1</v>
      </c>
      <c r="F622" s="522">
        <v>2</v>
      </c>
      <c r="G622" s="522" t="s">
        <v>485</v>
      </c>
      <c r="H622" s="522">
        <v>0</v>
      </c>
      <c r="I622" s="522">
        <v>0</v>
      </c>
      <c r="J622" s="522">
        <v>0</v>
      </c>
      <c r="K622" s="522">
        <v>0</v>
      </c>
      <c r="L622" s="522">
        <v>0</v>
      </c>
      <c r="M622" s="658" t="s">
        <v>137</v>
      </c>
      <c r="N622" s="563">
        <v>43047567110011</v>
      </c>
      <c r="O622" s="522" t="s">
        <v>1119</v>
      </c>
      <c r="P622" s="659" t="s">
        <v>1231</v>
      </c>
      <c r="Q622" s="660" t="s">
        <v>4440</v>
      </c>
      <c r="R622" s="564">
        <v>1</v>
      </c>
    </row>
    <row r="623" spans="1:18" ht="15" customHeight="1" x14ac:dyDescent="0.25">
      <c r="A623" s="522">
        <v>7</v>
      </c>
      <c r="B623" s="522">
        <v>3</v>
      </c>
      <c r="C623" s="522">
        <v>2</v>
      </c>
      <c r="D623" s="522">
        <v>1</v>
      </c>
      <c r="E623" s="522">
        <v>1</v>
      </c>
      <c r="F623" s="522">
        <v>2</v>
      </c>
      <c r="G623" s="522" t="s">
        <v>487</v>
      </c>
      <c r="H623" s="522">
        <v>0</v>
      </c>
      <c r="I623" s="522">
        <v>0</v>
      </c>
      <c r="J623" s="522">
        <v>0</v>
      </c>
      <c r="K623" s="522">
        <v>0</v>
      </c>
      <c r="L623" s="522">
        <v>0</v>
      </c>
      <c r="M623" s="658" t="s">
        <v>137</v>
      </c>
      <c r="N623" s="563">
        <v>43047567110012</v>
      </c>
      <c r="O623" s="522" t="s">
        <v>1119</v>
      </c>
      <c r="P623" s="659" t="s">
        <v>1232</v>
      </c>
      <c r="Q623" s="660" t="s">
        <v>4440</v>
      </c>
      <c r="R623" s="564">
        <v>1</v>
      </c>
    </row>
    <row r="624" spans="1:18" ht="15" customHeight="1" x14ac:dyDescent="0.25">
      <c r="A624" s="522">
        <v>7</v>
      </c>
      <c r="B624" s="522">
        <v>3</v>
      </c>
      <c r="C624" s="522">
        <v>2</v>
      </c>
      <c r="D624" s="522">
        <v>1</v>
      </c>
      <c r="E624" s="522">
        <v>1</v>
      </c>
      <c r="F624" s="522">
        <v>2</v>
      </c>
      <c r="G624" s="523" t="s">
        <v>489</v>
      </c>
      <c r="H624" s="522">
        <v>2584</v>
      </c>
      <c r="I624" s="522">
        <v>89</v>
      </c>
      <c r="J624" s="522">
        <v>46</v>
      </c>
      <c r="K624" s="522">
        <v>52</v>
      </c>
      <c r="L624" s="522">
        <v>3</v>
      </c>
      <c r="M624" s="658" t="s">
        <v>137</v>
      </c>
      <c r="N624" s="563">
        <v>43047567110013</v>
      </c>
      <c r="O624" s="522" t="s">
        <v>1119</v>
      </c>
      <c r="P624" s="659" t="s">
        <v>1233</v>
      </c>
      <c r="Q624" s="660" t="s">
        <v>4440</v>
      </c>
      <c r="R624" s="564">
        <v>1</v>
      </c>
    </row>
    <row r="625" spans="1:18" ht="15" customHeight="1" x14ac:dyDescent="0.25">
      <c r="A625" s="522">
        <v>7</v>
      </c>
      <c r="B625" s="522">
        <v>3</v>
      </c>
      <c r="C625" s="522">
        <v>2</v>
      </c>
      <c r="D625" s="522">
        <v>1</v>
      </c>
      <c r="E625" s="522">
        <v>1</v>
      </c>
      <c r="F625" s="522">
        <v>2</v>
      </c>
      <c r="G625" s="522" t="s">
        <v>491</v>
      </c>
      <c r="H625" s="522">
        <v>2643.4</v>
      </c>
      <c r="I625" s="522">
        <v>89</v>
      </c>
      <c r="J625" s="522">
        <v>53</v>
      </c>
      <c r="K625" s="522">
        <v>4</v>
      </c>
      <c r="L625" s="522">
        <v>3</v>
      </c>
      <c r="M625" s="658" t="s">
        <v>137</v>
      </c>
      <c r="N625" s="563">
        <v>43047567110014</v>
      </c>
      <c r="O625" s="522" t="s">
        <v>1119</v>
      </c>
      <c r="P625" s="659" t="s">
        <v>1234</v>
      </c>
      <c r="Q625" s="660" t="s">
        <v>4440</v>
      </c>
      <c r="R625" s="564">
        <v>1</v>
      </c>
    </row>
    <row r="626" spans="1:18" ht="15" customHeight="1" x14ac:dyDescent="0.25">
      <c r="A626" s="522">
        <v>7</v>
      </c>
      <c r="B626" s="522">
        <v>3</v>
      </c>
      <c r="C626" s="522">
        <v>2</v>
      </c>
      <c r="D626" s="522">
        <v>1</v>
      </c>
      <c r="E626" s="522">
        <v>1</v>
      </c>
      <c r="F626" s="522">
        <v>2</v>
      </c>
      <c r="G626" s="522" t="s">
        <v>494</v>
      </c>
      <c r="H626" s="522">
        <v>0</v>
      </c>
      <c r="I626" s="522">
        <v>0</v>
      </c>
      <c r="J626" s="522">
        <v>0</v>
      </c>
      <c r="K626" s="522">
        <v>0</v>
      </c>
      <c r="L626" s="522">
        <v>0</v>
      </c>
      <c r="M626" s="658" t="s">
        <v>137</v>
      </c>
      <c r="N626" s="563">
        <v>43047567110015</v>
      </c>
      <c r="O626" s="522" t="s">
        <v>1119</v>
      </c>
      <c r="P626" s="659" t="s">
        <v>1235</v>
      </c>
      <c r="Q626" s="660" t="s">
        <v>4440</v>
      </c>
      <c r="R626" s="564">
        <v>1</v>
      </c>
    </row>
    <row r="627" spans="1:18" ht="15" customHeight="1" x14ac:dyDescent="0.25">
      <c r="A627" s="553">
        <v>7</v>
      </c>
      <c r="B627" s="553">
        <v>3</v>
      </c>
      <c r="C627" s="553">
        <v>2</v>
      </c>
      <c r="D627" s="553">
        <v>5</v>
      </c>
      <c r="E627" s="553">
        <v>2</v>
      </c>
      <c r="F627" s="553">
        <v>2</v>
      </c>
      <c r="G627" s="553" t="s">
        <v>473</v>
      </c>
      <c r="H627" s="553">
        <v>1315.7049999999999</v>
      </c>
      <c r="I627" s="553">
        <v>0</v>
      </c>
      <c r="J627" s="553">
        <v>15</v>
      </c>
      <c r="K627" s="553">
        <v>31</v>
      </c>
      <c r="L627" s="553">
        <v>3</v>
      </c>
      <c r="M627" s="505" t="s">
        <v>137</v>
      </c>
      <c r="N627" s="500">
        <v>43013539380000</v>
      </c>
      <c r="O627" s="553" t="s">
        <v>1236</v>
      </c>
      <c r="P627" s="650" t="s">
        <v>1237</v>
      </c>
      <c r="Q627" s="564" t="s">
        <v>583</v>
      </c>
      <c r="R627" s="564">
        <v>2</v>
      </c>
    </row>
    <row r="628" spans="1:18" ht="15" customHeight="1" x14ac:dyDescent="0.25">
      <c r="A628" s="553">
        <v>7</v>
      </c>
      <c r="B628" s="553">
        <v>3</v>
      </c>
      <c r="C628" s="553">
        <v>2</v>
      </c>
      <c r="D628" s="553">
        <v>5</v>
      </c>
      <c r="E628" s="553">
        <v>2</v>
      </c>
      <c r="F628" s="553">
        <v>2</v>
      </c>
      <c r="G628" s="502" t="s">
        <v>476</v>
      </c>
      <c r="H628" s="553">
        <v>1315.7049999999999</v>
      </c>
      <c r="I628" s="553">
        <v>0</v>
      </c>
      <c r="J628" s="553">
        <v>15</v>
      </c>
      <c r="K628" s="553">
        <v>31</v>
      </c>
      <c r="L628" s="553">
        <v>3</v>
      </c>
      <c r="M628" s="505" t="s">
        <v>137</v>
      </c>
      <c r="N628" s="500">
        <v>43013539380000</v>
      </c>
      <c r="O628" s="553" t="s">
        <v>1236</v>
      </c>
      <c r="P628" s="650" t="s">
        <v>1238</v>
      </c>
      <c r="Q628" s="564" t="s">
        <v>583</v>
      </c>
      <c r="R628" s="564">
        <v>2</v>
      </c>
    </row>
    <row r="629" spans="1:18" ht="15" customHeight="1" x14ac:dyDescent="0.25">
      <c r="A629" s="553">
        <v>7</v>
      </c>
      <c r="B629" s="553">
        <v>3</v>
      </c>
      <c r="C629" s="553">
        <v>2</v>
      </c>
      <c r="D629" s="553">
        <v>5</v>
      </c>
      <c r="E629" s="553">
        <v>2</v>
      </c>
      <c r="F629" s="553">
        <v>2</v>
      </c>
      <c r="G629" s="553" t="s">
        <v>478</v>
      </c>
      <c r="H629" s="553">
        <v>1318.7</v>
      </c>
      <c r="I629" s="553">
        <v>0</v>
      </c>
      <c r="J629" s="553">
        <v>1</v>
      </c>
      <c r="K629" s="553">
        <v>23</v>
      </c>
      <c r="L629" s="553">
        <v>2</v>
      </c>
      <c r="M629" s="505" t="s">
        <v>137</v>
      </c>
      <c r="N629" s="500">
        <v>43013539380000</v>
      </c>
      <c r="O629" s="553" t="s">
        <v>1236</v>
      </c>
      <c r="P629" s="650" t="s">
        <v>1239</v>
      </c>
      <c r="Q629" s="564" t="s">
        <v>583</v>
      </c>
      <c r="R629" s="564">
        <v>2</v>
      </c>
    </row>
    <row r="630" spans="1:18" ht="15" customHeight="1" x14ac:dyDescent="0.25">
      <c r="A630" s="553">
        <v>7</v>
      </c>
      <c r="B630" s="553">
        <v>3</v>
      </c>
      <c r="C630" s="553">
        <v>2</v>
      </c>
      <c r="D630" s="553">
        <v>5</v>
      </c>
      <c r="E630" s="553">
        <v>2</v>
      </c>
      <c r="F630" s="553">
        <v>2</v>
      </c>
      <c r="G630" s="553" t="s">
        <v>484</v>
      </c>
      <c r="H630" s="553">
        <v>1318.7</v>
      </c>
      <c r="I630" s="553">
        <v>0</v>
      </c>
      <c r="J630" s="553">
        <v>1</v>
      </c>
      <c r="K630" s="553">
        <v>23</v>
      </c>
      <c r="L630" s="553">
        <v>2</v>
      </c>
      <c r="M630" s="505" t="s">
        <v>137</v>
      </c>
      <c r="N630" s="500">
        <v>43013539380000</v>
      </c>
      <c r="O630" s="553" t="s">
        <v>1236</v>
      </c>
      <c r="P630" s="650" t="s">
        <v>1240</v>
      </c>
      <c r="Q630" s="564" t="s">
        <v>583</v>
      </c>
      <c r="R630" s="564">
        <v>2</v>
      </c>
    </row>
    <row r="631" spans="1:18" ht="15" customHeight="1" x14ac:dyDescent="0.25">
      <c r="A631" s="553">
        <v>7</v>
      </c>
      <c r="B631" s="553">
        <v>3</v>
      </c>
      <c r="C631" s="553">
        <v>2</v>
      </c>
      <c r="D631" s="553">
        <v>5</v>
      </c>
      <c r="E631" s="553">
        <v>2</v>
      </c>
      <c r="F631" s="553">
        <v>2</v>
      </c>
      <c r="G631" s="553" t="s">
        <v>486</v>
      </c>
      <c r="H631" s="553">
        <v>1314.55</v>
      </c>
      <c r="I631" s="553">
        <v>0</v>
      </c>
      <c r="J631" s="553">
        <v>5</v>
      </c>
      <c r="K631" s="553">
        <v>45</v>
      </c>
      <c r="L631" s="553">
        <v>4</v>
      </c>
      <c r="M631" s="505" t="s">
        <v>137</v>
      </c>
      <c r="N631" s="500">
        <v>43013539380000</v>
      </c>
      <c r="O631" s="553" t="s">
        <v>1236</v>
      </c>
      <c r="P631" s="650" t="s">
        <v>1241</v>
      </c>
      <c r="Q631" s="564" t="s">
        <v>583</v>
      </c>
      <c r="R631" s="564">
        <v>2</v>
      </c>
    </row>
    <row r="632" spans="1:18" ht="15" customHeight="1" x14ac:dyDescent="0.25">
      <c r="A632" s="553">
        <v>7</v>
      </c>
      <c r="B632" s="553">
        <v>3</v>
      </c>
      <c r="C632" s="553">
        <v>2</v>
      </c>
      <c r="D632" s="553">
        <v>5</v>
      </c>
      <c r="E632" s="553">
        <v>2</v>
      </c>
      <c r="F632" s="553">
        <v>2</v>
      </c>
      <c r="G632" s="502" t="s">
        <v>488</v>
      </c>
      <c r="H632" s="553">
        <v>1314.42</v>
      </c>
      <c r="I632" s="553">
        <v>0</v>
      </c>
      <c r="J632" s="553">
        <v>5</v>
      </c>
      <c r="K632" s="553">
        <v>23</v>
      </c>
      <c r="L632" s="553">
        <v>4</v>
      </c>
      <c r="M632" s="505" t="s">
        <v>137</v>
      </c>
      <c r="N632" s="500">
        <v>43013539380000</v>
      </c>
      <c r="O632" s="553" t="s">
        <v>1236</v>
      </c>
      <c r="P632" s="650" t="s">
        <v>1242</v>
      </c>
      <c r="Q632" s="564" t="s">
        <v>583</v>
      </c>
      <c r="R632" s="564">
        <v>2</v>
      </c>
    </row>
    <row r="633" spans="1:18" ht="15" customHeight="1" x14ac:dyDescent="0.25">
      <c r="A633" s="553">
        <v>7</v>
      </c>
      <c r="B633" s="553">
        <v>3</v>
      </c>
      <c r="C633" s="553">
        <v>2</v>
      </c>
      <c r="D633" s="553">
        <v>5</v>
      </c>
      <c r="E633" s="553">
        <v>2</v>
      </c>
      <c r="F633" s="553">
        <v>2</v>
      </c>
      <c r="G633" s="553" t="s">
        <v>490</v>
      </c>
      <c r="H633" s="553">
        <v>1314.6949999999999</v>
      </c>
      <c r="I633" s="553">
        <v>0</v>
      </c>
      <c r="J633" s="553">
        <v>1</v>
      </c>
      <c r="K633" s="553">
        <v>3</v>
      </c>
      <c r="L633" s="553">
        <v>4</v>
      </c>
      <c r="M633" s="505" t="s">
        <v>137</v>
      </c>
      <c r="N633" s="500">
        <v>43013539380000</v>
      </c>
      <c r="O633" s="553" t="s">
        <v>1236</v>
      </c>
      <c r="P633" s="650" t="s">
        <v>1243</v>
      </c>
      <c r="Q633" s="564" t="s">
        <v>583</v>
      </c>
      <c r="R633" s="564">
        <v>2</v>
      </c>
    </row>
    <row r="634" spans="1:18" ht="15" customHeight="1" x14ac:dyDescent="0.25">
      <c r="A634" s="553">
        <v>7</v>
      </c>
      <c r="B634" s="553">
        <v>3</v>
      </c>
      <c r="C634" s="553">
        <v>2</v>
      </c>
      <c r="D634" s="553">
        <v>5</v>
      </c>
      <c r="E634" s="553">
        <v>2</v>
      </c>
      <c r="F634" s="553">
        <v>2</v>
      </c>
      <c r="G634" s="553" t="s">
        <v>493</v>
      </c>
      <c r="H634" s="553">
        <v>1314.6949999999999</v>
      </c>
      <c r="I634" s="553">
        <v>0</v>
      </c>
      <c r="J634" s="553">
        <v>1</v>
      </c>
      <c r="K634" s="553">
        <v>3</v>
      </c>
      <c r="L634" s="553">
        <v>4</v>
      </c>
      <c r="M634" s="505" t="s">
        <v>137</v>
      </c>
      <c r="N634" s="500">
        <v>43013539380000</v>
      </c>
      <c r="O634" s="553" t="s">
        <v>1236</v>
      </c>
      <c r="P634" s="650" t="s">
        <v>1244</v>
      </c>
      <c r="Q634" s="564" t="s">
        <v>583</v>
      </c>
      <c r="R634" s="564">
        <v>2</v>
      </c>
    </row>
    <row r="635" spans="1:18" ht="15" customHeight="1" x14ac:dyDescent="0.25">
      <c r="A635" s="553">
        <v>7</v>
      </c>
      <c r="B635" s="553">
        <v>3</v>
      </c>
      <c r="C635" s="553">
        <v>2</v>
      </c>
      <c r="D635" s="553">
        <v>5</v>
      </c>
      <c r="E635" s="553">
        <v>2</v>
      </c>
      <c r="F635" s="553">
        <v>2</v>
      </c>
      <c r="G635" s="553" t="s">
        <v>474</v>
      </c>
      <c r="H635" s="553">
        <v>1333.075</v>
      </c>
      <c r="I635" s="553">
        <v>89</v>
      </c>
      <c r="J635" s="553">
        <v>51</v>
      </c>
      <c r="K635" s="553">
        <v>45</v>
      </c>
      <c r="L635" s="553">
        <v>2</v>
      </c>
      <c r="M635" s="505" t="s">
        <v>137</v>
      </c>
      <c r="N635" s="500">
        <v>43013539380000</v>
      </c>
      <c r="O635" s="553" t="s">
        <v>1236</v>
      </c>
      <c r="P635" s="650" t="s">
        <v>1245</v>
      </c>
      <c r="Q635" s="564" t="s">
        <v>583</v>
      </c>
      <c r="R635" s="564">
        <v>2</v>
      </c>
    </row>
    <row r="636" spans="1:18" ht="15" customHeight="1" x14ac:dyDescent="0.25">
      <c r="A636" s="553">
        <v>7</v>
      </c>
      <c r="B636" s="553">
        <v>3</v>
      </c>
      <c r="C636" s="553">
        <v>2</v>
      </c>
      <c r="D636" s="553">
        <v>5</v>
      </c>
      <c r="E636" s="553">
        <v>2</v>
      </c>
      <c r="F636" s="553">
        <v>2</v>
      </c>
      <c r="G636" s="502" t="s">
        <v>477</v>
      </c>
      <c r="H636" s="553">
        <v>1333.075</v>
      </c>
      <c r="I636" s="553">
        <v>89</v>
      </c>
      <c r="J636" s="553">
        <v>51</v>
      </c>
      <c r="K636" s="553">
        <v>45</v>
      </c>
      <c r="L636" s="553">
        <v>2</v>
      </c>
      <c r="M636" s="505" t="s">
        <v>137</v>
      </c>
      <c r="N636" s="500">
        <v>43013539380000</v>
      </c>
      <c r="O636" s="553" t="s">
        <v>1236</v>
      </c>
      <c r="P636" s="650" t="s">
        <v>1246</v>
      </c>
      <c r="Q636" s="564" t="s">
        <v>583</v>
      </c>
      <c r="R636" s="564">
        <v>2</v>
      </c>
    </row>
    <row r="637" spans="1:18" ht="15" customHeight="1" x14ac:dyDescent="0.25">
      <c r="A637" s="553">
        <v>7</v>
      </c>
      <c r="B637" s="553">
        <v>3</v>
      </c>
      <c r="C637" s="553">
        <v>2</v>
      </c>
      <c r="D637" s="553">
        <v>5</v>
      </c>
      <c r="E637" s="553">
        <v>2</v>
      </c>
      <c r="F637" s="553">
        <v>2</v>
      </c>
      <c r="G637" s="553" t="s">
        <v>479</v>
      </c>
      <c r="H637" s="553">
        <v>1331.72</v>
      </c>
      <c r="I637" s="553">
        <v>89</v>
      </c>
      <c r="J637" s="553">
        <v>52</v>
      </c>
      <c r="K637" s="553">
        <v>28</v>
      </c>
      <c r="L637" s="553">
        <v>4</v>
      </c>
      <c r="M637" s="505" t="s">
        <v>137</v>
      </c>
      <c r="N637" s="500">
        <v>43013539380000</v>
      </c>
      <c r="O637" s="553" t="s">
        <v>1236</v>
      </c>
      <c r="P637" s="650" t="s">
        <v>1247</v>
      </c>
      <c r="Q637" s="564" t="s">
        <v>583</v>
      </c>
      <c r="R637" s="564">
        <v>2</v>
      </c>
    </row>
    <row r="638" spans="1:18" ht="15" customHeight="1" x14ac:dyDescent="0.25">
      <c r="A638" s="553">
        <v>7</v>
      </c>
      <c r="B638" s="553">
        <v>3</v>
      </c>
      <c r="C638" s="553">
        <v>2</v>
      </c>
      <c r="D638" s="553">
        <v>5</v>
      </c>
      <c r="E638" s="553">
        <v>2</v>
      </c>
      <c r="F638" s="553">
        <v>2</v>
      </c>
      <c r="G638" s="553" t="s">
        <v>485</v>
      </c>
      <c r="H638" s="553">
        <v>1330.38</v>
      </c>
      <c r="I638" s="553">
        <v>89</v>
      </c>
      <c r="J638" s="553">
        <v>52</v>
      </c>
      <c r="K638" s="553">
        <v>31</v>
      </c>
      <c r="L638" s="553">
        <v>4</v>
      </c>
      <c r="M638" s="505" t="s">
        <v>137</v>
      </c>
      <c r="N638" s="500">
        <v>43013539380000</v>
      </c>
      <c r="O638" s="553" t="s">
        <v>1236</v>
      </c>
      <c r="P638" s="650" t="s">
        <v>1248</v>
      </c>
      <c r="Q638" s="564" t="s">
        <v>583</v>
      </c>
      <c r="R638" s="564">
        <v>2</v>
      </c>
    </row>
    <row r="639" spans="1:18" ht="15" customHeight="1" x14ac:dyDescent="0.25">
      <c r="A639" s="553">
        <v>7</v>
      </c>
      <c r="B639" s="553">
        <v>3</v>
      </c>
      <c r="C639" s="553">
        <v>2</v>
      </c>
      <c r="D639" s="553">
        <v>5</v>
      </c>
      <c r="E639" s="553">
        <v>2</v>
      </c>
      <c r="F639" s="553">
        <v>2</v>
      </c>
      <c r="G639" s="553" t="s">
        <v>487</v>
      </c>
      <c r="H639" s="553">
        <v>1343.2750000000001</v>
      </c>
      <c r="I639" s="553">
        <v>89</v>
      </c>
      <c r="J639" s="553">
        <v>52</v>
      </c>
      <c r="K639" s="553">
        <v>59</v>
      </c>
      <c r="L639" s="553">
        <v>2</v>
      </c>
      <c r="M639" s="505" t="s">
        <v>137</v>
      </c>
      <c r="N639" s="500">
        <v>43013539380000</v>
      </c>
      <c r="O639" s="553" t="s">
        <v>1236</v>
      </c>
      <c r="P639" s="650" t="s">
        <v>1249</v>
      </c>
      <c r="Q639" s="564" t="s">
        <v>583</v>
      </c>
      <c r="R639" s="564">
        <v>2</v>
      </c>
    </row>
    <row r="640" spans="1:18" ht="15" customHeight="1" x14ac:dyDescent="0.25">
      <c r="A640" s="553">
        <v>7</v>
      </c>
      <c r="B640" s="553">
        <v>3</v>
      </c>
      <c r="C640" s="553">
        <v>2</v>
      </c>
      <c r="D640" s="553">
        <v>5</v>
      </c>
      <c r="E640" s="553">
        <v>2</v>
      </c>
      <c r="F640" s="553">
        <v>2</v>
      </c>
      <c r="G640" s="502" t="s">
        <v>489</v>
      </c>
      <c r="H640" s="553">
        <v>1343.2750000000001</v>
      </c>
      <c r="I640" s="553">
        <v>89</v>
      </c>
      <c r="J640" s="553">
        <v>52</v>
      </c>
      <c r="K640" s="553">
        <v>59</v>
      </c>
      <c r="L640" s="553">
        <v>2</v>
      </c>
      <c r="M640" s="505" t="s">
        <v>137</v>
      </c>
      <c r="N640" s="500">
        <v>43013539380000</v>
      </c>
      <c r="O640" s="553" t="s">
        <v>1236</v>
      </c>
      <c r="P640" s="650" t="s">
        <v>1250</v>
      </c>
      <c r="Q640" s="564" t="s">
        <v>583</v>
      </c>
      <c r="R640" s="564">
        <v>2</v>
      </c>
    </row>
    <row r="641" spans="1:18" ht="15" customHeight="1" x14ac:dyDescent="0.25">
      <c r="A641" s="553">
        <v>7</v>
      </c>
      <c r="B641" s="553">
        <v>3</v>
      </c>
      <c r="C641" s="553">
        <v>2</v>
      </c>
      <c r="D641" s="553">
        <v>5</v>
      </c>
      <c r="E641" s="553">
        <v>2</v>
      </c>
      <c r="F641" s="553">
        <v>2</v>
      </c>
      <c r="G641" s="553" t="s">
        <v>491</v>
      </c>
      <c r="H641" s="553">
        <v>1329.855</v>
      </c>
      <c r="I641" s="553">
        <v>89</v>
      </c>
      <c r="J641" s="553">
        <v>52</v>
      </c>
      <c r="K641" s="553">
        <v>52</v>
      </c>
      <c r="L641" s="553">
        <v>2</v>
      </c>
      <c r="M641" s="505" t="s">
        <v>137</v>
      </c>
      <c r="N641" s="500">
        <v>43013539380000</v>
      </c>
      <c r="O641" s="553" t="s">
        <v>1236</v>
      </c>
      <c r="P641" s="650" t="s">
        <v>1251</v>
      </c>
      <c r="Q641" s="564" t="s">
        <v>583</v>
      </c>
      <c r="R641" s="564">
        <v>2</v>
      </c>
    </row>
    <row r="642" spans="1:18" ht="15" customHeight="1" x14ac:dyDescent="0.25">
      <c r="A642" s="553">
        <v>7</v>
      </c>
      <c r="B642" s="553">
        <v>3</v>
      </c>
      <c r="C642" s="553">
        <v>2</v>
      </c>
      <c r="D642" s="553">
        <v>5</v>
      </c>
      <c r="E642" s="553">
        <v>2</v>
      </c>
      <c r="F642" s="553">
        <v>2</v>
      </c>
      <c r="G642" s="553" t="s">
        <v>494</v>
      </c>
      <c r="H642" s="553">
        <v>1329.855</v>
      </c>
      <c r="I642" s="553">
        <v>89</v>
      </c>
      <c r="J642" s="553">
        <v>52</v>
      </c>
      <c r="K642" s="553">
        <v>52</v>
      </c>
      <c r="L642" s="553">
        <v>2</v>
      </c>
      <c r="M642" s="505" t="s">
        <v>137</v>
      </c>
      <c r="N642" s="500">
        <v>43013539380000</v>
      </c>
      <c r="O642" s="553" t="s">
        <v>1236</v>
      </c>
      <c r="P642" s="650" t="s">
        <v>1252</v>
      </c>
      <c r="Q642" s="564" t="s">
        <v>583</v>
      </c>
      <c r="R642" s="564">
        <v>2</v>
      </c>
    </row>
    <row r="643" spans="1:18" ht="15" customHeight="1" x14ac:dyDescent="0.25">
      <c r="A643" s="564">
        <v>7</v>
      </c>
      <c r="B643" s="564">
        <v>3</v>
      </c>
      <c r="C643" s="564">
        <v>2</v>
      </c>
      <c r="D643" s="564">
        <v>1</v>
      </c>
      <c r="E643" s="564">
        <v>2</v>
      </c>
      <c r="F643" s="564">
        <v>2</v>
      </c>
      <c r="G643" s="553" t="s">
        <v>473</v>
      </c>
      <c r="H643" s="564">
        <v>1321.1849999999999</v>
      </c>
      <c r="I643" s="564">
        <v>0</v>
      </c>
      <c r="J643" s="564">
        <v>56</v>
      </c>
      <c r="K643" s="564">
        <v>28</v>
      </c>
      <c r="L643" s="564">
        <v>4</v>
      </c>
      <c r="M643" s="561" t="s">
        <v>137</v>
      </c>
      <c r="N643" s="520">
        <v>4301351400</v>
      </c>
      <c r="O643" s="564" t="s">
        <v>1253</v>
      </c>
      <c r="P643" s="522" t="s">
        <v>1254</v>
      </c>
      <c r="Q643" s="564"/>
      <c r="R643" s="564">
        <v>1</v>
      </c>
    </row>
    <row r="644" spans="1:18" ht="15" customHeight="1" x14ac:dyDescent="0.25">
      <c r="A644" s="564">
        <v>7</v>
      </c>
      <c r="B644" s="564">
        <v>3</v>
      </c>
      <c r="C644" s="564">
        <v>2</v>
      </c>
      <c r="D644" s="564">
        <v>1</v>
      </c>
      <c r="E644" s="564">
        <v>2</v>
      </c>
      <c r="F644" s="564">
        <v>2</v>
      </c>
      <c r="G644" s="502" t="s">
        <v>476</v>
      </c>
      <c r="H644" s="564">
        <v>1321.1849999999999</v>
      </c>
      <c r="I644" s="564">
        <v>0</v>
      </c>
      <c r="J644" s="564">
        <v>56</v>
      </c>
      <c r="K644" s="564">
        <v>28</v>
      </c>
      <c r="L644" s="564">
        <v>4</v>
      </c>
      <c r="M644" s="561" t="s">
        <v>137</v>
      </c>
      <c r="N644" s="520">
        <v>4301351400</v>
      </c>
      <c r="O644" s="564" t="s">
        <v>1253</v>
      </c>
      <c r="P644" s="522" t="s">
        <v>1255</v>
      </c>
      <c r="Q644" s="564"/>
      <c r="R644" s="564">
        <v>1</v>
      </c>
    </row>
    <row r="645" spans="1:18" ht="15" customHeight="1" x14ac:dyDescent="0.25">
      <c r="A645" s="564">
        <v>7</v>
      </c>
      <c r="B645" s="564">
        <v>3</v>
      </c>
      <c r="C645" s="564">
        <v>2</v>
      </c>
      <c r="D645" s="564">
        <v>1</v>
      </c>
      <c r="E645" s="564">
        <v>2</v>
      </c>
      <c r="F645" s="564">
        <v>2</v>
      </c>
      <c r="G645" s="553" t="s">
        <v>478</v>
      </c>
      <c r="H645" s="564">
        <v>1321.1849999999999</v>
      </c>
      <c r="I645" s="564">
        <v>0</v>
      </c>
      <c r="J645" s="564">
        <v>56</v>
      </c>
      <c r="K645" s="564">
        <v>28</v>
      </c>
      <c r="L645" s="564">
        <v>4</v>
      </c>
      <c r="M645" s="561" t="s">
        <v>137</v>
      </c>
      <c r="N645" s="520">
        <v>4301351400</v>
      </c>
      <c r="O645" s="564" t="s">
        <v>1253</v>
      </c>
      <c r="P645" s="522" t="s">
        <v>1256</v>
      </c>
      <c r="Q645" s="564"/>
      <c r="R645" s="564">
        <v>1</v>
      </c>
    </row>
    <row r="646" spans="1:18" ht="15" customHeight="1" x14ac:dyDescent="0.25">
      <c r="A646" s="564">
        <v>7</v>
      </c>
      <c r="B646" s="564">
        <v>3</v>
      </c>
      <c r="C646" s="564">
        <v>2</v>
      </c>
      <c r="D646" s="564">
        <v>1</v>
      </c>
      <c r="E646" s="564">
        <v>2</v>
      </c>
      <c r="F646" s="564">
        <v>2</v>
      </c>
      <c r="G646" s="553" t="s">
        <v>484</v>
      </c>
      <c r="H646" s="564">
        <v>1321.1849999999999</v>
      </c>
      <c r="I646" s="564">
        <v>0</v>
      </c>
      <c r="J646" s="564">
        <v>56</v>
      </c>
      <c r="K646" s="564">
        <v>28</v>
      </c>
      <c r="L646" s="564">
        <v>4</v>
      </c>
      <c r="M646" s="561" t="s">
        <v>137</v>
      </c>
      <c r="N646" s="520">
        <v>4301351400</v>
      </c>
      <c r="O646" s="564" t="s">
        <v>1253</v>
      </c>
      <c r="P646" s="522" t="s">
        <v>1257</v>
      </c>
      <c r="Q646" s="564"/>
      <c r="R646" s="564">
        <v>1</v>
      </c>
    </row>
    <row r="647" spans="1:18" ht="15" customHeight="1" x14ac:dyDescent="0.25">
      <c r="A647" s="564">
        <v>7</v>
      </c>
      <c r="B647" s="564">
        <v>3</v>
      </c>
      <c r="C647" s="564">
        <v>2</v>
      </c>
      <c r="D647" s="564">
        <v>1</v>
      </c>
      <c r="E647" s="564">
        <v>2</v>
      </c>
      <c r="F647" s="564">
        <v>2</v>
      </c>
      <c r="G647" s="553" t="s">
        <v>486</v>
      </c>
      <c r="H647" s="564">
        <v>1320.4475</v>
      </c>
      <c r="I647" s="564">
        <v>1</v>
      </c>
      <c r="J647" s="564">
        <v>5</v>
      </c>
      <c r="K647" s="564">
        <v>42</v>
      </c>
      <c r="L647" s="564">
        <v>4</v>
      </c>
      <c r="M647" s="561" t="s">
        <v>137</v>
      </c>
      <c r="N647" s="520">
        <v>4301351400</v>
      </c>
      <c r="O647" s="564" t="s">
        <v>1253</v>
      </c>
      <c r="P647" s="522" t="s">
        <v>1258</v>
      </c>
      <c r="Q647" s="564"/>
      <c r="R647" s="564">
        <v>1</v>
      </c>
    </row>
    <row r="648" spans="1:18" ht="15" customHeight="1" x14ac:dyDescent="0.25">
      <c r="A648" s="564">
        <v>7</v>
      </c>
      <c r="B648" s="564">
        <v>3</v>
      </c>
      <c r="C648" s="564">
        <v>2</v>
      </c>
      <c r="D648" s="564">
        <v>1</v>
      </c>
      <c r="E648" s="564">
        <v>2</v>
      </c>
      <c r="F648" s="564">
        <v>2</v>
      </c>
      <c r="G648" s="502" t="s">
        <v>488</v>
      </c>
      <c r="H648" s="564">
        <v>1320.4475</v>
      </c>
      <c r="I648" s="564">
        <v>1</v>
      </c>
      <c r="J648" s="564">
        <v>5</v>
      </c>
      <c r="K648" s="564">
        <v>42</v>
      </c>
      <c r="L648" s="564">
        <v>4</v>
      </c>
      <c r="M648" s="561" t="s">
        <v>137</v>
      </c>
      <c r="N648" s="520">
        <v>4301351400</v>
      </c>
      <c r="O648" s="564" t="s">
        <v>1253</v>
      </c>
      <c r="P648" s="522" t="s">
        <v>1259</v>
      </c>
      <c r="Q648" s="564"/>
      <c r="R648" s="564">
        <v>1</v>
      </c>
    </row>
    <row r="649" spans="1:18" ht="15" customHeight="1" x14ac:dyDescent="0.25">
      <c r="A649" s="564">
        <v>7</v>
      </c>
      <c r="B649" s="564">
        <v>3</v>
      </c>
      <c r="C649" s="564">
        <v>2</v>
      </c>
      <c r="D649" s="564">
        <v>1</v>
      </c>
      <c r="E649" s="564">
        <v>2</v>
      </c>
      <c r="F649" s="564">
        <v>2</v>
      </c>
      <c r="G649" s="553" t="s">
        <v>490</v>
      </c>
      <c r="H649" s="564">
        <v>1320.4475</v>
      </c>
      <c r="I649" s="564">
        <v>1</v>
      </c>
      <c r="J649" s="564">
        <v>5</v>
      </c>
      <c r="K649" s="564">
        <v>42</v>
      </c>
      <c r="L649" s="564">
        <v>4</v>
      </c>
      <c r="M649" s="561" t="s">
        <v>137</v>
      </c>
      <c r="N649" s="520">
        <v>4301351400</v>
      </c>
      <c r="O649" s="564" t="s">
        <v>1253</v>
      </c>
      <c r="P649" s="522" t="s">
        <v>1260</v>
      </c>
      <c r="Q649" s="564"/>
      <c r="R649" s="564">
        <v>1</v>
      </c>
    </row>
    <row r="650" spans="1:18" ht="15" customHeight="1" x14ac:dyDescent="0.25">
      <c r="A650" s="564">
        <v>7</v>
      </c>
      <c r="B650" s="564">
        <v>3</v>
      </c>
      <c r="C650" s="564">
        <v>2</v>
      </c>
      <c r="D650" s="564">
        <v>1</v>
      </c>
      <c r="E650" s="564">
        <v>2</v>
      </c>
      <c r="F650" s="564">
        <v>2</v>
      </c>
      <c r="G650" s="553" t="s">
        <v>493</v>
      </c>
      <c r="H650" s="564">
        <v>1320.4475</v>
      </c>
      <c r="I650" s="564">
        <v>1</v>
      </c>
      <c r="J650" s="564">
        <v>5</v>
      </c>
      <c r="K650" s="564">
        <v>42</v>
      </c>
      <c r="L650" s="564">
        <v>4</v>
      </c>
      <c r="M650" s="561" t="s">
        <v>137</v>
      </c>
      <c r="N650" s="520">
        <v>4301351400</v>
      </c>
      <c r="O650" s="564" t="s">
        <v>1253</v>
      </c>
      <c r="P650" s="522" t="s">
        <v>1261</v>
      </c>
      <c r="Q650" s="564"/>
      <c r="R650" s="564">
        <v>1</v>
      </c>
    </row>
    <row r="651" spans="1:18" ht="15" customHeight="1" x14ac:dyDescent="0.25">
      <c r="A651" s="564">
        <v>7</v>
      </c>
      <c r="B651" s="564">
        <v>3</v>
      </c>
      <c r="C651" s="564">
        <v>2</v>
      </c>
      <c r="D651" s="564">
        <v>1</v>
      </c>
      <c r="E651" s="564">
        <v>2</v>
      </c>
      <c r="F651" s="564">
        <v>2</v>
      </c>
      <c r="G651" s="553" t="s">
        <v>474</v>
      </c>
      <c r="H651" s="564">
        <v>1315.6025</v>
      </c>
      <c r="I651" s="564">
        <v>88</v>
      </c>
      <c r="J651" s="564">
        <v>16</v>
      </c>
      <c r="K651" s="564">
        <v>51</v>
      </c>
      <c r="L651" s="564">
        <v>2</v>
      </c>
      <c r="M651" s="561" t="s">
        <v>137</v>
      </c>
      <c r="N651" s="520">
        <v>4301351400</v>
      </c>
      <c r="O651" s="564" t="s">
        <v>1253</v>
      </c>
      <c r="P651" s="522" t="s">
        <v>1262</v>
      </c>
      <c r="Q651" s="564"/>
      <c r="R651" s="564">
        <v>1</v>
      </c>
    </row>
    <row r="652" spans="1:18" ht="15" customHeight="1" x14ac:dyDescent="0.25">
      <c r="A652" s="564">
        <v>7</v>
      </c>
      <c r="B652" s="564">
        <v>3</v>
      </c>
      <c r="C652" s="564">
        <v>2</v>
      </c>
      <c r="D652" s="564">
        <v>1</v>
      </c>
      <c r="E652" s="564">
        <v>2</v>
      </c>
      <c r="F652" s="564">
        <v>2</v>
      </c>
      <c r="G652" s="502" t="s">
        <v>477</v>
      </c>
      <c r="H652" s="564">
        <v>1315.6025</v>
      </c>
      <c r="I652" s="564">
        <v>88</v>
      </c>
      <c r="J652" s="564">
        <v>16</v>
      </c>
      <c r="K652" s="564">
        <v>51</v>
      </c>
      <c r="L652" s="564">
        <v>2</v>
      </c>
      <c r="M652" s="561" t="s">
        <v>137</v>
      </c>
      <c r="N652" s="520">
        <v>4301351400</v>
      </c>
      <c r="O652" s="564" t="s">
        <v>1253</v>
      </c>
      <c r="P652" s="522" t="s">
        <v>1263</v>
      </c>
      <c r="Q652" s="564"/>
      <c r="R652" s="564">
        <v>1</v>
      </c>
    </row>
    <row r="653" spans="1:18" ht="15" customHeight="1" x14ac:dyDescent="0.25">
      <c r="A653" s="564">
        <v>7</v>
      </c>
      <c r="B653" s="564">
        <v>3</v>
      </c>
      <c r="C653" s="564">
        <v>2</v>
      </c>
      <c r="D653" s="564">
        <v>1</v>
      </c>
      <c r="E653" s="564">
        <v>2</v>
      </c>
      <c r="F653" s="564">
        <v>2</v>
      </c>
      <c r="G653" s="553" t="s">
        <v>479</v>
      </c>
      <c r="H653" s="564">
        <v>1315.6025</v>
      </c>
      <c r="I653" s="564">
        <v>88</v>
      </c>
      <c r="J653" s="564">
        <v>16</v>
      </c>
      <c r="K653" s="564">
        <v>51</v>
      </c>
      <c r="L653" s="564">
        <v>2</v>
      </c>
      <c r="M653" s="561" t="s">
        <v>137</v>
      </c>
      <c r="N653" s="520">
        <v>4301351400</v>
      </c>
      <c r="O653" s="564" t="s">
        <v>1253</v>
      </c>
      <c r="P653" s="522" t="s">
        <v>1264</v>
      </c>
      <c r="Q653" s="564"/>
      <c r="R653" s="564">
        <v>1</v>
      </c>
    </row>
    <row r="654" spans="1:18" ht="15" customHeight="1" x14ac:dyDescent="0.25">
      <c r="A654" s="564">
        <v>7</v>
      </c>
      <c r="B654" s="564">
        <v>3</v>
      </c>
      <c r="C654" s="564">
        <v>2</v>
      </c>
      <c r="D654" s="564">
        <v>1</v>
      </c>
      <c r="E654" s="564">
        <v>2</v>
      </c>
      <c r="F654" s="564">
        <v>2</v>
      </c>
      <c r="G654" s="553" t="s">
        <v>485</v>
      </c>
      <c r="H654" s="564">
        <v>1315.6025</v>
      </c>
      <c r="I654" s="564">
        <v>88</v>
      </c>
      <c r="J654" s="564">
        <v>16</v>
      </c>
      <c r="K654" s="564">
        <v>51</v>
      </c>
      <c r="L654" s="564">
        <v>2</v>
      </c>
      <c r="M654" s="561" t="s">
        <v>137</v>
      </c>
      <c r="N654" s="520">
        <v>4301351400</v>
      </c>
      <c r="O654" s="564" t="s">
        <v>1253</v>
      </c>
      <c r="P654" s="522" t="s">
        <v>1265</v>
      </c>
      <c r="Q654" s="564"/>
      <c r="R654" s="564">
        <v>1</v>
      </c>
    </row>
    <row r="655" spans="1:18" ht="15" customHeight="1" x14ac:dyDescent="0.25">
      <c r="A655" s="564">
        <v>7</v>
      </c>
      <c r="B655" s="564">
        <v>3</v>
      </c>
      <c r="C655" s="564">
        <v>2</v>
      </c>
      <c r="D655" s="564">
        <v>1</v>
      </c>
      <c r="E655" s="564">
        <v>2</v>
      </c>
      <c r="F655" s="564">
        <v>2</v>
      </c>
      <c r="G655" s="553" t="s">
        <v>487</v>
      </c>
      <c r="H655" s="564">
        <v>1308.3499999999999</v>
      </c>
      <c r="I655" s="564">
        <v>87</v>
      </c>
      <c r="J655" s="564">
        <v>36</v>
      </c>
      <c r="K655" s="564">
        <v>56</v>
      </c>
      <c r="L655" s="564">
        <v>2</v>
      </c>
      <c r="M655" s="561" t="s">
        <v>137</v>
      </c>
      <c r="N655" s="520">
        <v>4301351400</v>
      </c>
      <c r="O655" s="564" t="s">
        <v>1253</v>
      </c>
      <c r="P655" s="522" t="s">
        <v>1266</v>
      </c>
      <c r="Q655" s="564"/>
      <c r="R655" s="564">
        <v>1</v>
      </c>
    </row>
    <row r="656" spans="1:18" ht="15" customHeight="1" x14ac:dyDescent="0.25">
      <c r="A656" s="564">
        <v>7</v>
      </c>
      <c r="B656" s="564">
        <v>3</v>
      </c>
      <c r="C656" s="564">
        <v>2</v>
      </c>
      <c r="D656" s="564">
        <v>1</v>
      </c>
      <c r="E656" s="564">
        <v>2</v>
      </c>
      <c r="F656" s="564">
        <v>2</v>
      </c>
      <c r="G656" s="502" t="s">
        <v>489</v>
      </c>
      <c r="H656" s="564">
        <v>1308.3499999999999</v>
      </c>
      <c r="I656" s="564">
        <v>87</v>
      </c>
      <c r="J656" s="564">
        <v>36</v>
      </c>
      <c r="K656" s="564">
        <v>56</v>
      </c>
      <c r="L656" s="564">
        <v>2</v>
      </c>
      <c r="M656" s="561" t="s">
        <v>137</v>
      </c>
      <c r="N656" s="520">
        <v>4301351400</v>
      </c>
      <c r="O656" s="564" t="s">
        <v>1253</v>
      </c>
      <c r="P656" s="522" t="s">
        <v>1267</v>
      </c>
      <c r="Q656" s="564"/>
      <c r="R656" s="564">
        <v>1</v>
      </c>
    </row>
    <row r="657" spans="1:18" ht="15" customHeight="1" x14ac:dyDescent="0.25">
      <c r="A657" s="564">
        <v>7</v>
      </c>
      <c r="B657" s="564">
        <v>3</v>
      </c>
      <c r="C657" s="564">
        <v>2</v>
      </c>
      <c r="D657" s="564">
        <v>1</v>
      </c>
      <c r="E657" s="564">
        <v>2</v>
      </c>
      <c r="F657" s="564">
        <v>2</v>
      </c>
      <c r="G657" s="553" t="s">
        <v>491</v>
      </c>
      <c r="H657" s="564">
        <v>1330.13</v>
      </c>
      <c r="I657" s="564">
        <v>88</v>
      </c>
      <c r="J657" s="564">
        <v>52</v>
      </c>
      <c r="K657" s="564">
        <v>31</v>
      </c>
      <c r="L657" s="564">
        <v>2</v>
      </c>
      <c r="M657" s="561" t="s">
        <v>137</v>
      </c>
      <c r="N657" s="520">
        <v>4301351400</v>
      </c>
      <c r="O657" s="564" t="s">
        <v>1253</v>
      </c>
      <c r="P657" s="522" t="s">
        <v>1268</v>
      </c>
      <c r="Q657" s="564"/>
      <c r="R657" s="564">
        <v>1</v>
      </c>
    </row>
    <row r="658" spans="1:18" ht="15" customHeight="1" x14ac:dyDescent="0.25">
      <c r="A658" s="564">
        <v>7</v>
      </c>
      <c r="B658" s="564">
        <v>3</v>
      </c>
      <c r="C658" s="564">
        <v>2</v>
      </c>
      <c r="D658" s="564">
        <v>1</v>
      </c>
      <c r="E658" s="564">
        <v>2</v>
      </c>
      <c r="F658" s="564">
        <v>2</v>
      </c>
      <c r="G658" s="553" t="s">
        <v>494</v>
      </c>
      <c r="H658" s="564">
        <v>1330.13</v>
      </c>
      <c r="I658" s="564">
        <v>88</v>
      </c>
      <c r="J658" s="564">
        <v>52</v>
      </c>
      <c r="K658" s="564">
        <v>31</v>
      </c>
      <c r="L658" s="564">
        <v>2</v>
      </c>
      <c r="M658" s="561" t="s">
        <v>137</v>
      </c>
      <c r="N658" s="520">
        <v>4301351400</v>
      </c>
      <c r="O658" s="564" t="s">
        <v>1253</v>
      </c>
      <c r="P658" s="522" t="s">
        <v>1269</v>
      </c>
      <c r="Q658" s="564"/>
      <c r="R658" s="564">
        <v>1</v>
      </c>
    </row>
    <row r="659" spans="1:18" ht="15" customHeight="1" x14ac:dyDescent="0.25">
      <c r="A659" s="553">
        <v>8</v>
      </c>
      <c r="B659" s="553">
        <v>15</v>
      </c>
      <c r="C659" s="553">
        <v>2</v>
      </c>
      <c r="D659" s="553">
        <v>23</v>
      </c>
      <c r="E659" s="553">
        <v>1</v>
      </c>
      <c r="F659" s="553">
        <v>2</v>
      </c>
      <c r="G659" s="553" t="s">
        <v>473</v>
      </c>
      <c r="H659" s="553">
        <v>1322.88</v>
      </c>
      <c r="I659" s="553">
        <v>0</v>
      </c>
      <c r="J659" s="553">
        <v>1</v>
      </c>
      <c r="K659" s="553">
        <v>20</v>
      </c>
      <c r="L659" s="553">
        <v>1</v>
      </c>
      <c r="M659" s="505" t="s">
        <v>137</v>
      </c>
      <c r="N659" s="500">
        <v>43047394280000</v>
      </c>
      <c r="O659" s="553" t="s">
        <v>1270</v>
      </c>
      <c r="P659" s="650" t="s">
        <v>1271</v>
      </c>
      <c r="Q659" s="564" t="s">
        <v>583</v>
      </c>
      <c r="R659" s="564">
        <v>2</v>
      </c>
    </row>
    <row r="660" spans="1:18" ht="15" customHeight="1" x14ac:dyDescent="0.25">
      <c r="A660" s="553">
        <v>8</v>
      </c>
      <c r="B660" s="553">
        <v>15</v>
      </c>
      <c r="C660" s="553">
        <v>2</v>
      </c>
      <c r="D660" s="553">
        <v>23</v>
      </c>
      <c r="E660" s="553">
        <v>1</v>
      </c>
      <c r="F660" s="553">
        <v>2</v>
      </c>
      <c r="G660" s="502" t="s">
        <v>476</v>
      </c>
      <c r="H660" s="553">
        <v>1322.88</v>
      </c>
      <c r="I660" s="553">
        <v>0</v>
      </c>
      <c r="J660" s="553">
        <v>1</v>
      </c>
      <c r="K660" s="553">
        <v>20</v>
      </c>
      <c r="L660" s="553">
        <v>1</v>
      </c>
      <c r="M660" s="505" t="s">
        <v>137</v>
      </c>
      <c r="N660" s="500">
        <v>43047394280000</v>
      </c>
      <c r="O660" s="553" t="s">
        <v>1270</v>
      </c>
      <c r="P660" s="650" t="s">
        <v>1272</v>
      </c>
      <c r="Q660" s="564" t="s">
        <v>583</v>
      </c>
      <c r="R660" s="564">
        <v>2</v>
      </c>
    </row>
    <row r="661" spans="1:18" ht="15" customHeight="1" x14ac:dyDescent="0.25">
      <c r="A661" s="553">
        <v>8</v>
      </c>
      <c r="B661" s="553">
        <v>15</v>
      </c>
      <c r="C661" s="553">
        <v>2</v>
      </c>
      <c r="D661" s="553">
        <v>23</v>
      </c>
      <c r="E661" s="553">
        <v>1</v>
      </c>
      <c r="F661" s="553">
        <v>2</v>
      </c>
      <c r="G661" s="553" t="s">
        <v>478</v>
      </c>
      <c r="H661" s="553">
        <v>1315.625</v>
      </c>
      <c r="I661" s="553">
        <v>1</v>
      </c>
      <c r="J661" s="553">
        <v>22</v>
      </c>
      <c r="K661" s="553">
        <v>53</v>
      </c>
      <c r="L661" s="553">
        <v>4</v>
      </c>
      <c r="M661" s="505" t="s">
        <v>137</v>
      </c>
      <c r="N661" s="500">
        <v>43047394280000</v>
      </c>
      <c r="O661" s="553" t="s">
        <v>1270</v>
      </c>
      <c r="P661" s="650" t="s">
        <v>1273</v>
      </c>
      <c r="Q661" s="564" t="s">
        <v>583</v>
      </c>
      <c r="R661" s="564">
        <v>2</v>
      </c>
    </row>
    <row r="662" spans="1:18" ht="15" customHeight="1" x14ac:dyDescent="0.25">
      <c r="A662" s="553">
        <v>8</v>
      </c>
      <c r="B662" s="553">
        <v>15</v>
      </c>
      <c r="C662" s="553">
        <v>2</v>
      </c>
      <c r="D662" s="553">
        <v>23</v>
      </c>
      <c r="E662" s="553">
        <v>1</v>
      </c>
      <c r="F662" s="553">
        <v>2</v>
      </c>
      <c r="G662" s="553" t="s">
        <v>484</v>
      </c>
      <c r="H662" s="553">
        <v>1315.625</v>
      </c>
      <c r="I662" s="553">
        <v>1</v>
      </c>
      <c r="J662" s="553">
        <v>22</v>
      </c>
      <c r="K662" s="553">
        <v>53</v>
      </c>
      <c r="L662" s="553">
        <v>4</v>
      </c>
      <c r="M662" s="505" t="s">
        <v>137</v>
      </c>
      <c r="N662" s="500">
        <v>43047394280000</v>
      </c>
      <c r="O662" s="553" t="s">
        <v>1270</v>
      </c>
      <c r="P662" s="650" t="s">
        <v>1274</v>
      </c>
      <c r="Q662" s="564" t="s">
        <v>583</v>
      </c>
      <c r="R662" s="564">
        <v>2</v>
      </c>
    </row>
    <row r="663" spans="1:18" ht="15" customHeight="1" x14ac:dyDescent="0.25">
      <c r="A663" s="553">
        <v>8</v>
      </c>
      <c r="B663" s="553">
        <v>15</v>
      </c>
      <c r="C663" s="553">
        <v>2</v>
      </c>
      <c r="D663" s="553">
        <v>23</v>
      </c>
      <c r="E663" s="553">
        <v>1</v>
      </c>
      <c r="F663" s="553">
        <v>2</v>
      </c>
      <c r="G663" s="553" t="s">
        <v>486</v>
      </c>
      <c r="H663" s="553">
        <v>1319.42</v>
      </c>
      <c r="I663" s="553">
        <v>1</v>
      </c>
      <c r="J663" s="553">
        <v>15</v>
      </c>
      <c r="K663" s="553">
        <v>4</v>
      </c>
      <c r="L663" s="553">
        <v>3</v>
      </c>
      <c r="M663" s="505" t="s">
        <v>137</v>
      </c>
      <c r="N663" s="500">
        <v>43047394280000</v>
      </c>
      <c r="O663" s="553" t="s">
        <v>1270</v>
      </c>
      <c r="P663" s="650" t="s">
        <v>1275</v>
      </c>
      <c r="Q663" s="564" t="s">
        <v>583</v>
      </c>
      <c r="R663" s="564">
        <v>2</v>
      </c>
    </row>
    <row r="664" spans="1:18" ht="15" customHeight="1" x14ac:dyDescent="0.25">
      <c r="A664" s="553">
        <v>8</v>
      </c>
      <c r="B664" s="553">
        <v>15</v>
      </c>
      <c r="C664" s="553">
        <v>2</v>
      </c>
      <c r="D664" s="553">
        <v>23</v>
      </c>
      <c r="E664" s="553">
        <v>1</v>
      </c>
      <c r="F664" s="553">
        <v>2</v>
      </c>
      <c r="G664" s="502" t="s">
        <v>488</v>
      </c>
      <c r="H664" s="553">
        <v>1319.42</v>
      </c>
      <c r="I664" s="553">
        <v>1</v>
      </c>
      <c r="J664" s="553">
        <v>15</v>
      </c>
      <c r="K664" s="553">
        <v>4</v>
      </c>
      <c r="L664" s="553">
        <v>3</v>
      </c>
      <c r="M664" s="505" t="s">
        <v>137</v>
      </c>
      <c r="N664" s="500">
        <v>43047394280000</v>
      </c>
      <c r="O664" s="553" t="s">
        <v>1270</v>
      </c>
      <c r="P664" s="650" t="s">
        <v>1276</v>
      </c>
      <c r="Q664" s="564" t="s">
        <v>583</v>
      </c>
      <c r="R664" s="564">
        <v>2</v>
      </c>
    </row>
    <row r="665" spans="1:18" ht="15" customHeight="1" x14ac:dyDescent="0.25">
      <c r="A665" s="553">
        <v>8</v>
      </c>
      <c r="B665" s="553">
        <v>15</v>
      </c>
      <c r="C665" s="553">
        <v>2</v>
      </c>
      <c r="D665" s="553">
        <v>23</v>
      </c>
      <c r="E665" s="553">
        <v>1</v>
      </c>
      <c r="F665" s="553">
        <v>2</v>
      </c>
      <c r="G665" s="553" t="s">
        <v>490</v>
      </c>
      <c r="H665" s="553">
        <v>1319.42</v>
      </c>
      <c r="I665" s="553">
        <v>1</v>
      </c>
      <c r="J665" s="553">
        <v>15</v>
      </c>
      <c r="K665" s="553">
        <v>4</v>
      </c>
      <c r="L665" s="553">
        <v>3</v>
      </c>
      <c r="M665" s="505" t="s">
        <v>137</v>
      </c>
      <c r="N665" s="500">
        <v>43047394280000</v>
      </c>
      <c r="O665" s="553" t="s">
        <v>1270</v>
      </c>
      <c r="P665" s="650" t="s">
        <v>1277</v>
      </c>
      <c r="Q665" s="564" t="s">
        <v>583</v>
      </c>
      <c r="R665" s="564">
        <v>2</v>
      </c>
    </row>
    <row r="666" spans="1:18" ht="15" customHeight="1" x14ac:dyDescent="0.25">
      <c r="A666" s="553">
        <v>8</v>
      </c>
      <c r="B666" s="553">
        <v>15</v>
      </c>
      <c r="C666" s="553">
        <v>2</v>
      </c>
      <c r="D666" s="553">
        <v>23</v>
      </c>
      <c r="E666" s="553">
        <v>1</v>
      </c>
      <c r="F666" s="553">
        <v>2</v>
      </c>
      <c r="G666" s="553" t="s">
        <v>493</v>
      </c>
      <c r="H666" s="553">
        <v>1319.42</v>
      </c>
      <c r="I666" s="553">
        <v>1</v>
      </c>
      <c r="J666" s="553">
        <v>15</v>
      </c>
      <c r="K666" s="553">
        <v>4</v>
      </c>
      <c r="L666" s="553">
        <v>3</v>
      </c>
      <c r="M666" s="505" t="s">
        <v>137</v>
      </c>
      <c r="N666" s="500">
        <v>43047394280000</v>
      </c>
      <c r="O666" s="553" t="s">
        <v>1270</v>
      </c>
      <c r="P666" s="650" t="s">
        <v>1278</v>
      </c>
      <c r="Q666" s="564" t="s">
        <v>583</v>
      </c>
      <c r="R666" s="564">
        <v>2</v>
      </c>
    </row>
    <row r="667" spans="1:18" ht="15" customHeight="1" x14ac:dyDescent="0.25">
      <c r="A667" s="553">
        <v>8</v>
      </c>
      <c r="B667" s="553">
        <v>15</v>
      </c>
      <c r="C667" s="553">
        <v>2</v>
      </c>
      <c r="D667" s="553">
        <v>23</v>
      </c>
      <c r="E667" s="553">
        <v>1</v>
      </c>
      <c r="F667" s="553">
        <v>2</v>
      </c>
      <c r="G667" s="553" t="s">
        <v>474</v>
      </c>
      <c r="H667" s="553">
        <v>1317.96</v>
      </c>
      <c r="I667" s="553">
        <v>89</v>
      </c>
      <c r="J667" s="553">
        <v>56</v>
      </c>
      <c r="K667" s="553">
        <v>21</v>
      </c>
      <c r="L667" s="553">
        <v>3</v>
      </c>
      <c r="M667" s="505" t="s">
        <v>137</v>
      </c>
      <c r="N667" s="500">
        <v>43047394280000</v>
      </c>
      <c r="O667" s="553" t="s">
        <v>1270</v>
      </c>
      <c r="P667" s="650" t="s">
        <v>1279</v>
      </c>
      <c r="Q667" s="564" t="s">
        <v>583</v>
      </c>
      <c r="R667" s="564">
        <v>2</v>
      </c>
    </row>
    <row r="668" spans="1:18" ht="15" customHeight="1" x14ac:dyDescent="0.25">
      <c r="A668" s="553">
        <v>8</v>
      </c>
      <c r="B668" s="553">
        <v>15</v>
      </c>
      <c r="C668" s="553">
        <v>2</v>
      </c>
      <c r="D668" s="553">
        <v>23</v>
      </c>
      <c r="E668" s="553">
        <v>1</v>
      </c>
      <c r="F668" s="553">
        <v>2</v>
      </c>
      <c r="G668" s="502" t="s">
        <v>477</v>
      </c>
      <c r="H668" s="553">
        <v>1317.96</v>
      </c>
      <c r="I668" s="553">
        <v>89</v>
      </c>
      <c r="J668" s="553">
        <v>56</v>
      </c>
      <c r="K668" s="553">
        <v>21</v>
      </c>
      <c r="L668" s="553">
        <v>3</v>
      </c>
      <c r="M668" s="505" t="s">
        <v>137</v>
      </c>
      <c r="N668" s="500">
        <v>43047394280000</v>
      </c>
      <c r="O668" s="553" t="s">
        <v>1270</v>
      </c>
      <c r="P668" s="650" t="s">
        <v>1280</v>
      </c>
      <c r="Q668" s="564" t="s">
        <v>583</v>
      </c>
      <c r="R668" s="564">
        <v>2</v>
      </c>
    </row>
    <row r="669" spans="1:18" ht="15" customHeight="1" x14ac:dyDescent="0.25">
      <c r="A669" s="553">
        <v>8</v>
      </c>
      <c r="B669" s="553">
        <v>15</v>
      </c>
      <c r="C669" s="553">
        <v>2</v>
      </c>
      <c r="D669" s="553">
        <v>23</v>
      </c>
      <c r="E669" s="553">
        <v>1</v>
      </c>
      <c r="F669" s="553">
        <v>2</v>
      </c>
      <c r="G669" s="553" t="s">
        <v>479</v>
      </c>
      <c r="H669" s="553">
        <v>1318.385</v>
      </c>
      <c r="I669" s="553">
        <v>89</v>
      </c>
      <c r="J669" s="553">
        <v>54</v>
      </c>
      <c r="K669" s="553">
        <v>19</v>
      </c>
      <c r="L669" s="553">
        <v>3</v>
      </c>
      <c r="M669" s="505" t="s">
        <v>137</v>
      </c>
      <c r="N669" s="500">
        <v>43047394280000</v>
      </c>
      <c r="O669" s="553" t="s">
        <v>1270</v>
      </c>
      <c r="P669" s="650" t="s">
        <v>1281</v>
      </c>
      <c r="Q669" s="564" t="s">
        <v>583</v>
      </c>
      <c r="R669" s="564">
        <v>2</v>
      </c>
    </row>
    <row r="670" spans="1:18" ht="15" customHeight="1" x14ac:dyDescent="0.25">
      <c r="A670" s="553">
        <v>8</v>
      </c>
      <c r="B670" s="553">
        <v>15</v>
      </c>
      <c r="C670" s="553">
        <v>2</v>
      </c>
      <c r="D670" s="553">
        <v>23</v>
      </c>
      <c r="E670" s="553">
        <v>1</v>
      </c>
      <c r="F670" s="553">
        <v>2</v>
      </c>
      <c r="G670" s="553" t="s">
        <v>485</v>
      </c>
      <c r="H670" s="553">
        <v>1318.385</v>
      </c>
      <c r="I670" s="553">
        <v>89</v>
      </c>
      <c r="J670" s="553">
        <v>54</v>
      </c>
      <c r="K670" s="553">
        <v>19</v>
      </c>
      <c r="L670" s="553">
        <v>3</v>
      </c>
      <c r="M670" s="505" t="s">
        <v>137</v>
      </c>
      <c r="N670" s="500">
        <v>43047394280000</v>
      </c>
      <c r="O670" s="553" t="s">
        <v>1270</v>
      </c>
      <c r="P670" s="650" t="s">
        <v>1282</v>
      </c>
      <c r="Q670" s="564" t="s">
        <v>583</v>
      </c>
      <c r="R670" s="564">
        <v>2</v>
      </c>
    </row>
    <row r="671" spans="1:18" ht="15" customHeight="1" x14ac:dyDescent="0.25">
      <c r="A671" s="553">
        <v>8</v>
      </c>
      <c r="B671" s="553">
        <v>15</v>
      </c>
      <c r="C671" s="553">
        <v>2</v>
      </c>
      <c r="D671" s="553">
        <v>23</v>
      </c>
      <c r="E671" s="553">
        <v>1</v>
      </c>
      <c r="F671" s="553">
        <v>2</v>
      </c>
      <c r="G671" s="553" t="s">
        <v>487</v>
      </c>
      <c r="H671" s="553">
        <v>1317.69</v>
      </c>
      <c r="I671" s="553">
        <v>90</v>
      </c>
      <c r="J671" s="553">
        <v>0</v>
      </c>
      <c r="K671" s="553">
        <v>0</v>
      </c>
      <c r="L671" s="553">
        <v>3</v>
      </c>
      <c r="M671" s="505" t="s">
        <v>137</v>
      </c>
      <c r="N671" s="500">
        <v>43047394280000</v>
      </c>
      <c r="O671" s="553" t="s">
        <v>1270</v>
      </c>
      <c r="P671" s="650" t="s">
        <v>1283</v>
      </c>
      <c r="Q671" s="564" t="s">
        <v>583</v>
      </c>
      <c r="R671" s="564">
        <v>2</v>
      </c>
    </row>
    <row r="672" spans="1:18" ht="15" customHeight="1" x14ac:dyDescent="0.25">
      <c r="A672" s="553">
        <v>8</v>
      </c>
      <c r="B672" s="553">
        <v>15</v>
      </c>
      <c r="C672" s="553">
        <v>2</v>
      </c>
      <c r="D672" s="553">
        <v>23</v>
      </c>
      <c r="E672" s="553">
        <v>1</v>
      </c>
      <c r="F672" s="553">
        <v>2</v>
      </c>
      <c r="G672" s="502" t="s">
        <v>489</v>
      </c>
      <c r="H672" s="553">
        <v>1317.69</v>
      </c>
      <c r="I672" s="553">
        <v>90</v>
      </c>
      <c r="J672" s="553">
        <v>0</v>
      </c>
      <c r="K672" s="553">
        <v>0</v>
      </c>
      <c r="L672" s="553">
        <v>3</v>
      </c>
      <c r="M672" s="505" t="s">
        <v>137</v>
      </c>
      <c r="N672" s="500">
        <v>43047394280000</v>
      </c>
      <c r="O672" s="553" t="s">
        <v>1270</v>
      </c>
      <c r="P672" s="650" t="s">
        <v>1284</v>
      </c>
      <c r="Q672" s="564" t="s">
        <v>583</v>
      </c>
      <c r="R672" s="564">
        <v>2</v>
      </c>
    </row>
    <row r="673" spans="1:18" ht="15" customHeight="1" x14ac:dyDescent="0.25">
      <c r="A673" s="553">
        <v>8</v>
      </c>
      <c r="B673" s="553">
        <v>15</v>
      </c>
      <c r="C673" s="553">
        <v>2</v>
      </c>
      <c r="D673" s="553">
        <v>23</v>
      </c>
      <c r="E673" s="553">
        <v>1</v>
      </c>
      <c r="F673" s="553">
        <v>2</v>
      </c>
      <c r="G673" s="553" t="s">
        <v>491</v>
      </c>
      <c r="H673" s="553">
        <v>1317.69</v>
      </c>
      <c r="I673" s="553">
        <v>90</v>
      </c>
      <c r="J673" s="553">
        <v>0</v>
      </c>
      <c r="K673" s="553">
        <v>0</v>
      </c>
      <c r="L673" s="553">
        <v>3</v>
      </c>
      <c r="M673" s="505" t="s">
        <v>137</v>
      </c>
      <c r="N673" s="500">
        <v>43047394280000</v>
      </c>
      <c r="O673" s="553" t="s">
        <v>1270</v>
      </c>
      <c r="P673" s="650" t="s">
        <v>1285</v>
      </c>
      <c r="Q673" s="564" t="s">
        <v>583</v>
      </c>
      <c r="R673" s="564">
        <v>2</v>
      </c>
    </row>
    <row r="674" spans="1:18" ht="15" customHeight="1" x14ac:dyDescent="0.25">
      <c r="A674" s="553">
        <v>8</v>
      </c>
      <c r="B674" s="553">
        <v>15</v>
      </c>
      <c r="C674" s="553">
        <v>2</v>
      </c>
      <c r="D674" s="553">
        <v>23</v>
      </c>
      <c r="E674" s="553">
        <v>1</v>
      </c>
      <c r="F674" s="553">
        <v>2</v>
      </c>
      <c r="G674" s="553" t="s">
        <v>494</v>
      </c>
      <c r="H674" s="553">
        <v>1317.69</v>
      </c>
      <c r="I674" s="553">
        <v>90</v>
      </c>
      <c r="J674" s="553">
        <v>0</v>
      </c>
      <c r="K674" s="553">
        <v>0</v>
      </c>
      <c r="L674" s="553">
        <v>3</v>
      </c>
      <c r="M674" s="505" t="s">
        <v>137</v>
      </c>
      <c r="N674" s="500">
        <v>43047394280000</v>
      </c>
      <c r="O674" s="553" t="s">
        <v>1270</v>
      </c>
      <c r="P674" s="650" t="s">
        <v>1286</v>
      </c>
      <c r="Q674" s="564" t="s">
        <v>583</v>
      </c>
      <c r="R674" s="564">
        <v>2</v>
      </c>
    </row>
    <row r="675" spans="1:18" ht="15" customHeight="1" x14ac:dyDescent="0.25">
      <c r="A675" s="553">
        <v>8</v>
      </c>
      <c r="B675" s="553">
        <v>2</v>
      </c>
      <c r="C675" s="553">
        <v>2</v>
      </c>
      <c r="D675" s="553">
        <v>2</v>
      </c>
      <c r="E675" s="553">
        <v>2</v>
      </c>
      <c r="F675" s="553">
        <v>2</v>
      </c>
      <c r="G675" s="553" t="s">
        <v>473</v>
      </c>
      <c r="H675" s="553">
        <v>1321.91</v>
      </c>
      <c r="I675" s="553">
        <v>0</v>
      </c>
      <c r="J675" s="553">
        <v>4</v>
      </c>
      <c r="K675" s="553">
        <v>46</v>
      </c>
      <c r="L675" s="553">
        <v>4</v>
      </c>
      <c r="M675" s="505" t="s">
        <v>137</v>
      </c>
      <c r="N675" s="500">
        <v>43013539110000</v>
      </c>
      <c r="O675" s="553" t="s">
        <v>1187</v>
      </c>
      <c r="P675" s="650" t="s">
        <v>1287</v>
      </c>
      <c r="Q675" s="564" t="s">
        <v>583</v>
      </c>
      <c r="R675" s="564">
        <v>1</v>
      </c>
    </row>
    <row r="676" spans="1:18" ht="15" customHeight="1" x14ac:dyDescent="0.25">
      <c r="A676" s="553">
        <v>8</v>
      </c>
      <c r="B676" s="553">
        <v>2</v>
      </c>
      <c r="C676" s="553">
        <v>2</v>
      </c>
      <c r="D676" s="553">
        <v>2</v>
      </c>
      <c r="E676" s="553">
        <v>2</v>
      </c>
      <c r="F676" s="553">
        <v>2</v>
      </c>
      <c r="G676" s="502" t="s">
        <v>476</v>
      </c>
      <c r="H676" s="553">
        <v>1321.91</v>
      </c>
      <c r="I676" s="553">
        <v>0</v>
      </c>
      <c r="J676" s="553">
        <v>4</v>
      </c>
      <c r="K676" s="553">
        <v>46</v>
      </c>
      <c r="L676" s="553">
        <v>4</v>
      </c>
      <c r="M676" s="505" t="s">
        <v>137</v>
      </c>
      <c r="N676" s="500">
        <v>43013539110000</v>
      </c>
      <c r="O676" s="553" t="s">
        <v>1187</v>
      </c>
      <c r="P676" s="650" t="s">
        <v>1288</v>
      </c>
      <c r="Q676" s="564" t="s">
        <v>583</v>
      </c>
      <c r="R676" s="564">
        <v>1</v>
      </c>
    </row>
    <row r="677" spans="1:18" ht="15" customHeight="1" x14ac:dyDescent="0.25">
      <c r="A677" s="553">
        <v>8</v>
      </c>
      <c r="B677" s="553">
        <v>2</v>
      </c>
      <c r="C677" s="553">
        <v>2</v>
      </c>
      <c r="D677" s="553">
        <v>2</v>
      </c>
      <c r="E677" s="553">
        <v>2</v>
      </c>
      <c r="F677" s="553">
        <v>2</v>
      </c>
      <c r="G677" s="553" t="s">
        <v>478</v>
      </c>
      <c r="H677" s="553">
        <v>1315.9349999999999</v>
      </c>
      <c r="I677" s="553">
        <v>0</v>
      </c>
      <c r="J677" s="553">
        <v>38</v>
      </c>
      <c r="K677" s="553">
        <v>2</v>
      </c>
      <c r="L677" s="553">
        <v>2</v>
      </c>
      <c r="M677" s="505" t="s">
        <v>137</v>
      </c>
      <c r="N677" s="500">
        <v>43013539110000</v>
      </c>
      <c r="O677" s="553" t="s">
        <v>1187</v>
      </c>
      <c r="P677" s="650" t="s">
        <v>1289</v>
      </c>
      <c r="Q677" s="564" t="s">
        <v>583</v>
      </c>
      <c r="R677" s="564">
        <v>1</v>
      </c>
    </row>
    <row r="678" spans="1:18" ht="15" customHeight="1" x14ac:dyDescent="0.25">
      <c r="A678" s="553">
        <v>8</v>
      </c>
      <c r="B678" s="553">
        <v>2</v>
      </c>
      <c r="C678" s="553">
        <v>2</v>
      </c>
      <c r="D678" s="553">
        <v>2</v>
      </c>
      <c r="E678" s="553">
        <v>2</v>
      </c>
      <c r="F678" s="553">
        <v>2</v>
      </c>
      <c r="G678" s="553" t="s">
        <v>484</v>
      </c>
      <c r="H678" s="553">
        <v>1315.9349999999999</v>
      </c>
      <c r="I678" s="553">
        <v>0</v>
      </c>
      <c r="J678" s="553">
        <v>38</v>
      </c>
      <c r="K678" s="553">
        <v>2</v>
      </c>
      <c r="L678" s="553">
        <v>2</v>
      </c>
      <c r="M678" s="505" t="s">
        <v>137</v>
      </c>
      <c r="N678" s="500">
        <v>43013539110000</v>
      </c>
      <c r="O678" s="553" t="s">
        <v>1187</v>
      </c>
      <c r="P678" s="650" t="s">
        <v>1290</v>
      </c>
      <c r="Q678" s="564" t="s">
        <v>583</v>
      </c>
      <c r="R678" s="564">
        <v>1</v>
      </c>
    </row>
    <row r="679" spans="1:18" ht="15" customHeight="1" x14ac:dyDescent="0.25">
      <c r="A679" s="553">
        <v>8</v>
      </c>
      <c r="B679" s="553">
        <v>2</v>
      </c>
      <c r="C679" s="553">
        <v>2</v>
      </c>
      <c r="D679" s="553">
        <v>2</v>
      </c>
      <c r="E679" s="553">
        <v>2</v>
      </c>
      <c r="F679" s="553">
        <v>2</v>
      </c>
      <c r="G679" s="553" t="s">
        <v>486</v>
      </c>
      <c r="H679" s="553">
        <v>1298.615</v>
      </c>
      <c r="I679" s="553">
        <v>0</v>
      </c>
      <c r="J679" s="553">
        <v>49</v>
      </c>
      <c r="K679" s="553">
        <v>31</v>
      </c>
      <c r="L679" s="553">
        <v>2</v>
      </c>
      <c r="M679" s="505" t="s">
        <v>137</v>
      </c>
      <c r="N679" s="500">
        <v>43013539110000</v>
      </c>
      <c r="O679" s="553" t="s">
        <v>1187</v>
      </c>
      <c r="P679" s="650" t="s">
        <v>1291</v>
      </c>
      <c r="Q679" s="564" t="s">
        <v>583</v>
      </c>
      <c r="R679" s="564">
        <v>1</v>
      </c>
    </row>
    <row r="680" spans="1:18" ht="15" customHeight="1" x14ac:dyDescent="0.25">
      <c r="A680" s="553">
        <v>8</v>
      </c>
      <c r="B680" s="553">
        <v>2</v>
      </c>
      <c r="C680" s="553">
        <v>2</v>
      </c>
      <c r="D680" s="553">
        <v>2</v>
      </c>
      <c r="E680" s="553">
        <v>2</v>
      </c>
      <c r="F680" s="553">
        <v>2</v>
      </c>
      <c r="G680" s="502" t="s">
        <v>488</v>
      </c>
      <c r="H680" s="553">
        <v>1298.615</v>
      </c>
      <c r="I680" s="553">
        <v>0</v>
      </c>
      <c r="J680" s="553">
        <v>49</v>
      </c>
      <c r="K680" s="553">
        <v>31</v>
      </c>
      <c r="L680" s="553">
        <v>2</v>
      </c>
      <c r="M680" s="505" t="s">
        <v>137</v>
      </c>
      <c r="N680" s="500">
        <v>43013539110000</v>
      </c>
      <c r="O680" s="553" t="s">
        <v>1187</v>
      </c>
      <c r="P680" s="650" t="s">
        <v>1292</v>
      </c>
      <c r="Q680" s="564" t="s">
        <v>583</v>
      </c>
      <c r="R680" s="564">
        <v>1</v>
      </c>
    </row>
    <row r="681" spans="1:18" ht="15" customHeight="1" x14ac:dyDescent="0.25">
      <c r="A681" s="553">
        <v>8</v>
      </c>
      <c r="B681" s="553">
        <v>2</v>
      </c>
      <c r="C681" s="553">
        <v>2</v>
      </c>
      <c r="D681" s="553">
        <v>2</v>
      </c>
      <c r="E681" s="553">
        <v>2</v>
      </c>
      <c r="F681" s="553">
        <v>2</v>
      </c>
      <c r="G681" s="553" t="s">
        <v>490</v>
      </c>
      <c r="H681" s="553">
        <v>1325.4</v>
      </c>
      <c r="I681" s="553">
        <v>0</v>
      </c>
      <c r="J681" s="553">
        <v>43</v>
      </c>
      <c r="K681" s="553">
        <v>30</v>
      </c>
      <c r="L681" s="553">
        <v>4</v>
      </c>
      <c r="M681" s="505" t="s">
        <v>137</v>
      </c>
      <c r="N681" s="500">
        <v>43013539110000</v>
      </c>
      <c r="O681" s="553" t="s">
        <v>1187</v>
      </c>
      <c r="P681" s="650" t="s">
        <v>1293</v>
      </c>
      <c r="Q681" s="564" t="s">
        <v>583</v>
      </c>
      <c r="R681" s="564">
        <v>1</v>
      </c>
    </row>
    <row r="682" spans="1:18" ht="15" customHeight="1" x14ac:dyDescent="0.25">
      <c r="A682" s="553">
        <v>8</v>
      </c>
      <c r="B682" s="553">
        <v>2</v>
      </c>
      <c r="C682" s="553">
        <v>2</v>
      </c>
      <c r="D682" s="553">
        <v>2</v>
      </c>
      <c r="E682" s="553">
        <v>2</v>
      </c>
      <c r="F682" s="553">
        <v>2</v>
      </c>
      <c r="G682" s="553" t="s">
        <v>493</v>
      </c>
      <c r="H682" s="553">
        <v>1325.4</v>
      </c>
      <c r="I682" s="553">
        <v>0</v>
      </c>
      <c r="J682" s="553">
        <v>43</v>
      </c>
      <c r="K682" s="553">
        <v>30</v>
      </c>
      <c r="L682" s="553">
        <v>4</v>
      </c>
      <c r="M682" s="505" t="s">
        <v>137</v>
      </c>
      <c r="N682" s="500">
        <v>43013539110000</v>
      </c>
      <c r="O682" s="553" t="s">
        <v>1187</v>
      </c>
      <c r="P682" s="650" t="s">
        <v>1294</v>
      </c>
      <c r="Q682" s="564" t="s">
        <v>583</v>
      </c>
      <c r="R682" s="564">
        <v>1</v>
      </c>
    </row>
    <row r="683" spans="1:18" ht="15" customHeight="1" x14ac:dyDescent="0.25">
      <c r="A683" s="553">
        <v>8</v>
      </c>
      <c r="B683" s="553">
        <v>2</v>
      </c>
      <c r="C683" s="553">
        <v>2</v>
      </c>
      <c r="D683" s="553">
        <v>2</v>
      </c>
      <c r="E683" s="553">
        <v>2</v>
      </c>
      <c r="F683" s="553">
        <v>2</v>
      </c>
      <c r="G683" s="553" t="s">
        <v>474</v>
      </c>
      <c r="H683" s="553">
        <v>1317.415</v>
      </c>
      <c r="I683" s="553">
        <v>89</v>
      </c>
      <c r="J683" s="553">
        <v>46</v>
      </c>
      <c r="K683" s="553">
        <v>32</v>
      </c>
      <c r="L683" s="553">
        <v>4</v>
      </c>
      <c r="M683" s="505" t="s">
        <v>137</v>
      </c>
      <c r="N683" s="500">
        <v>43013539110000</v>
      </c>
      <c r="O683" s="553" t="s">
        <v>1187</v>
      </c>
      <c r="P683" s="650" t="s">
        <v>1295</v>
      </c>
      <c r="Q683" s="564" t="s">
        <v>583</v>
      </c>
      <c r="R683" s="564">
        <v>1</v>
      </c>
    </row>
    <row r="684" spans="1:18" ht="15" customHeight="1" x14ac:dyDescent="0.25">
      <c r="A684" s="553">
        <v>8</v>
      </c>
      <c r="B684" s="553">
        <v>2</v>
      </c>
      <c r="C684" s="553">
        <v>2</v>
      </c>
      <c r="D684" s="553">
        <v>2</v>
      </c>
      <c r="E684" s="553">
        <v>2</v>
      </c>
      <c r="F684" s="553">
        <v>2</v>
      </c>
      <c r="G684" s="502" t="s">
        <v>477</v>
      </c>
      <c r="H684" s="553">
        <v>1317.415</v>
      </c>
      <c r="I684" s="553">
        <v>89</v>
      </c>
      <c r="J684" s="553">
        <v>46</v>
      </c>
      <c r="K684" s="553">
        <v>32</v>
      </c>
      <c r="L684" s="553">
        <v>4</v>
      </c>
      <c r="M684" s="505" t="s">
        <v>137</v>
      </c>
      <c r="N684" s="500">
        <v>43013539110000</v>
      </c>
      <c r="O684" s="553" t="s">
        <v>1187</v>
      </c>
      <c r="P684" s="650" t="s">
        <v>1296</v>
      </c>
      <c r="Q684" s="564" t="s">
        <v>583</v>
      </c>
      <c r="R684" s="564">
        <v>1</v>
      </c>
    </row>
    <row r="685" spans="1:18" ht="15" customHeight="1" x14ac:dyDescent="0.25">
      <c r="A685" s="553">
        <v>8</v>
      </c>
      <c r="B685" s="553">
        <v>2</v>
      </c>
      <c r="C685" s="553">
        <v>2</v>
      </c>
      <c r="D685" s="553">
        <v>2</v>
      </c>
      <c r="E685" s="553">
        <v>2</v>
      </c>
      <c r="F685" s="553">
        <v>2</v>
      </c>
      <c r="G685" s="553" t="s">
        <v>479</v>
      </c>
      <c r="H685" s="553">
        <v>1317.4</v>
      </c>
      <c r="I685" s="553">
        <v>89</v>
      </c>
      <c r="J685" s="553">
        <v>47</v>
      </c>
      <c r="K685" s="553">
        <v>0</v>
      </c>
      <c r="L685" s="553">
        <v>4</v>
      </c>
      <c r="M685" s="505" t="s">
        <v>137</v>
      </c>
      <c r="N685" s="500">
        <v>43013539110000</v>
      </c>
      <c r="O685" s="553" t="s">
        <v>1187</v>
      </c>
      <c r="P685" s="650" t="s">
        <v>1297</v>
      </c>
      <c r="Q685" s="564" t="s">
        <v>583</v>
      </c>
      <c r="R685" s="564">
        <v>1</v>
      </c>
    </row>
    <row r="686" spans="1:18" ht="15" customHeight="1" x14ac:dyDescent="0.25">
      <c r="A686" s="553">
        <v>8</v>
      </c>
      <c r="B686" s="553">
        <v>2</v>
      </c>
      <c r="C686" s="553">
        <v>2</v>
      </c>
      <c r="D686" s="553">
        <v>2</v>
      </c>
      <c r="E686" s="553">
        <v>2</v>
      </c>
      <c r="F686" s="553">
        <v>2</v>
      </c>
      <c r="G686" s="553" t="s">
        <v>485</v>
      </c>
      <c r="H686" s="553">
        <v>1317.4</v>
      </c>
      <c r="I686" s="553">
        <v>89</v>
      </c>
      <c r="J686" s="553">
        <v>47</v>
      </c>
      <c r="K686" s="553">
        <v>0</v>
      </c>
      <c r="L686" s="553">
        <v>4</v>
      </c>
      <c r="M686" s="505" t="s">
        <v>137</v>
      </c>
      <c r="N686" s="500">
        <v>43013539110000</v>
      </c>
      <c r="O686" s="553" t="s">
        <v>1187</v>
      </c>
      <c r="P686" s="650" t="s">
        <v>1298</v>
      </c>
      <c r="Q686" s="564" t="s">
        <v>583</v>
      </c>
      <c r="R686" s="564">
        <v>1</v>
      </c>
    </row>
    <row r="687" spans="1:18" ht="15" customHeight="1" x14ac:dyDescent="0.25">
      <c r="A687" s="553">
        <v>8</v>
      </c>
      <c r="B687" s="553">
        <v>2</v>
      </c>
      <c r="C687" s="553">
        <v>2</v>
      </c>
      <c r="D687" s="553">
        <v>2</v>
      </c>
      <c r="E687" s="553">
        <v>2</v>
      </c>
      <c r="F687" s="553">
        <v>2</v>
      </c>
      <c r="G687" s="553" t="s">
        <v>487</v>
      </c>
      <c r="H687" s="553">
        <v>1322.585</v>
      </c>
      <c r="I687" s="553">
        <v>89</v>
      </c>
      <c r="J687" s="553">
        <v>51</v>
      </c>
      <c r="K687" s="553">
        <v>15</v>
      </c>
      <c r="L687" s="553">
        <v>4</v>
      </c>
      <c r="M687" s="505" t="s">
        <v>137</v>
      </c>
      <c r="N687" s="500">
        <v>43013539110000</v>
      </c>
      <c r="O687" s="553" t="s">
        <v>1187</v>
      </c>
      <c r="P687" s="650" t="s">
        <v>1299</v>
      </c>
      <c r="Q687" s="564" t="s">
        <v>583</v>
      </c>
      <c r="R687" s="564">
        <v>1</v>
      </c>
    </row>
    <row r="688" spans="1:18" ht="15" customHeight="1" x14ac:dyDescent="0.25">
      <c r="A688" s="553">
        <v>8</v>
      </c>
      <c r="B688" s="553">
        <v>2</v>
      </c>
      <c r="C688" s="553">
        <v>2</v>
      </c>
      <c r="D688" s="553">
        <v>2</v>
      </c>
      <c r="E688" s="553">
        <v>2</v>
      </c>
      <c r="F688" s="553">
        <v>2</v>
      </c>
      <c r="G688" s="502" t="s">
        <v>489</v>
      </c>
      <c r="H688" s="553">
        <v>1322.585</v>
      </c>
      <c r="I688" s="553">
        <v>89</v>
      </c>
      <c r="J688" s="553">
        <v>51</v>
      </c>
      <c r="K688" s="553">
        <v>15</v>
      </c>
      <c r="L688" s="553">
        <v>4</v>
      </c>
      <c r="M688" s="505" t="s">
        <v>137</v>
      </c>
      <c r="N688" s="500">
        <v>43013539110000</v>
      </c>
      <c r="O688" s="553" t="s">
        <v>1187</v>
      </c>
      <c r="P688" s="650" t="s">
        <v>1300</v>
      </c>
      <c r="Q688" s="564" t="s">
        <v>583</v>
      </c>
      <c r="R688" s="564">
        <v>1</v>
      </c>
    </row>
    <row r="689" spans="1:18" ht="15" customHeight="1" x14ac:dyDescent="0.25">
      <c r="A689" s="553">
        <v>8</v>
      </c>
      <c r="B689" s="553">
        <v>2</v>
      </c>
      <c r="C689" s="553">
        <v>2</v>
      </c>
      <c r="D689" s="553">
        <v>2</v>
      </c>
      <c r="E689" s="553">
        <v>2</v>
      </c>
      <c r="F689" s="553">
        <v>2</v>
      </c>
      <c r="G689" s="553" t="s">
        <v>491</v>
      </c>
      <c r="H689" s="553">
        <v>1323.03</v>
      </c>
      <c r="I689" s="553">
        <v>89</v>
      </c>
      <c r="J689" s="553">
        <v>41</v>
      </c>
      <c r="K689" s="553">
        <v>15</v>
      </c>
      <c r="L689" s="553">
        <v>3</v>
      </c>
      <c r="M689" s="505" t="s">
        <v>137</v>
      </c>
      <c r="N689" s="500">
        <v>43013539110000</v>
      </c>
      <c r="O689" s="553" t="s">
        <v>1187</v>
      </c>
      <c r="P689" s="650" t="s">
        <v>1301</v>
      </c>
      <c r="Q689" s="564" t="s">
        <v>583</v>
      </c>
      <c r="R689" s="564">
        <v>1</v>
      </c>
    </row>
    <row r="690" spans="1:18" ht="15" customHeight="1" x14ac:dyDescent="0.25">
      <c r="A690" s="553">
        <v>8</v>
      </c>
      <c r="B690" s="553">
        <v>2</v>
      </c>
      <c r="C690" s="553">
        <v>2</v>
      </c>
      <c r="D690" s="553">
        <v>2</v>
      </c>
      <c r="E690" s="553">
        <v>2</v>
      </c>
      <c r="F690" s="553">
        <v>2</v>
      </c>
      <c r="G690" s="553" t="s">
        <v>494</v>
      </c>
      <c r="H690" s="553">
        <v>1323.03</v>
      </c>
      <c r="I690" s="553">
        <v>89</v>
      </c>
      <c r="J690" s="553">
        <v>41</v>
      </c>
      <c r="K690" s="553">
        <v>15</v>
      </c>
      <c r="L690" s="553">
        <v>3</v>
      </c>
      <c r="M690" s="505" t="s">
        <v>137</v>
      </c>
      <c r="N690" s="500">
        <v>43013539110000</v>
      </c>
      <c r="O690" s="553" t="s">
        <v>1187</v>
      </c>
      <c r="P690" s="650" t="s">
        <v>1302</v>
      </c>
      <c r="Q690" s="564" t="s">
        <v>583</v>
      </c>
      <c r="R690" s="564">
        <v>1</v>
      </c>
    </row>
    <row r="691" spans="1:18" ht="15" customHeight="1" x14ac:dyDescent="0.25">
      <c r="A691" s="553">
        <v>8</v>
      </c>
      <c r="B691" s="553">
        <v>2</v>
      </c>
      <c r="C691" s="553">
        <v>2</v>
      </c>
      <c r="D691" s="553">
        <v>3</v>
      </c>
      <c r="E691" s="553">
        <v>2</v>
      </c>
      <c r="F691" s="553">
        <v>2</v>
      </c>
      <c r="G691" s="553" t="s">
        <v>473</v>
      </c>
      <c r="H691" s="553">
        <v>1308.44</v>
      </c>
      <c r="I691" s="553">
        <v>0</v>
      </c>
      <c r="J691" s="553">
        <v>15</v>
      </c>
      <c r="K691" s="553">
        <v>45</v>
      </c>
      <c r="L691" s="553">
        <v>2</v>
      </c>
      <c r="M691" s="505" t="s">
        <v>137</v>
      </c>
      <c r="N691" s="652">
        <v>43013538740000</v>
      </c>
      <c r="O691" s="553" t="s">
        <v>869</v>
      </c>
      <c r="P691" s="650" t="s">
        <v>1303</v>
      </c>
      <c r="Q691" s="564" t="s">
        <v>583</v>
      </c>
      <c r="R691" s="564">
        <v>2</v>
      </c>
    </row>
    <row r="692" spans="1:18" ht="15" customHeight="1" x14ac:dyDescent="0.25">
      <c r="A692" s="553">
        <v>8</v>
      </c>
      <c r="B692" s="553">
        <v>2</v>
      </c>
      <c r="C692" s="553">
        <v>2</v>
      </c>
      <c r="D692" s="553">
        <v>3</v>
      </c>
      <c r="E692" s="553">
        <v>2</v>
      </c>
      <c r="F692" s="553">
        <v>2</v>
      </c>
      <c r="G692" s="502" t="s">
        <v>476</v>
      </c>
      <c r="H692" s="553">
        <v>1308.44</v>
      </c>
      <c r="I692" s="553">
        <v>0</v>
      </c>
      <c r="J692" s="553">
        <v>15</v>
      </c>
      <c r="K692" s="553">
        <v>45</v>
      </c>
      <c r="L692" s="553">
        <v>2</v>
      </c>
      <c r="M692" s="505" t="s">
        <v>137</v>
      </c>
      <c r="N692" s="652">
        <v>43013538740000</v>
      </c>
      <c r="O692" s="553" t="s">
        <v>869</v>
      </c>
      <c r="P692" s="650" t="s">
        <v>1304</v>
      </c>
      <c r="Q692" s="564" t="s">
        <v>583</v>
      </c>
      <c r="R692" s="564">
        <v>2</v>
      </c>
    </row>
    <row r="693" spans="1:18" ht="15" customHeight="1" x14ac:dyDescent="0.25">
      <c r="A693" s="553">
        <v>8</v>
      </c>
      <c r="B693" s="553">
        <v>2</v>
      </c>
      <c r="C693" s="553">
        <v>2</v>
      </c>
      <c r="D693" s="553">
        <v>3</v>
      </c>
      <c r="E693" s="553">
        <v>2</v>
      </c>
      <c r="F693" s="553">
        <v>2</v>
      </c>
      <c r="G693" s="553" t="s">
        <v>478</v>
      </c>
      <c r="H693" s="553">
        <v>1317.64</v>
      </c>
      <c r="I693" s="553">
        <v>0</v>
      </c>
      <c r="J693" s="553">
        <v>32</v>
      </c>
      <c r="K693" s="553">
        <v>48</v>
      </c>
      <c r="L693" s="553">
        <v>2</v>
      </c>
      <c r="M693" s="505" t="s">
        <v>137</v>
      </c>
      <c r="N693" s="652">
        <v>43013538740000</v>
      </c>
      <c r="O693" s="553" t="s">
        <v>869</v>
      </c>
      <c r="P693" s="650" t="s">
        <v>1305</v>
      </c>
      <c r="Q693" s="564" t="s">
        <v>583</v>
      </c>
      <c r="R693" s="564">
        <v>2</v>
      </c>
    </row>
    <row r="694" spans="1:18" ht="15" customHeight="1" x14ac:dyDescent="0.25">
      <c r="A694" s="553">
        <v>8</v>
      </c>
      <c r="B694" s="553">
        <v>2</v>
      </c>
      <c r="C694" s="553">
        <v>2</v>
      </c>
      <c r="D694" s="553">
        <v>3</v>
      </c>
      <c r="E694" s="553">
        <v>2</v>
      </c>
      <c r="F694" s="553">
        <v>2</v>
      </c>
      <c r="G694" s="553" t="s">
        <v>484</v>
      </c>
      <c r="H694" s="553">
        <v>1317.64</v>
      </c>
      <c r="I694" s="553">
        <v>0</v>
      </c>
      <c r="J694" s="553">
        <v>32</v>
      </c>
      <c r="K694" s="553">
        <v>48</v>
      </c>
      <c r="L694" s="553">
        <v>2</v>
      </c>
      <c r="M694" s="505" t="s">
        <v>137</v>
      </c>
      <c r="N694" s="652">
        <v>43013538740000</v>
      </c>
      <c r="O694" s="553" t="s">
        <v>869</v>
      </c>
      <c r="P694" s="650" t="s">
        <v>1306</v>
      </c>
      <c r="Q694" s="564" t="s">
        <v>583</v>
      </c>
      <c r="R694" s="564">
        <v>2</v>
      </c>
    </row>
    <row r="695" spans="1:18" ht="15" customHeight="1" x14ac:dyDescent="0.25">
      <c r="A695" s="553">
        <v>8</v>
      </c>
      <c r="B695" s="553">
        <v>2</v>
      </c>
      <c r="C695" s="553">
        <v>2</v>
      </c>
      <c r="D695" s="553">
        <v>3</v>
      </c>
      <c r="E695" s="553">
        <v>2</v>
      </c>
      <c r="F695" s="553">
        <v>2</v>
      </c>
      <c r="G695" s="553" t="s">
        <v>486</v>
      </c>
      <c r="H695" s="553">
        <v>1309.355</v>
      </c>
      <c r="I695" s="553">
        <v>0</v>
      </c>
      <c r="J695" s="553">
        <v>23</v>
      </c>
      <c r="K695" s="553">
        <v>17</v>
      </c>
      <c r="L695" s="553">
        <v>3</v>
      </c>
      <c r="M695" s="505" t="s">
        <v>137</v>
      </c>
      <c r="N695" s="652">
        <v>43013538740000</v>
      </c>
      <c r="O695" s="553" t="s">
        <v>869</v>
      </c>
      <c r="P695" s="650" t="s">
        <v>1307</v>
      </c>
      <c r="Q695" s="564" t="s">
        <v>583</v>
      </c>
      <c r="R695" s="564">
        <v>2</v>
      </c>
    </row>
    <row r="696" spans="1:18" ht="15" customHeight="1" x14ac:dyDescent="0.25">
      <c r="A696" s="553">
        <v>8</v>
      </c>
      <c r="B696" s="553">
        <v>2</v>
      </c>
      <c r="C696" s="553">
        <v>2</v>
      </c>
      <c r="D696" s="553">
        <v>3</v>
      </c>
      <c r="E696" s="553">
        <v>2</v>
      </c>
      <c r="F696" s="553">
        <v>2</v>
      </c>
      <c r="G696" s="502" t="s">
        <v>488</v>
      </c>
      <c r="H696" s="553">
        <v>1309.355</v>
      </c>
      <c r="I696" s="553">
        <v>0</v>
      </c>
      <c r="J696" s="553">
        <v>23</v>
      </c>
      <c r="K696" s="553">
        <v>17</v>
      </c>
      <c r="L696" s="553">
        <v>3</v>
      </c>
      <c r="M696" s="505" t="s">
        <v>137</v>
      </c>
      <c r="N696" s="652">
        <v>43013538740000</v>
      </c>
      <c r="O696" s="553" t="s">
        <v>869</v>
      </c>
      <c r="P696" s="650" t="s">
        <v>1308</v>
      </c>
      <c r="Q696" s="564" t="s">
        <v>583</v>
      </c>
      <c r="R696" s="564">
        <v>2</v>
      </c>
    </row>
    <row r="697" spans="1:18" ht="15" customHeight="1" x14ac:dyDescent="0.25">
      <c r="A697" s="553">
        <v>8</v>
      </c>
      <c r="B697" s="553">
        <v>2</v>
      </c>
      <c r="C697" s="553">
        <v>2</v>
      </c>
      <c r="D697" s="553">
        <v>3</v>
      </c>
      <c r="E697" s="553">
        <v>2</v>
      </c>
      <c r="F697" s="553">
        <v>2</v>
      </c>
      <c r="G697" s="553" t="s">
        <v>490</v>
      </c>
      <c r="H697" s="553">
        <v>1316.095</v>
      </c>
      <c r="I697" s="553">
        <v>0</v>
      </c>
      <c r="J697" s="553">
        <v>10</v>
      </c>
      <c r="K697" s="553">
        <v>47</v>
      </c>
      <c r="L697" s="553">
        <v>3</v>
      </c>
      <c r="M697" s="505" t="s">
        <v>137</v>
      </c>
      <c r="N697" s="652">
        <v>43013538740000</v>
      </c>
      <c r="O697" s="553" t="s">
        <v>869</v>
      </c>
      <c r="P697" s="650" t="s">
        <v>1309</v>
      </c>
      <c r="Q697" s="564" t="s">
        <v>583</v>
      </c>
      <c r="R697" s="564">
        <v>2</v>
      </c>
    </row>
    <row r="698" spans="1:18" ht="15" customHeight="1" x14ac:dyDescent="0.25">
      <c r="A698" s="553">
        <v>8</v>
      </c>
      <c r="B698" s="553">
        <v>2</v>
      </c>
      <c r="C698" s="553">
        <v>2</v>
      </c>
      <c r="D698" s="553">
        <v>3</v>
      </c>
      <c r="E698" s="553">
        <v>2</v>
      </c>
      <c r="F698" s="553">
        <v>2</v>
      </c>
      <c r="G698" s="553" t="s">
        <v>493</v>
      </c>
      <c r="H698" s="553">
        <v>1316.095</v>
      </c>
      <c r="I698" s="553">
        <v>0</v>
      </c>
      <c r="J698" s="553">
        <v>10</v>
      </c>
      <c r="K698" s="553">
        <v>47</v>
      </c>
      <c r="L698" s="553">
        <v>3</v>
      </c>
      <c r="M698" s="505" t="s">
        <v>137</v>
      </c>
      <c r="N698" s="652">
        <v>43013538740000</v>
      </c>
      <c r="O698" s="553" t="s">
        <v>869</v>
      </c>
      <c r="P698" s="650" t="s">
        <v>1310</v>
      </c>
      <c r="Q698" s="564" t="s">
        <v>583</v>
      </c>
      <c r="R698" s="564">
        <v>2</v>
      </c>
    </row>
    <row r="699" spans="1:18" ht="15" customHeight="1" x14ac:dyDescent="0.25">
      <c r="A699" s="553">
        <v>8</v>
      </c>
      <c r="B699" s="553">
        <v>2</v>
      </c>
      <c r="C699" s="553">
        <v>2</v>
      </c>
      <c r="D699" s="553">
        <v>3</v>
      </c>
      <c r="E699" s="553">
        <v>2</v>
      </c>
      <c r="F699" s="553">
        <v>2</v>
      </c>
      <c r="G699" s="553" t="s">
        <v>474</v>
      </c>
      <c r="H699" s="553">
        <v>1315.89</v>
      </c>
      <c r="I699" s="553">
        <v>89</v>
      </c>
      <c r="J699" s="553">
        <v>52</v>
      </c>
      <c r="K699" s="553">
        <v>48</v>
      </c>
      <c r="L699" s="553">
        <v>4</v>
      </c>
      <c r="M699" s="505" t="s">
        <v>137</v>
      </c>
      <c r="N699" s="652">
        <v>43013538740000</v>
      </c>
      <c r="O699" s="553" t="s">
        <v>869</v>
      </c>
      <c r="P699" s="650" t="s">
        <v>1311</v>
      </c>
      <c r="Q699" s="564" t="s">
        <v>583</v>
      </c>
      <c r="R699" s="564">
        <v>2</v>
      </c>
    </row>
    <row r="700" spans="1:18" ht="15" customHeight="1" x14ac:dyDescent="0.25">
      <c r="A700" s="553">
        <v>8</v>
      </c>
      <c r="B700" s="553">
        <v>2</v>
      </c>
      <c r="C700" s="553">
        <v>2</v>
      </c>
      <c r="D700" s="553">
        <v>3</v>
      </c>
      <c r="E700" s="553">
        <v>2</v>
      </c>
      <c r="F700" s="553">
        <v>2</v>
      </c>
      <c r="G700" s="502" t="s">
        <v>477</v>
      </c>
      <c r="H700" s="553">
        <v>1315.89</v>
      </c>
      <c r="I700" s="553">
        <v>89</v>
      </c>
      <c r="J700" s="553">
        <v>52</v>
      </c>
      <c r="K700" s="553">
        <v>48</v>
      </c>
      <c r="L700" s="553">
        <v>4</v>
      </c>
      <c r="M700" s="505" t="s">
        <v>137</v>
      </c>
      <c r="N700" s="652">
        <v>43013538740000</v>
      </c>
      <c r="O700" s="553" t="s">
        <v>869</v>
      </c>
      <c r="P700" s="650" t="s">
        <v>1312</v>
      </c>
      <c r="Q700" s="564" t="s">
        <v>583</v>
      </c>
      <c r="R700" s="564">
        <v>2</v>
      </c>
    </row>
    <row r="701" spans="1:18" ht="15" customHeight="1" x14ac:dyDescent="0.25">
      <c r="A701" s="553">
        <v>8</v>
      </c>
      <c r="B701" s="553">
        <v>2</v>
      </c>
      <c r="C701" s="553">
        <v>2</v>
      </c>
      <c r="D701" s="553">
        <v>3</v>
      </c>
      <c r="E701" s="553">
        <v>2</v>
      </c>
      <c r="F701" s="553">
        <v>2</v>
      </c>
      <c r="G701" s="553" t="s">
        <v>479</v>
      </c>
      <c r="H701" s="553">
        <v>1315.89</v>
      </c>
      <c r="I701" s="553">
        <v>89</v>
      </c>
      <c r="J701" s="553">
        <v>52</v>
      </c>
      <c r="K701" s="553">
        <v>48</v>
      </c>
      <c r="L701" s="553">
        <v>4</v>
      </c>
      <c r="M701" s="505" t="s">
        <v>137</v>
      </c>
      <c r="N701" s="652">
        <v>43013538740000</v>
      </c>
      <c r="O701" s="553" t="s">
        <v>869</v>
      </c>
      <c r="P701" s="650" t="s">
        <v>1313</v>
      </c>
      <c r="Q701" s="564" t="s">
        <v>583</v>
      </c>
      <c r="R701" s="564">
        <v>2</v>
      </c>
    </row>
    <row r="702" spans="1:18" ht="15" customHeight="1" x14ac:dyDescent="0.25">
      <c r="A702" s="553">
        <v>8</v>
      </c>
      <c r="B702" s="553">
        <v>2</v>
      </c>
      <c r="C702" s="553">
        <v>2</v>
      </c>
      <c r="D702" s="553">
        <v>3</v>
      </c>
      <c r="E702" s="553">
        <v>2</v>
      </c>
      <c r="F702" s="553">
        <v>2</v>
      </c>
      <c r="G702" s="553" t="s">
        <v>485</v>
      </c>
      <c r="H702" s="553">
        <v>1315.89</v>
      </c>
      <c r="I702" s="553">
        <v>89</v>
      </c>
      <c r="J702" s="553">
        <v>52</v>
      </c>
      <c r="K702" s="553">
        <v>48</v>
      </c>
      <c r="L702" s="553">
        <v>4</v>
      </c>
      <c r="M702" s="505" t="s">
        <v>137</v>
      </c>
      <c r="N702" s="652">
        <v>43013538740000</v>
      </c>
      <c r="O702" s="553" t="s">
        <v>869</v>
      </c>
      <c r="P702" s="650" t="s">
        <v>1314</v>
      </c>
      <c r="Q702" s="564" t="s">
        <v>583</v>
      </c>
      <c r="R702" s="564">
        <v>2</v>
      </c>
    </row>
    <row r="703" spans="1:18" ht="15" customHeight="1" x14ac:dyDescent="0.25">
      <c r="A703" s="553">
        <v>8</v>
      </c>
      <c r="B703" s="553">
        <v>2</v>
      </c>
      <c r="C703" s="553">
        <v>2</v>
      </c>
      <c r="D703" s="553">
        <v>3</v>
      </c>
      <c r="E703" s="553">
        <v>2</v>
      </c>
      <c r="F703" s="553">
        <v>2</v>
      </c>
      <c r="G703" s="553" t="s">
        <v>487</v>
      </c>
      <c r="H703" s="553">
        <v>1320.2</v>
      </c>
      <c r="I703" s="553">
        <v>89</v>
      </c>
      <c r="J703" s="553">
        <v>59</v>
      </c>
      <c r="K703" s="553">
        <v>53</v>
      </c>
      <c r="L703" s="553">
        <v>3</v>
      </c>
      <c r="M703" s="505" t="s">
        <v>137</v>
      </c>
      <c r="N703" s="652">
        <v>43013538740000</v>
      </c>
      <c r="O703" s="553" t="s">
        <v>869</v>
      </c>
      <c r="P703" s="650" t="s">
        <v>1315</v>
      </c>
      <c r="Q703" s="564" t="s">
        <v>583</v>
      </c>
      <c r="R703" s="564">
        <v>2</v>
      </c>
    </row>
    <row r="704" spans="1:18" ht="15" customHeight="1" x14ac:dyDescent="0.25">
      <c r="A704" s="553">
        <v>8</v>
      </c>
      <c r="B704" s="553">
        <v>2</v>
      </c>
      <c r="C704" s="553">
        <v>2</v>
      </c>
      <c r="D704" s="553">
        <v>3</v>
      </c>
      <c r="E704" s="553">
        <v>2</v>
      </c>
      <c r="F704" s="553">
        <v>2</v>
      </c>
      <c r="G704" s="502" t="s">
        <v>489</v>
      </c>
      <c r="H704" s="553">
        <v>1325.92</v>
      </c>
      <c r="I704" s="553">
        <v>89</v>
      </c>
      <c r="J704" s="553">
        <v>47</v>
      </c>
      <c r="K704" s="553">
        <v>15</v>
      </c>
      <c r="L704" s="553">
        <v>3</v>
      </c>
      <c r="M704" s="505" t="s">
        <v>137</v>
      </c>
      <c r="N704" s="652">
        <v>43013538740000</v>
      </c>
      <c r="O704" s="553" t="s">
        <v>869</v>
      </c>
      <c r="P704" s="650" t="s">
        <v>1316</v>
      </c>
      <c r="Q704" s="564" t="s">
        <v>583</v>
      </c>
      <c r="R704" s="564">
        <v>2</v>
      </c>
    </row>
    <row r="705" spans="1:18" ht="15" customHeight="1" x14ac:dyDescent="0.25">
      <c r="A705" s="553">
        <v>8</v>
      </c>
      <c r="B705" s="553">
        <v>2</v>
      </c>
      <c r="C705" s="553">
        <v>2</v>
      </c>
      <c r="D705" s="553">
        <v>3</v>
      </c>
      <c r="E705" s="553">
        <v>2</v>
      </c>
      <c r="F705" s="553">
        <v>2</v>
      </c>
      <c r="G705" s="553" t="s">
        <v>491</v>
      </c>
      <c r="H705" s="553">
        <v>1314.32</v>
      </c>
      <c r="I705" s="553">
        <v>89</v>
      </c>
      <c r="J705" s="553">
        <v>40</v>
      </c>
      <c r="K705" s="553">
        <v>38</v>
      </c>
      <c r="L705" s="553">
        <v>4</v>
      </c>
      <c r="M705" s="505" t="s">
        <v>137</v>
      </c>
      <c r="N705" s="652">
        <v>43013538740000</v>
      </c>
      <c r="O705" s="553" t="s">
        <v>869</v>
      </c>
      <c r="P705" s="650" t="s">
        <v>1317</v>
      </c>
      <c r="Q705" s="564" t="s">
        <v>583</v>
      </c>
      <c r="R705" s="564">
        <v>2</v>
      </c>
    </row>
    <row r="706" spans="1:18" ht="15" customHeight="1" x14ac:dyDescent="0.25">
      <c r="A706" s="553">
        <v>8</v>
      </c>
      <c r="B706" s="553">
        <v>2</v>
      </c>
      <c r="C706" s="553">
        <v>2</v>
      </c>
      <c r="D706" s="553">
        <v>3</v>
      </c>
      <c r="E706" s="553">
        <v>2</v>
      </c>
      <c r="F706" s="553">
        <v>2</v>
      </c>
      <c r="G706" s="553" t="s">
        <v>494</v>
      </c>
      <c r="H706" s="553">
        <v>1314.32</v>
      </c>
      <c r="I706" s="553">
        <v>89</v>
      </c>
      <c r="J706" s="553">
        <v>40</v>
      </c>
      <c r="K706" s="553">
        <v>38</v>
      </c>
      <c r="L706" s="553">
        <v>4</v>
      </c>
      <c r="M706" s="505" t="s">
        <v>137</v>
      </c>
      <c r="N706" s="652">
        <v>43013538740000</v>
      </c>
      <c r="O706" s="553" t="s">
        <v>869</v>
      </c>
      <c r="P706" s="650" t="s">
        <v>1318</v>
      </c>
      <c r="Q706" s="564" t="s">
        <v>583</v>
      </c>
      <c r="R706" s="564">
        <v>2</v>
      </c>
    </row>
    <row r="707" spans="1:18" ht="15" customHeight="1" x14ac:dyDescent="0.25">
      <c r="A707" s="553">
        <v>8</v>
      </c>
      <c r="B707" s="553">
        <v>3</v>
      </c>
      <c r="C707" s="553">
        <v>2</v>
      </c>
      <c r="D707" s="553">
        <v>1</v>
      </c>
      <c r="E707" s="553">
        <v>1</v>
      </c>
      <c r="F707" s="553">
        <v>2</v>
      </c>
      <c r="G707" s="553" t="s">
        <v>473</v>
      </c>
      <c r="H707" s="553">
        <v>0</v>
      </c>
      <c r="I707" s="553">
        <v>0</v>
      </c>
      <c r="J707" s="553">
        <v>0</v>
      </c>
      <c r="K707" s="553">
        <v>0</v>
      </c>
      <c r="L707" s="553">
        <v>0</v>
      </c>
      <c r="M707" s="505" t="s">
        <v>137</v>
      </c>
      <c r="N707" s="500">
        <v>43047567130000</v>
      </c>
      <c r="O707" s="553" t="s">
        <v>4441</v>
      </c>
      <c r="P707" s="650" t="s">
        <v>1319</v>
      </c>
      <c r="Q707" s="564" t="s">
        <v>4440</v>
      </c>
      <c r="R707" s="564">
        <v>1</v>
      </c>
    </row>
    <row r="708" spans="1:18" ht="15" customHeight="1" x14ac:dyDescent="0.25">
      <c r="A708" s="553">
        <v>8</v>
      </c>
      <c r="B708" s="553">
        <v>3</v>
      </c>
      <c r="C708" s="553">
        <v>2</v>
      </c>
      <c r="D708" s="553">
        <v>1</v>
      </c>
      <c r="E708" s="553">
        <v>1</v>
      </c>
      <c r="F708" s="553">
        <v>2</v>
      </c>
      <c r="G708" s="502" t="s">
        <v>476</v>
      </c>
      <c r="H708" s="553">
        <v>2640.86</v>
      </c>
      <c r="I708" s="553">
        <v>0</v>
      </c>
      <c r="J708" s="553">
        <v>55</v>
      </c>
      <c r="K708" s="553">
        <v>17</v>
      </c>
      <c r="L708" s="553">
        <v>4</v>
      </c>
      <c r="M708" s="505" t="s">
        <v>137</v>
      </c>
      <c r="N708" s="500">
        <v>43047567130000</v>
      </c>
      <c r="O708" s="553" t="s">
        <v>4441</v>
      </c>
      <c r="P708" s="650" t="s">
        <v>1320</v>
      </c>
      <c r="Q708" s="564" t="s">
        <v>4440</v>
      </c>
      <c r="R708" s="564">
        <v>1</v>
      </c>
    </row>
    <row r="709" spans="1:18" ht="15" customHeight="1" x14ac:dyDescent="0.25">
      <c r="A709" s="553">
        <v>8</v>
      </c>
      <c r="B709" s="553">
        <v>3</v>
      </c>
      <c r="C709" s="553">
        <v>2</v>
      </c>
      <c r="D709" s="553">
        <v>1</v>
      </c>
      <c r="E709" s="553">
        <v>1</v>
      </c>
      <c r="F709" s="553">
        <v>2</v>
      </c>
      <c r="G709" s="553" t="s">
        <v>478</v>
      </c>
      <c r="H709" s="553">
        <v>2637.06</v>
      </c>
      <c r="I709" s="553">
        <v>1</v>
      </c>
      <c r="J709" s="553">
        <v>0</v>
      </c>
      <c r="K709" s="553">
        <v>9</v>
      </c>
      <c r="L709" s="553">
        <v>4</v>
      </c>
      <c r="M709" s="505" t="s">
        <v>137</v>
      </c>
      <c r="N709" s="500">
        <v>43047567130000</v>
      </c>
      <c r="O709" s="553" t="s">
        <v>4441</v>
      </c>
      <c r="P709" s="650" t="s">
        <v>1321</v>
      </c>
      <c r="Q709" s="564" t="s">
        <v>4440</v>
      </c>
      <c r="R709" s="564">
        <v>1</v>
      </c>
    </row>
    <row r="710" spans="1:18" ht="15" customHeight="1" x14ac:dyDescent="0.25">
      <c r="A710" s="553">
        <v>8</v>
      </c>
      <c r="B710" s="553">
        <v>3</v>
      </c>
      <c r="C710" s="553">
        <v>2</v>
      </c>
      <c r="D710" s="553">
        <v>1</v>
      </c>
      <c r="E710" s="553">
        <v>1</v>
      </c>
      <c r="F710" s="553">
        <v>2</v>
      </c>
      <c r="G710" s="553" t="s">
        <v>484</v>
      </c>
      <c r="H710" s="553">
        <v>0</v>
      </c>
      <c r="I710" s="553">
        <v>0</v>
      </c>
      <c r="J710" s="553">
        <v>0</v>
      </c>
      <c r="K710" s="553">
        <v>0</v>
      </c>
      <c r="L710" s="553">
        <v>0</v>
      </c>
      <c r="M710" s="505" t="s">
        <v>137</v>
      </c>
      <c r="N710" s="500">
        <v>43047567130000</v>
      </c>
      <c r="O710" s="553" t="s">
        <v>4441</v>
      </c>
      <c r="P710" s="650" t="s">
        <v>1322</v>
      </c>
      <c r="Q710" s="564" t="s">
        <v>4440</v>
      </c>
      <c r="R710" s="564">
        <v>1</v>
      </c>
    </row>
    <row r="711" spans="1:18" ht="15" customHeight="1" x14ac:dyDescent="0.25">
      <c r="A711" s="553">
        <v>8</v>
      </c>
      <c r="B711" s="553">
        <v>3</v>
      </c>
      <c r="C711" s="553">
        <v>2</v>
      </c>
      <c r="D711" s="553">
        <v>1</v>
      </c>
      <c r="E711" s="553">
        <v>1</v>
      </c>
      <c r="F711" s="553">
        <v>2</v>
      </c>
      <c r="G711" s="553" t="s">
        <v>486</v>
      </c>
      <c r="H711" s="553">
        <v>0</v>
      </c>
      <c r="I711" s="553">
        <v>0</v>
      </c>
      <c r="J711" s="553">
        <v>0</v>
      </c>
      <c r="K711" s="553">
        <v>0</v>
      </c>
      <c r="L711" s="553">
        <v>0</v>
      </c>
      <c r="M711" s="505" t="s">
        <v>137</v>
      </c>
      <c r="N711" s="500">
        <v>43047567130000</v>
      </c>
      <c r="O711" s="553" t="s">
        <v>4441</v>
      </c>
      <c r="P711" s="650" t="s">
        <v>1323</v>
      </c>
      <c r="Q711" s="564" t="s">
        <v>4440</v>
      </c>
      <c r="R711" s="564">
        <v>1</v>
      </c>
    </row>
    <row r="712" spans="1:18" ht="15" customHeight="1" x14ac:dyDescent="0.25">
      <c r="A712" s="553">
        <v>8</v>
      </c>
      <c r="B712" s="553">
        <v>3</v>
      </c>
      <c r="C712" s="553">
        <v>2</v>
      </c>
      <c r="D712" s="553">
        <v>1</v>
      </c>
      <c r="E712" s="553">
        <v>1</v>
      </c>
      <c r="F712" s="553">
        <v>2</v>
      </c>
      <c r="G712" s="502" t="s">
        <v>488</v>
      </c>
      <c r="H712" s="553">
        <v>2638.18</v>
      </c>
      <c r="I712" s="553">
        <v>1</v>
      </c>
      <c r="J712" s="553">
        <v>3</v>
      </c>
      <c r="K712" s="553">
        <v>16</v>
      </c>
      <c r="L712" s="553">
        <v>4</v>
      </c>
      <c r="M712" s="505" t="s">
        <v>137</v>
      </c>
      <c r="N712" s="500">
        <v>43047567130000</v>
      </c>
      <c r="O712" s="553" t="s">
        <v>4441</v>
      </c>
      <c r="P712" s="650" t="s">
        <v>1324</v>
      </c>
      <c r="Q712" s="564" t="s">
        <v>4440</v>
      </c>
      <c r="R712" s="564">
        <v>1</v>
      </c>
    </row>
    <row r="713" spans="1:18" ht="15" customHeight="1" x14ac:dyDescent="0.25">
      <c r="A713" s="553">
        <v>8</v>
      </c>
      <c r="B713" s="553">
        <v>3</v>
      </c>
      <c r="C713" s="553">
        <v>2</v>
      </c>
      <c r="D713" s="553">
        <v>1</v>
      </c>
      <c r="E713" s="553">
        <v>1</v>
      </c>
      <c r="F713" s="553">
        <v>2</v>
      </c>
      <c r="G713" s="553" t="s">
        <v>490</v>
      </c>
      <c r="H713" s="553">
        <v>2643.31</v>
      </c>
      <c r="I713" s="553">
        <v>1</v>
      </c>
      <c r="J713" s="553">
        <v>3</v>
      </c>
      <c r="K713" s="553">
        <v>9</v>
      </c>
      <c r="L713" s="553">
        <v>4</v>
      </c>
      <c r="M713" s="505" t="s">
        <v>137</v>
      </c>
      <c r="N713" s="500">
        <v>43047567130000</v>
      </c>
      <c r="O713" s="553" t="s">
        <v>4441</v>
      </c>
      <c r="P713" s="650" t="s">
        <v>1325</v>
      </c>
      <c r="Q713" s="564" t="s">
        <v>4440</v>
      </c>
      <c r="R713" s="564">
        <v>1</v>
      </c>
    </row>
    <row r="714" spans="1:18" ht="15" customHeight="1" x14ac:dyDescent="0.25">
      <c r="A714" s="553">
        <v>8</v>
      </c>
      <c r="B714" s="553">
        <v>3</v>
      </c>
      <c r="C714" s="553">
        <v>2</v>
      </c>
      <c r="D714" s="553">
        <v>1</v>
      </c>
      <c r="E714" s="553">
        <v>1</v>
      </c>
      <c r="F714" s="553">
        <v>2</v>
      </c>
      <c r="G714" s="553" t="s">
        <v>493</v>
      </c>
      <c r="H714" s="553">
        <v>0</v>
      </c>
      <c r="I714" s="553">
        <v>0</v>
      </c>
      <c r="J714" s="553">
        <v>0</v>
      </c>
      <c r="K714" s="553">
        <v>0</v>
      </c>
      <c r="L714" s="553">
        <v>0</v>
      </c>
      <c r="M714" s="505" t="s">
        <v>137</v>
      </c>
      <c r="N714" s="500">
        <v>43047567130000</v>
      </c>
      <c r="O714" s="553" t="s">
        <v>4441</v>
      </c>
      <c r="P714" s="650" t="s">
        <v>1326</v>
      </c>
      <c r="Q714" s="564" t="s">
        <v>4440</v>
      </c>
      <c r="R714" s="564">
        <v>1</v>
      </c>
    </row>
    <row r="715" spans="1:18" ht="15" customHeight="1" x14ac:dyDescent="0.25">
      <c r="A715" s="553">
        <v>8</v>
      </c>
      <c r="B715" s="553">
        <v>3</v>
      </c>
      <c r="C715" s="553">
        <v>2</v>
      </c>
      <c r="D715" s="553">
        <v>1</v>
      </c>
      <c r="E715" s="553">
        <v>1</v>
      </c>
      <c r="F715" s="553">
        <v>2</v>
      </c>
      <c r="G715" s="553" t="s">
        <v>474</v>
      </c>
      <c r="H715" s="553">
        <v>0</v>
      </c>
      <c r="I715" s="553">
        <v>0</v>
      </c>
      <c r="J715" s="553">
        <v>0</v>
      </c>
      <c r="K715" s="553">
        <v>0</v>
      </c>
      <c r="L715" s="553">
        <v>0</v>
      </c>
      <c r="M715" s="505" t="s">
        <v>137</v>
      </c>
      <c r="N715" s="500">
        <v>43047567130000</v>
      </c>
      <c r="O715" s="553" t="s">
        <v>4441</v>
      </c>
      <c r="P715" s="650" t="s">
        <v>1327</v>
      </c>
      <c r="Q715" s="564" t="s">
        <v>4440</v>
      </c>
      <c r="R715" s="564">
        <v>1</v>
      </c>
    </row>
    <row r="716" spans="1:18" ht="15" customHeight="1" x14ac:dyDescent="0.25">
      <c r="A716" s="553">
        <v>8</v>
      </c>
      <c r="B716" s="553">
        <v>3</v>
      </c>
      <c r="C716" s="553">
        <v>2</v>
      </c>
      <c r="D716" s="553">
        <v>1</v>
      </c>
      <c r="E716" s="553">
        <v>1</v>
      </c>
      <c r="F716" s="553">
        <v>2</v>
      </c>
      <c r="G716" s="502" t="s">
        <v>477</v>
      </c>
      <c r="H716" s="553">
        <v>2630.67</v>
      </c>
      <c r="I716" s="553">
        <v>89</v>
      </c>
      <c r="J716" s="553">
        <v>8</v>
      </c>
      <c r="K716" s="553">
        <v>9</v>
      </c>
      <c r="L716" s="553">
        <v>3</v>
      </c>
      <c r="M716" s="505" t="s">
        <v>137</v>
      </c>
      <c r="N716" s="500">
        <v>43047567130000</v>
      </c>
      <c r="O716" s="553" t="s">
        <v>4441</v>
      </c>
      <c r="P716" s="650" t="s">
        <v>1328</v>
      </c>
      <c r="Q716" s="564" t="s">
        <v>4440</v>
      </c>
      <c r="R716" s="564">
        <v>1</v>
      </c>
    </row>
    <row r="717" spans="1:18" ht="15" customHeight="1" x14ac:dyDescent="0.25">
      <c r="A717" s="553">
        <v>8</v>
      </c>
      <c r="B717" s="553">
        <v>3</v>
      </c>
      <c r="C717" s="553">
        <v>2</v>
      </c>
      <c r="D717" s="553">
        <v>1</v>
      </c>
      <c r="E717" s="553">
        <v>1</v>
      </c>
      <c r="F717" s="553">
        <v>2</v>
      </c>
      <c r="G717" s="553" t="s">
        <v>479</v>
      </c>
      <c r="H717" s="553">
        <v>2630.8</v>
      </c>
      <c r="I717" s="553">
        <v>89</v>
      </c>
      <c r="J717" s="553">
        <v>8</v>
      </c>
      <c r="K717" s="553">
        <v>10</v>
      </c>
      <c r="L717" s="553">
        <v>3</v>
      </c>
      <c r="M717" s="505" t="s">
        <v>137</v>
      </c>
      <c r="N717" s="500">
        <v>43047567130000</v>
      </c>
      <c r="O717" s="553" t="s">
        <v>4441</v>
      </c>
      <c r="P717" s="650" t="s">
        <v>1329</v>
      </c>
      <c r="Q717" s="564" t="s">
        <v>4440</v>
      </c>
      <c r="R717" s="564">
        <v>1</v>
      </c>
    </row>
    <row r="718" spans="1:18" ht="15" customHeight="1" x14ac:dyDescent="0.25">
      <c r="A718" s="553">
        <v>8</v>
      </c>
      <c r="B718" s="553">
        <v>3</v>
      </c>
      <c r="C718" s="553">
        <v>2</v>
      </c>
      <c r="D718" s="553">
        <v>1</v>
      </c>
      <c r="E718" s="553">
        <v>1</v>
      </c>
      <c r="F718" s="553">
        <v>2</v>
      </c>
      <c r="G718" s="553" t="s">
        <v>485</v>
      </c>
      <c r="H718" s="553">
        <v>0</v>
      </c>
      <c r="I718" s="553">
        <v>0</v>
      </c>
      <c r="J718" s="553">
        <v>0</v>
      </c>
      <c r="K718" s="553">
        <v>0</v>
      </c>
      <c r="L718" s="553">
        <v>0</v>
      </c>
      <c r="M718" s="505" t="s">
        <v>137</v>
      </c>
      <c r="N718" s="500">
        <v>43047567130000</v>
      </c>
      <c r="O718" s="553" t="s">
        <v>4441</v>
      </c>
      <c r="P718" s="650" t="s">
        <v>1330</v>
      </c>
      <c r="Q718" s="564" t="s">
        <v>4440</v>
      </c>
      <c r="R718" s="564">
        <v>1</v>
      </c>
    </row>
    <row r="719" spans="1:18" ht="15" customHeight="1" x14ac:dyDescent="0.25">
      <c r="A719" s="553">
        <v>8</v>
      </c>
      <c r="B719" s="553">
        <v>3</v>
      </c>
      <c r="C719" s="553">
        <v>2</v>
      </c>
      <c r="D719" s="553">
        <v>1</v>
      </c>
      <c r="E719" s="553">
        <v>1</v>
      </c>
      <c r="F719" s="553">
        <v>2</v>
      </c>
      <c r="G719" s="553" t="s">
        <v>487</v>
      </c>
      <c r="H719" s="553">
        <v>0</v>
      </c>
      <c r="I719" s="553">
        <v>0</v>
      </c>
      <c r="J719" s="553">
        <v>0</v>
      </c>
      <c r="K719" s="553">
        <v>0</v>
      </c>
      <c r="L719" s="553">
        <v>0</v>
      </c>
      <c r="M719" s="505" t="s">
        <v>137</v>
      </c>
      <c r="N719" s="500">
        <v>43047567130000</v>
      </c>
      <c r="O719" s="553" t="s">
        <v>4441</v>
      </c>
      <c r="P719" s="650" t="s">
        <v>1331</v>
      </c>
      <c r="Q719" s="564" t="s">
        <v>4440</v>
      </c>
      <c r="R719" s="564">
        <v>1</v>
      </c>
    </row>
    <row r="720" spans="1:18" ht="15" customHeight="1" x14ac:dyDescent="0.25">
      <c r="A720" s="553">
        <v>8</v>
      </c>
      <c r="B720" s="553">
        <v>3</v>
      </c>
      <c r="C720" s="553">
        <v>2</v>
      </c>
      <c r="D720" s="553">
        <v>1</v>
      </c>
      <c r="E720" s="553">
        <v>1</v>
      </c>
      <c r="F720" s="553">
        <v>2</v>
      </c>
      <c r="G720" s="502" t="s">
        <v>489</v>
      </c>
      <c r="H720" s="553">
        <v>2630.36</v>
      </c>
      <c r="I720" s="553">
        <v>89</v>
      </c>
      <c r="J720" s="553">
        <v>10</v>
      </c>
      <c r="K720" s="553">
        <v>57</v>
      </c>
      <c r="L720" s="553">
        <v>3</v>
      </c>
      <c r="M720" s="505" t="s">
        <v>137</v>
      </c>
      <c r="N720" s="500">
        <v>43047567130000</v>
      </c>
      <c r="O720" s="553" t="s">
        <v>4441</v>
      </c>
      <c r="P720" s="650" t="s">
        <v>1332</v>
      </c>
      <c r="Q720" s="564" t="s">
        <v>4440</v>
      </c>
      <c r="R720" s="564">
        <v>1</v>
      </c>
    </row>
    <row r="721" spans="1:18" ht="15" customHeight="1" x14ac:dyDescent="0.25">
      <c r="A721" s="553">
        <v>8</v>
      </c>
      <c r="B721" s="553">
        <v>3</v>
      </c>
      <c r="C721" s="553">
        <v>2</v>
      </c>
      <c r="D721" s="553">
        <v>1</v>
      </c>
      <c r="E721" s="553">
        <v>1</v>
      </c>
      <c r="F721" s="553">
        <v>2</v>
      </c>
      <c r="G721" s="553" t="s">
        <v>491</v>
      </c>
      <c r="H721" s="553">
        <v>2639.55</v>
      </c>
      <c r="I721" s="553">
        <v>89</v>
      </c>
      <c r="J721" s="553">
        <v>10</v>
      </c>
      <c r="K721" s="553">
        <v>1</v>
      </c>
      <c r="L721" s="553">
        <v>3</v>
      </c>
      <c r="M721" s="505" t="s">
        <v>137</v>
      </c>
      <c r="N721" s="500">
        <v>43047567130000</v>
      </c>
      <c r="O721" s="553" t="s">
        <v>4441</v>
      </c>
      <c r="P721" s="650" t="s">
        <v>1333</v>
      </c>
      <c r="Q721" s="564" t="s">
        <v>4440</v>
      </c>
      <c r="R721" s="564">
        <v>1</v>
      </c>
    </row>
    <row r="722" spans="1:18" ht="15" customHeight="1" x14ac:dyDescent="0.25">
      <c r="A722" s="553">
        <v>8</v>
      </c>
      <c r="B722" s="553">
        <v>3</v>
      </c>
      <c r="C722" s="553">
        <v>2</v>
      </c>
      <c r="D722" s="553">
        <v>1</v>
      </c>
      <c r="E722" s="553">
        <v>1</v>
      </c>
      <c r="F722" s="553">
        <v>2</v>
      </c>
      <c r="G722" s="553" t="s">
        <v>494</v>
      </c>
      <c r="H722" s="553">
        <v>0</v>
      </c>
      <c r="I722" s="553">
        <v>0</v>
      </c>
      <c r="J722" s="553">
        <v>0</v>
      </c>
      <c r="K722" s="553">
        <v>0</v>
      </c>
      <c r="L722" s="553">
        <v>0</v>
      </c>
      <c r="M722" s="505" t="s">
        <v>137</v>
      </c>
      <c r="N722" s="500">
        <v>43047567130000</v>
      </c>
      <c r="O722" s="553" t="s">
        <v>4441</v>
      </c>
      <c r="P722" s="650" t="s">
        <v>1334</v>
      </c>
      <c r="Q722" s="564" t="s">
        <v>4440</v>
      </c>
      <c r="R722" s="564">
        <v>1</v>
      </c>
    </row>
    <row r="723" spans="1:18" ht="15" customHeight="1" x14ac:dyDescent="0.25">
      <c r="A723" s="553">
        <v>8</v>
      </c>
      <c r="B723" s="553">
        <v>3</v>
      </c>
      <c r="C723" s="553">
        <v>2</v>
      </c>
      <c r="D723" s="553">
        <v>5</v>
      </c>
      <c r="E723" s="553">
        <v>2</v>
      </c>
      <c r="F723" s="553">
        <v>2</v>
      </c>
      <c r="G723" s="553" t="s">
        <v>473</v>
      </c>
      <c r="H723" s="553">
        <v>1314.55</v>
      </c>
      <c r="I723" s="553">
        <v>0</v>
      </c>
      <c r="J723" s="553">
        <v>5</v>
      </c>
      <c r="K723" s="553">
        <v>45</v>
      </c>
      <c r="L723" s="553">
        <v>4</v>
      </c>
      <c r="M723" s="505" t="s">
        <v>137</v>
      </c>
      <c r="N723" s="500">
        <v>43013539380000</v>
      </c>
      <c r="O723" s="553" t="s">
        <v>1236</v>
      </c>
      <c r="P723" s="650" t="s">
        <v>1335</v>
      </c>
      <c r="Q723" s="564" t="s">
        <v>583</v>
      </c>
      <c r="R723" s="564">
        <v>2</v>
      </c>
    </row>
    <row r="724" spans="1:18" ht="15" customHeight="1" x14ac:dyDescent="0.25">
      <c r="A724" s="553">
        <v>8</v>
      </c>
      <c r="B724" s="553">
        <v>3</v>
      </c>
      <c r="C724" s="553">
        <v>2</v>
      </c>
      <c r="D724" s="553">
        <v>5</v>
      </c>
      <c r="E724" s="553">
        <v>2</v>
      </c>
      <c r="F724" s="553">
        <v>2</v>
      </c>
      <c r="G724" s="502" t="s">
        <v>476</v>
      </c>
      <c r="H724" s="553">
        <v>1314.42</v>
      </c>
      <c r="I724" s="553">
        <v>0</v>
      </c>
      <c r="J724" s="553">
        <v>5</v>
      </c>
      <c r="K724" s="553">
        <v>23</v>
      </c>
      <c r="L724" s="553">
        <v>4</v>
      </c>
      <c r="M724" s="505" t="s">
        <v>137</v>
      </c>
      <c r="N724" s="500">
        <v>43013539380000</v>
      </c>
      <c r="O724" s="553" t="s">
        <v>1236</v>
      </c>
      <c r="P724" s="650" t="s">
        <v>1336</v>
      </c>
      <c r="Q724" s="564" t="s">
        <v>583</v>
      </c>
      <c r="R724" s="564">
        <v>2</v>
      </c>
    </row>
    <row r="725" spans="1:18" ht="15" customHeight="1" x14ac:dyDescent="0.25">
      <c r="A725" s="553">
        <v>8</v>
      </c>
      <c r="B725" s="553">
        <v>3</v>
      </c>
      <c r="C725" s="553">
        <v>2</v>
      </c>
      <c r="D725" s="553">
        <v>5</v>
      </c>
      <c r="E725" s="553">
        <v>2</v>
      </c>
      <c r="F725" s="553">
        <v>2</v>
      </c>
      <c r="G725" s="553" t="s">
        <v>478</v>
      </c>
      <c r="H725" s="553">
        <v>1314.6949999999999</v>
      </c>
      <c r="I725" s="553">
        <v>0</v>
      </c>
      <c r="J725" s="553">
        <v>1</v>
      </c>
      <c r="K725" s="553">
        <v>3</v>
      </c>
      <c r="L725" s="553">
        <v>4</v>
      </c>
      <c r="M725" s="505" t="s">
        <v>137</v>
      </c>
      <c r="N725" s="500">
        <v>43013539380000</v>
      </c>
      <c r="O725" s="553" t="s">
        <v>1236</v>
      </c>
      <c r="P725" s="650" t="s">
        <v>1337</v>
      </c>
      <c r="Q725" s="564" t="s">
        <v>583</v>
      </c>
      <c r="R725" s="564">
        <v>2</v>
      </c>
    </row>
    <row r="726" spans="1:18" ht="15" customHeight="1" x14ac:dyDescent="0.25">
      <c r="A726" s="553">
        <v>8</v>
      </c>
      <c r="B726" s="553">
        <v>3</v>
      </c>
      <c r="C726" s="553">
        <v>2</v>
      </c>
      <c r="D726" s="553">
        <v>5</v>
      </c>
      <c r="E726" s="553">
        <v>2</v>
      </c>
      <c r="F726" s="553">
        <v>2</v>
      </c>
      <c r="G726" s="553" t="s">
        <v>484</v>
      </c>
      <c r="H726" s="553">
        <v>1314.6949999999999</v>
      </c>
      <c r="I726" s="553">
        <v>0</v>
      </c>
      <c r="J726" s="553">
        <v>1</v>
      </c>
      <c r="K726" s="553">
        <v>3</v>
      </c>
      <c r="L726" s="553">
        <v>4</v>
      </c>
      <c r="M726" s="505" t="s">
        <v>137</v>
      </c>
      <c r="N726" s="500">
        <v>43013539380000</v>
      </c>
      <c r="O726" s="553" t="s">
        <v>1236</v>
      </c>
      <c r="P726" s="650" t="s">
        <v>1338</v>
      </c>
      <c r="Q726" s="564" t="s">
        <v>583</v>
      </c>
      <c r="R726" s="564">
        <v>2</v>
      </c>
    </row>
    <row r="727" spans="1:18" ht="15" customHeight="1" x14ac:dyDescent="0.25">
      <c r="A727" s="553">
        <v>8</v>
      </c>
      <c r="B727" s="553">
        <v>3</v>
      </c>
      <c r="C727" s="553">
        <v>2</v>
      </c>
      <c r="D727" s="553">
        <v>5</v>
      </c>
      <c r="E727" s="553">
        <v>2</v>
      </c>
      <c r="F727" s="553">
        <v>2</v>
      </c>
      <c r="G727" s="553" t="s">
        <v>486</v>
      </c>
      <c r="H727" s="553">
        <v>1312.6849999999999</v>
      </c>
      <c r="I727" s="553">
        <v>0</v>
      </c>
      <c r="J727" s="553">
        <v>6</v>
      </c>
      <c r="K727" s="553">
        <v>36</v>
      </c>
      <c r="L727" s="553">
        <v>4</v>
      </c>
      <c r="M727" s="505" t="s">
        <v>137</v>
      </c>
      <c r="N727" s="500">
        <v>43013539380000</v>
      </c>
      <c r="O727" s="553" t="s">
        <v>1236</v>
      </c>
      <c r="P727" s="650" t="s">
        <v>1339</v>
      </c>
      <c r="Q727" s="564" t="s">
        <v>583</v>
      </c>
      <c r="R727" s="564">
        <v>2</v>
      </c>
    </row>
    <row r="728" spans="1:18" ht="15" customHeight="1" x14ac:dyDescent="0.25">
      <c r="A728" s="553">
        <v>8</v>
      </c>
      <c r="B728" s="553">
        <v>3</v>
      </c>
      <c r="C728" s="553">
        <v>2</v>
      </c>
      <c r="D728" s="553">
        <v>5</v>
      </c>
      <c r="E728" s="553">
        <v>2</v>
      </c>
      <c r="F728" s="553">
        <v>2</v>
      </c>
      <c r="G728" s="502" t="s">
        <v>488</v>
      </c>
      <c r="H728" s="553">
        <v>1312.6849999999999</v>
      </c>
      <c r="I728" s="553">
        <v>0</v>
      </c>
      <c r="J728" s="553">
        <v>6</v>
      </c>
      <c r="K728" s="553">
        <v>36</v>
      </c>
      <c r="L728" s="553">
        <v>4</v>
      </c>
      <c r="M728" s="505" t="s">
        <v>137</v>
      </c>
      <c r="N728" s="500">
        <v>43013539380000</v>
      </c>
      <c r="O728" s="553" t="s">
        <v>1236</v>
      </c>
      <c r="P728" s="650" t="s">
        <v>1340</v>
      </c>
      <c r="Q728" s="564" t="s">
        <v>583</v>
      </c>
      <c r="R728" s="564">
        <v>2</v>
      </c>
    </row>
    <row r="729" spans="1:18" ht="15" customHeight="1" x14ac:dyDescent="0.25">
      <c r="A729" s="553">
        <v>8</v>
      </c>
      <c r="B729" s="553">
        <v>3</v>
      </c>
      <c r="C729" s="553">
        <v>2</v>
      </c>
      <c r="D729" s="553">
        <v>5</v>
      </c>
      <c r="E729" s="553">
        <v>2</v>
      </c>
      <c r="F729" s="553">
        <v>2</v>
      </c>
      <c r="G729" s="553" t="s">
        <v>490</v>
      </c>
      <c r="H729" s="553">
        <v>1310.85</v>
      </c>
      <c r="I729" s="553">
        <v>0</v>
      </c>
      <c r="J729" s="553">
        <v>6</v>
      </c>
      <c r="K729" s="553">
        <v>46</v>
      </c>
      <c r="L729" s="553">
        <v>4</v>
      </c>
      <c r="M729" s="505" t="s">
        <v>137</v>
      </c>
      <c r="N729" s="500">
        <v>43013539380000</v>
      </c>
      <c r="O729" s="553" t="s">
        <v>1236</v>
      </c>
      <c r="P729" s="650" t="s">
        <v>1341</v>
      </c>
      <c r="Q729" s="564" t="s">
        <v>583</v>
      </c>
      <c r="R729" s="564">
        <v>2</v>
      </c>
    </row>
    <row r="730" spans="1:18" ht="15" customHeight="1" x14ac:dyDescent="0.25">
      <c r="A730" s="553">
        <v>8</v>
      </c>
      <c r="B730" s="553">
        <v>3</v>
      </c>
      <c r="C730" s="553">
        <v>2</v>
      </c>
      <c r="D730" s="553">
        <v>5</v>
      </c>
      <c r="E730" s="553">
        <v>2</v>
      </c>
      <c r="F730" s="553">
        <v>2</v>
      </c>
      <c r="G730" s="553" t="s">
        <v>493</v>
      </c>
      <c r="H730" s="553">
        <v>1310.85</v>
      </c>
      <c r="I730" s="553">
        <v>0</v>
      </c>
      <c r="J730" s="553">
        <v>6</v>
      </c>
      <c r="K730" s="553">
        <v>46</v>
      </c>
      <c r="L730" s="553">
        <v>4</v>
      </c>
      <c r="M730" s="505" t="s">
        <v>137</v>
      </c>
      <c r="N730" s="500">
        <v>43013539380000</v>
      </c>
      <c r="O730" s="553" t="s">
        <v>1236</v>
      </c>
      <c r="P730" s="650" t="s">
        <v>1342</v>
      </c>
      <c r="Q730" s="564" t="s">
        <v>583</v>
      </c>
      <c r="R730" s="564">
        <v>2</v>
      </c>
    </row>
    <row r="731" spans="1:18" ht="15" customHeight="1" x14ac:dyDescent="0.25">
      <c r="A731" s="553">
        <v>8</v>
      </c>
      <c r="B731" s="553">
        <v>3</v>
      </c>
      <c r="C731" s="553">
        <v>2</v>
      </c>
      <c r="D731" s="553">
        <v>5</v>
      </c>
      <c r="E731" s="553">
        <v>2</v>
      </c>
      <c r="F731" s="553">
        <v>2</v>
      </c>
      <c r="G731" s="553" t="s">
        <v>474</v>
      </c>
      <c r="H731" s="553">
        <v>1335.375</v>
      </c>
      <c r="I731" s="553">
        <v>89</v>
      </c>
      <c r="J731" s="553">
        <v>24</v>
      </c>
      <c r="K731" s="553">
        <v>38</v>
      </c>
      <c r="L731" s="553">
        <v>2</v>
      </c>
      <c r="M731" s="505" t="s">
        <v>137</v>
      </c>
      <c r="N731" s="500">
        <v>43013539380000</v>
      </c>
      <c r="O731" s="553" t="s">
        <v>1236</v>
      </c>
      <c r="P731" s="650" t="s">
        <v>1343</v>
      </c>
      <c r="Q731" s="564" t="s">
        <v>583</v>
      </c>
      <c r="R731" s="564">
        <v>2</v>
      </c>
    </row>
    <row r="732" spans="1:18" ht="15" customHeight="1" x14ac:dyDescent="0.25">
      <c r="A732" s="553">
        <v>8</v>
      </c>
      <c r="B732" s="553">
        <v>3</v>
      </c>
      <c r="C732" s="553">
        <v>2</v>
      </c>
      <c r="D732" s="553">
        <v>5</v>
      </c>
      <c r="E732" s="553">
        <v>2</v>
      </c>
      <c r="F732" s="553">
        <v>2</v>
      </c>
      <c r="G732" s="502" t="s">
        <v>477</v>
      </c>
      <c r="H732" s="553">
        <v>1335.375</v>
      </c>
      <c r="I732" s="553">
        <v>89</v>
      </c>
      <c r="J732" s="553">
        <v>24</v>
      </c>
      <c r="K732" s="553">
        <v>38</v>
      </c>
      <c r="L732" s="553">
        <v>2</v>
      </c>
      <c r="M732" s="505" t="s">
        <v>137</v>
      </c>
      <c r="N732" s="500">
        <v>43013539380000</v>
      </c>
      <c r="O732" s="553" t="s">
        <v>1236</v>
      </c>
      <c r="P732" s="650" t="s">
        <v>1344</v>
      </c>
      <c r="Q732" s="564" t="s">
        <v>583</v>
      </c>
      <c r="R732" s="564">
        <v>2</v>
      </c>
    </row>
    <row r="733" spans="1:18" ht="15" customHeight="1" x14ac:dyDescent="0.25">
      <c r="A733" s="553">
        <v>8</v>
      </c>
      <c r="B733" s="553">
        <v>3</v>
      </c>
      <c r="C733" s="553">
        <v>2</v>
      </c>
      <c r="D733" s="553">
        <v>5</v>
      </c>
      <c r="E733" s="553">
        <v>2</v>
      </c>
      <c r="F733" s="553">
        <v>2</v>
      </c>
      <c r="G733" s="553" t="s">
        <v>479</v>
      </c>
      <c r="H733" s="553">
        <v>1332.4349999999999</v>
      </c>
      <c r="I733" s="553">
        <v>89</v>
      </c>
      <c r="J733" s="553">
        <v>27</v>
      </c>
      <c r="K733" s="553">
        <v>2</v>
      </c>
      <c r="L733" s="553">
        <v>2</v>
      </c>
      <c r="M733" s="505" t="s">
        <v>137</v>
      </c>
      <c r="N733" s="500">
        <v>43013539380000</v>
      </c>
      <c r="O733" s="553" t="s">
        <v>1236</v>
      </c>
      <c r="P733" s="650" t="s">
        <v>1345</v>
      </c>
      <c r="Q733" s="564" t="s">
        <v>583</v>
      </c>
      <c r="R733" s="564">
        <v>2</v>
      </c>
    </row>
    <row r="734" spans="1:18" ht="15" customHeight="1" x14ac:dyDescent="0.25">
      <c r="A734" s="553">
        <v>8</v>
      </c>
      <c r="B734" s="553">
        <v>3</v>
      </c>
      <c r="C734" s="553">
        <v>2</v>
      </c>
      <c r="D734" s="553">
        <v>5</v>
      </c>
      <c r="E734" s="553">
        <v>2</v>
      </c>
      <c r="F734" s="553">
        <v>2</v>
      </c>
      <c r="G734" s="553" t="s">
        <v>485</v>
      </c>
      <c r="H734" s="553">
        <v>1332.4349999999999</v>
      </c>
      <c r="I734" s="553">
        <v>89</v>
      </c>
      <c r="J734" s="553">
        <v>27</v>
      </c>
      <c r="K734" s="553">
        <v>2</v>
      </c>
      <c r="L734" s="553">
        <v>2</v>
      </c>
      <c r="M734" s="505" t="s">
        <v>137</v>
      </c>
      <c r="N734" s="500">
        <v>43013539380000</v>
      </c>
      <c r="O734" s="553" t="s">
        <v>1236</v>
      </c>
      <c r="P734" s="650" t="s">
        <v>1346</v>
      </c>
      <c r="Q734" s="564" t="s">
        <v>583</v>
      </c>
      <c r="R734" s="564">
        <v>2</v>
      </c>
    </row>
    <row r="735" spans="1:18" ht="15" customHeight="1" x14ac:dyDescent="0.25">
      <c r="A735" s="553">
        <v>8</v>
      </c>
      <c r="B735" s="553">
        <v>3</v>
      </c>
      <c r="C735" s="553">
        <v>2</v>
      </c>
      <c r="D735" s="553">
        <v>5</v>
      </c>
      <c r="E735" s="553">
        <v>2</v>
      </c>
      <c r="F735" s="553">
        <v>2</v>
      </c>
      <c r="G735" s="553" t="s">
        <v>487</v>
      </c>
      <c r="H735" s="553">
        <v>1335.2</v>
      </c>
      <c r="I735" s="553">
        <v>89</v>
      </c>
      <c r="J735" s="553">
        <v>18</v>
      </c>
      <c r="K735" s="553">
        <v>37</v>
      </c>
      <c r="L735" s="553">
        <v>2</v>
      </c>
      <c r="M735" s="505" t="s">
        <v>137</v>
      </c>
      <c r="N735" s="500">
        <v>43013539380000</v>
      </c>
      <c r="O735" s="553" t="s">
        <v>1236</v>
      </c>
      <c r="P735" s="650" t="s">
        <v>1347</v>
      </c>
      <c r="Q735" s="564" t="s">
        <v>583</v>
      </c>
      <c r="R735" s="564">
        <v>2</v>
      </c>
    </row>
    <row r="736" spans="1:18" ht="15" customHeight="1" x14ac:dyDescent="0.25">
      <c r="A736" s="511">
        <v>8</v>
      </c>
      <c r="B736" s="511">
        <v>3</v>
      </c>
      <c r="C736" s="511">
        <v>2</v>
      </c>
      <c r="D736" s="511">
        <v>5</v>
      </c>
      <c r="E736" s="511">
        <v>2</v>
      </c>
      <c r="F736" s="511">
        <v>2</v>
      </c>
      <c r="G736" s="512" t="s">
        <v>489</v>
      </c>
      <c r="H736" s="511">
        <v>1335.2</v>
      </c>
      <c r="I736" s="511">
        <v>89</v>
      </c>
      <c r="J736" s="511">
        <v>18</v>
      </c>
      <c r="K736" s="511">
        <v>37</v>
      </c>
      <c r="L736" s="511">
        <v>2</v>
      </c>
      <c r="M736" s="556" t="s">
        <v>137</v>
      </c>
      <c r="N736" s="513">
        <v>43013539380000</v>
      </c>
      <c r="O736" s="511" t="s">
        <v>1236</v>
      </c>
      <c r="P736" s="653" t="s">
        <v>1348</v>
      </c>
      <c r="Q736" s="564" t="s">
        <v>583</v>
      </c>
      <c r="R736" s="564">
        <v>2</v>
      </c>
    </row>
    <row r="737" spans="1:18" ht="15" customHeight="1" x14ac:dyDescent="0.25">
      <c r="A737" s="511">
        <v>8</v>
      </c>
      <c r="B737" s="511">
        <v>3</v>
      </c>
      <c r="C737" s="511">
        <v>2</v>
      </c>
      <c r="D737" s="511">
        <v>5</v>
      </c>
      <c r="E737" s="511">
        <v>2</v>
      </c>
      <c r="F737" s="511">
        <v>2</v>
      </c>
      <c r="G737" s="511" t="s">
        <v>491</v>
      </c>
      <c r="H737" s="511">
        <v>1335.2349999999999</v>
      </c>
      <c r="I737" s="511">
        <v>89</v>
      </c>
      <c r="J737" s="511">
        <v>18</v>
      </c>
      <c r="K737" s="511">
        <v>34</v>
      </c>
      <c r="L737" s="511">
        <v>2</v>
      </c>
      <c r="M737" s="556" t="s">
        <v>137</v>
      </c>
      <c r="N737" s="513">
        <v>43013539380000</v>
      </c>
      <c r="O737" s="511" t="s">
        <v>1236</v>
      </c>
      <c r="P737" s="653" t="s">
        <v>1349</v>
      </c>
      <c r="Q737" s="564" t="s">
        <v>583</v>
      </c>
      <c r="R737" s="564">
        <v>2</v>
      </c>
    </row>
    <row r="738" spans="1:18" ht="15" customHeight="1" x14ac:dyDescent="0.25">
      <c r="A738" s="511">
        <v>8</v>
      </c>
      <c r="B738" s="511">
        <v>3</v>
      </c>
      <c r="C738" s="511">
        <v>2</v>
      </c>
      <c r="D738" s="511">
        <v>5</v>
      </c>
      <c r="E738" s="511">
        <v>2</v>
      </c>
      <c r="F738" s="511">
        <v>2</v>
      </c>
      <c r="G738" s="511" t="s">
        <v>494</v>
      </c>
      <c r="H738" s="511">
        <v>1335.2349999999999</v>
      </c>
      <c r="I738" s="511">
        <v>89</v>
      </c>
      <c r="J738" s="511">
        <v>18</v>
      </c>
      <c r="K738" s="511">
        <v>34</v>
      </c>
      <c r="L738" s="511">
        <v>2</v>
      </c>
      <c r="M738" s="556" t="s">
        <v>137</v>
      </c>
      <c r="N738" s="513">
        <v>43013539380000</v>
      </c>
      <c r="O738" s="511" t="s">
        <v>1236</v>
      </c>
      <c r="P738" s="653" t="s">
        <v>1350</v>
      </c>
      <c r="Q738" s="564" t="s">
        <v>583</v>
      </c>
      <c r="R738" s="564">
        <v>2</v>
      </c>
    </row>
    <row r="739" spans="1:18" ht="15" customHeight="1" x14ac:dyDescent="0.25">
      <c r="A739" s="511">
        <v>8</v>
      </c>
      <c r="B739" s="511">
        <v>3</v>
      </c>
      <c r="C739" s="511">
        <v>2</v>
      </c>
      <c r="D739" s="511">
        <v>2</v>
      </c>
      <c r="E739" s="511">
        <v>2</v>
      </c>
      <c r="F739" s="511">
        <v>2</v>
      </c>
      <c r="G739" s="511" t="s">
        <v>473</v>
      </c>
      <c r="H739" s="511">
        <v>1308.0250000000001</v>
      </c>
      <c r="I739" s="511">
        <v>0</v>
      </c>
      <c r="J739" s="511">
        <v>8</v>
      </c>
      <c r="K739" s="511">
        <v>2</v>
      </c>
      <c r="L739" s="511">
        <v>4</v>
      </c>
      <c r="M739" s="556" t="s">
        <v>137</v>
      </c>
      <c r="N739" s="513">
        <v>43013538590000</v>
      </c>
      <c r="O739" s="511" t="s">
        <v>1351</v>
      </c>
      <c r="P739" s="653" t="s">
        <v>1352</v>
      </c>
      <c r="Q739" s="564" t="s">
        <v>583</v>
      </c>
      <c r="R739" s="564">
        <v>1</v>
      </c>
    </row>
    <row r="740" spans="1:18" ht="15" customHeight="1" x14ac:dyDescent="0.25">
      <c r="A740" s="511">
        <v>8</v>
      </c>
      <c r="B740" s="511">
        <v>3</v>
      </c>
      <c r="C740" s="511">
        <v>2</v>
      </c>
      <c r="D740" s="511">
        <v>2</v>
      </c>
      <c r="E740" s="511">
        <v>2</v>
      </c>
      <c r="F740" s="511">
        <v>2</v>
      </c>
      <c r="G740" s="512" t="s">
        <v>476</v>
      </c>
      <c r="H740" s="511">
        <v>1308.0250000000001</v>
      </c>
      <c r="I740" s="511">
        <v>0</v>
      </c>
      <c r="J740" s="511">
        <v>8</v>
      </c>
      <c r="K740" s="511">
        <v>2</v>
      </c>
      <c r="L740" s="511">
        <v>4</v>
      </c>
      <c r="M740" s="556" t="s">
        <v>137</v>
      </c>
      <c r="N740" s="513">
        <v>43013538590000</v>
      </c>
      <c r="O740" s="511" t="s">
        <v>1351</v>
      </c>
      <c r="P740" s="653" t="s">
        <v>1353</v>
      </c>
      <c r="Q740" s="564" t="s">
        <v>583</v>
      </c>
      <c r="R740" s="564">
        <v>1</v>
      </c>
    </row>
    <row r="741" spans="1:18" ht="15" customHeight="1" x14ac:dyDescent="0.25">
      <c r="A741" s="511">
        <v>8</v>
      </c>
      <c r="B741" s="511">
        <v>3</v>
      </c>
      <c r="C741" s="511">
        <v>2</v>
      </c>
      <c r="D741" s="511">
        <v>2</v>
      </c>
      <c r="E741" s="511">
        <v>2</v>
      </c>
      <c r="F741" s="511">
        <v>2</v>
      </c>
      <c r="G741" s="511" t="s">
        <v>478</v>
      </c>
      <c r="H741" s="511">
        <v>1308.0250000000001</v>
      </c>
      <c r="I741" s="511">
        <v>0</v>
      </c>
      <c r="J741" s="511">
        <v>8</v>
      </c>
      <c r="K741" s="511">
        <v>2</v>
      </c>
      <c r="L741" s="511">
        <v>4</v>
      </c>
      <c r="M741" s="556" t="s">
        <v>137</v>
      </c>
      <c r="N741" s="513">
        <v>43013538590000</v>
      </c>
      <c r="O741" s="511" t="s">
        <v>1351</v>
      </c>
      <c r="P741" s="653" t="s">
        <v>1354</v>
      </c>
      <c r="Q741" s="564" t="s">
        <v>583</v>
      </c>
      <c r="R741" s="564">
        <v>1</v>
      </c>
    </row>
    <row r="742" spans="1:18" ht="15" customHeight="1" x14ac:dyDescent="0.25">
      <c r="A742" s="511">
        <v>8</v>
      </c>
      <c r="B742" s="511">
        <v>3</v>
      </c>
      <c r="C742" s="511">
        <v>2</v>
      </c>
      <c r="D742" s="511">
        <v>2</v>
      </c>
      <c r="E742" s="511">
        <v>2</v>
      </c>
      <c r="F742" s="511">
        <v>2</v>
      </c>
      <c r="G742" s="511" t="s">
        <v>484</v>
      </c>
      <c r="H742" s="511">
        <v>1308.0250000000001</v>
      </c>
      <c r="I742" s="511">
        <v>0</v>
      </c>
      <c r="J742" s="511">
        <v>8</v>
      </c>
      <c r="K742" s="511">
        <v>2</v>
      </c>
      <c r="L742" s="511">
        <v>4</v>
      </c>
      <c r="M742" s="556" t="s">
        <v>137</v>
      </c>
      <c r="N742" s="513">
        <v>43013538590000</v>
      </c>
      <c r="O742" s="511" t="s">
        <v>1351</v>
      </c>
      <c r="P742" s="653" t="s">
        <v>1355</v>
      </c>
      <c r="Q742" s="564" t="s">
        <v>583</v>
      </c>
      <c r="R742" s="564">
        <v>1</v>
      </c>
    </row>
    <row r="743" spans="1:18" ht="15" customHeight="1" x14ac:dyDescent="0.25">
      <c r="A743" s="511">
        <v>8</v>
      </c>
      <c r="B743" s="511">
        <v>3</v>
      </c>
      <c r="C743" s="511">
        <v>2</v>
      </c>
      <c r="D743" s="511">
        <v>2</v>
      </c>
      <c r="E743" s="511">
        <v>2</v>
      </c>
      <c r="F743" s="511">
        <v>2</v>
      </c>
      <c r="G743" s="511" t="s">
        <v>486</v>
      </c>
      <c r="H743" s="511">
        <v>1317.34</v>
      </c>
      <c r="I743" s="511">
        <v>0</v>
      </c>
      <c r="J743" s="511">
        <v>7</v>
      </c>
      <c r="K743" s="511">
        <v>0</v>
      </c>
      <c r="L743" s="511">
        <v>2</v>
      </c>
      <c r="M743" s="556" t="s">
        <v>137</v>
      </c>
      <c r="N743" s="513">
        <v>43013538590000</v>
      </c>
      <c r="O743" s="511" t="s">
        <v>1351</v>
      </c>
      <c r="P743" s="653" t="s">
        <v>1356</v>
      </c>
      <c r="Q743" s="564" t="s">
        <v>583</v>
      </c>
      <c r="R743" s="564">
        <v>1</v>
      </c>
    </row>
    <row r="744" spans="1:18" ht="15" customHeight="1" x14ac:dyDescent="0.25">
      <c r="A744" s="511">
        <v>8</v>
      </c>
      <c r="B744" s="511">
        <v>3</v>
      </c>
      <c r="C744" s="511">
        <v>2</v>
      </c>
      <c r="D744" s="511">
        <v>2</v>
      </c>
      <c r="E744" s="511">
        <v>2</v>
      </c>
      <c r="F744" s="511">
        <v>2</v>
      </c>
      <c r="G744" s="512" t="s">
        <v>488</v>
      </c>
      <c r="H744" s="511">
        <v>1317.34</v>
      </c>
      <c r="I744" s="511">
        <v>0</v>
      </c>
      <c r="J744" s="511">
        <v>7</v>
      </c>
      <c r="K744" s="511">
        <v>0</v>
      </c>
      <c r="L744" s="511">
        <v>2</v>
      </c>
      <c r="M744" s="556" t="s">
        <v>137</v>
      </c>
      <c r="N744" s="513">
        <v>43013538590000</v>
      </c>
      <c r="O744" s="511" t="s">
        <v>1351</v>
      </c>
      <c r="P744" s="653" t="s">
        <v>1357</v>
      </c>
      <c r="Q744" s="564" t="s">
        <v>583</v>
      </c>
      <c r="R744" s="564">
        <v>1</v>
      </c>
    </row>
    <row r="745" spans="1:18" ht="15" customHeight="1" x14ac:dyDescent="0.25">
      <c r="A745" s="511">
        <v>8</v>
      </c>
      <c r="B745" s="511">
        <v>3</v>
      </c>
      <c r="C745" s="511">
        <v>2</v>
      </c>
      <c r="D745" s="511">
        <v>2</v>
      </c>
      <c r="E745" s="511">
        <v>2</v>
      </c>
      <c r="F745" s="511">
        <v>2</v>
      </c>
      <c r="G745" s="511" t="s">
        <v>490</v>
      </c>
      <c r="H745" s="511">
        <v>1317.34</v>
      </c>
      <c r="I745" s="511">
        <v>0</v>
      </c>
      <c r="J745" s="511">
        <v>7</v>
      </c>
      <c r="K745" s="511">
        <v>0</v>
      </c>
      <c r="L745" s="511">
        <v>2</v>
      </c>
      <c r="M745" s="556" t="s">
        <v>137</v>
      </c>
      <c r="N745" s="513">
        <v>43013538590000</v>
      </c>
      <c r="O745" s="511" t="s">
        <v>1351</v>
      </c>
      <c r="P745" s="653" t="s">
        <v>1358</v>
      </c>
      <c r="Q745" s="564" t="s">
        <v>583</v>
      </c>
      <c r="R745" s="564">
        <v>1</v>
      </c>
    </row>
    <row r="746" spans="1:18" ht="15" customHeight="1" x14ac:dyDescent="0.25">
      <c r="A746" s="511">
        <v>8</v>
      </c>
      <c r="B746" s="511">
        <v>3</v>
      </c>
      <c r="C746" s="511">
        <v>2</v>
      </c>
      <c r="D746" s="511">
        <v>2</v>
      </c>
      <c r="E746" s="511">
        <v>2</v>
      </c>
      <c r="F746" s="511">
        <v>2</v>
      </c>
      <c r="G746" s="511" t="s">
        <v>493</v>
      </c>
      <c r="H746" s="511">
        <v>1317.34</v>
      </c>
      <c r="I746" s="511">
        <v>0</v>
      </c>
      <c r="J746" s="511">
        <v>13</v>
      </c>
      <c r="K746" s="511">
        <v>6</v>
      </c>
      <c r="L746" s="511">
        <v>1</v>
      </c>
      <c r="M746" s="556" t="s">
        <v>137</v>
      </c>
      <c r="N746" s="513">
        <v>43013538590000</v>
      </c>
      <c r="O746" s="511" t="s">
        <v>1351</v>
      </c>
      <c r="P746" s="653" t="s">
        <v>1359</v>
      </c>
      <c r="Q746" s="564" t="s">
        <v>583</v>
      </c>
      <c r="R746" s="564">
        <v>1</v>
      </c>
    </row>
    <row r="747" spans="1:18" ht="15" customHeight="1" x14ac:dyDescent="0.25">
      <c r="A747" s="511">
        <v>8</v>
      </c>
      <c r="B747" s="511">
        <v>3</v>
      </c>
      <c r="C747" s="511">
        <v>2</v>
      </c>
      <c r="D747" s="511">
        <v>2</v>
      </c>
      <c r="E747" s="511">
        <v>2</v>
      </c>
      <c r="F747" s="511">
        <v>2</v>
      </c>
      <c r="G747" s="511" t="s">
        <v>474</v>
      </c>
      <c r="H747" s="511">
        <v>1324.95</v>
      </c>
      <c r="I747" s="511">
        <v>89</v>
      </c>
      <c r="J747" s="511">
        <v>34</v>
      </c>
      <c r="K747" s="511">
        <v>0</v>
      </c>
      <c r="L747" s="511">
        <v>2</v>
      </c>
      <c r="M747" s="556" t="s">
        <v>137</v>
      </c>
      <c r="N747" s="513">
        <v>43013538590000</v>
      </c>
      <c r="O747" s="511" t="s">
        <v>1351</v>
      </c>
      <c r="P747" s="653" t="s">
        <v>1360</v>
      </c>
      <c r="Q747" s="564" t="s">
        <v>583</v>
      </c>
      <c r="R747" s="564">
        <v>1</v>
      </c>
    </row>
    <row r="748" spans="1:18" ht="15" customHeight="1" x14ac:dyDescent="0.25">
      <c r="A748" s="511">
        <v>8</v>
      </c>
      <c r="B748" s="511">
        <v>3</v>
      </c>
      <c r="C748" s="511">
        <v>2</v>
      </c>
      <c r="D748" s="511">
        <v>2</v>
      </c>
      <c r="E748" s="511">
        <v>2</v>
      </c>
      <c r="F748" s="511">
        <v>2</v>
      </c>
      <c r="G748" s="512" t="s">
        <v>477</v>
      </c>
      <c r="H748" s="511">
        <v>1324.95</v>
      </c>
      <c r="I748" s="511">
        <v>89</v>
      </c>
      <c r="J748" s="511">
        <v>34</v>
      </c>
      <c r="K748" s="511">
        <v>0</v>
      </c>
      <c r="L748" s="511">
        <v>2</v>
      </c>
      <c r="M748" s="556" t="s">
        <v>137</v>
      </c>
      <c r="N748" s="513">
        <v>43013538590000</v>
      </c>
      <c r="O748" s="511" t="s">
        <v>1351</v>
      </c>
      <c r="P748" s="653" t="s">
        <v>1361</v>
      </c>
      <c r="Q748" s="564" t="s">
        <v>583</v>
      </c>
      <c r="R748" s="564">
        <v>1</v>
      </c>
    </row>
    <row r="749" spans="1:18" ht="15" customHeight="1" x14ac:dyDescent="0.25">
      <c r="A749" s="511">
        <v>8</v>
      </c>
      <c r="B749" s="511">
        <v>3</v>
      </c>
      <c r="C749" s="511">
        <v>2</v>
      </c>
      <c r="D749" s="511">
        <v>2</v>
      </c>
      <c r="E749" s="511">
        <v>2</v>
      </c>
      <c r="F749" s="511">
        <v>2</v>
      </c>
      <c r="G749" s="511" t="s">
        <v>479</v>
      </c>
      <c r="H749" s="511">
        <v>1324.95</v>
      </c>
      <c r="I749" s="511">
        <v>89</v>
      </c>
      <c r="J749" s="511">
        <v>34</v>
      </c>
      <c r="K749" s="511">
        <v>0</v>
      </c>
      <c r="L749" s="511">
        <v>2</v>
      </c>
      <c r="M749" s="556" t="s">
        <v>137</v>
      </c>
      <c r="N749" s="513">
        <v>43013538590000</v>
      </c>
      <c r="O749" s="511" t="s">
        <v>1351</v>
      </c>
      <c r="P749" s="653" t="s">
        <v>1362</v>
      </c>
      <c r="Q749" s="564" t="s">
        <v>583</v>
      </c>
      <c r="R749" s="564">
        <v>1</v>
      </c>
    </row>
    <row r="750" spans="1:18" ht="15" customHeight="1" x14ac:dyDescent="0.25">
      <c r="A750" s="511">
        <v>8</v>
      </c>
      <c r="B750" s="511">
        <v>3</v>
      </c>
      <c r="C750" s="511">
        <v>2</v>
      </c>
      <c r="D750" s="511">
        <v>2</v>
      </c>
      <c r="E750" s="511">
        <v>2</v>
      </c>
      <c r="F750" s="511">
        <v>2</v>
      </c>
      <c r="G750" s="511" t="s">
        <v>485</v>
      </c>
      <c r="H750" s="511">
        <v>1324.95</v>
      </c>
      <c r="I750" s="511">
        <v>89</v>
      </c>
      <c r="J750" s="511">
        <v>34</v>
      </c>
      <c r="K750" s="511">
        <v>0</v>
      </c>
      <c r="L750" s="511">
        <v>2</v>
      </c>
      <c r="M750" s="556" t="s">
        <v>137</v>
      </c>
      <c r="N750" s="513">
        <v>43013538590000</v>
      </c>
      <c r="O750" s="511" t="s">
        <v>1351</v>
      </c>
      <c r="P750" s="653" t="s">
        <v>1363</v>
      </c>
      <c r="Q750" s="564" t="s">
        <v>583</v>
      </c>
      <c r="R750" s="564">
        <v>1</v>
      </c>
    </row>
    <row r="751" spans="1:18" ht="15" customHeight="1" x14ac:dyDescent="0.25">
      <c r="A751" s="511">
        <v>8</v>
      </c>
      <c r="B751" s="511">
        <v>3</v>
      </c>
      <c r="C751" s="511">
        <v>2</v>
      </c>
      <c r="D751" s="511">
        <v>2</v>
      </c>
      <c r="E751" s="511">
        <v>2</v>
      </c>
      <c r="F751" s="511">
        <v>2</v>
      </c>
      <c r="G751" s="511" t="s">
        <v>487</v>
      </c>
      <c r="H751" s="511">
        <v>1326.3575000000001</v>
      </c>
      <c r="I751" s="511">
        <v>88</v>
      </c>
      <c r="J751" s="511">
        <v>40</v>
      </c>
      <c r="K751" s="511">
        <v>47</v>
      </c>
      <c r="L751" s="511">
        <v>3</v>
      </c>
      <c r="M751" s="556" t="s">
        <v>137</v>
      </c>
      <c r="N751" s="513">
        <v>43013538590000</v>
      </c>
      <c r="O751" s="511" t="s">
        <v>1351</v>
      </c>
      <c r="P751" s="653" t="s">
        <v>1364</v>
      </c>
      <c r="Q751" s="564" t="s">
        <v>583</v>
      </c>
      <c r="R751" s="564">
        <v>1</v>
      </c>
    </row>
    <row r="752" spans="1:18" ht="15" customHeight="1" x14ac:dyDescent="0.25">
      <c r="A752" s="553">
        <v>8</v>
      </c>
      <c r="B752" s="553">
        <v>3</v>
      </c>
      <c r="C752" s="553">
        <v>2</v>
      </c>
      <c r="D752" s="553">
        <v>2</v>
      </c>
      <c r="E752" s="553">
        <v>2</v>
      </c>
      <c r="F752" s="553">
        <v>2</v>
      </c>
      <c r="G752" s="502" t="s">
        <v>489</v>
      </c>
      <c r="H752" s="553">
        <v>1326.3575000000001</v>
      </c>
      <c r="I752" s="553">
        <v>88</v>
      </c>
      <c r="J752" s="553">
        <v>40</v>
      </c>
      <c r="K752" s="553">
        <v>47</v>
      </c>
      <c r="L752" s="553">
        <v>3</v>
      </c>
      <c r="M752" s="505" t="s">
        <v>137</v>
      </c>
      <c r="N752" s="500">
        <v>43013538590000</v>
      </c>
      <c r="O752" s="553" t="s">
        <v>1351</v>
      </c>
      <c r="P752" s="650" t="s">
        <v>1365</v>
      </c>
      <c r="Q752" s="564" t="s">
        <v>583</v>
      </c>
      <c r="R752" s="564">
        <v>1</v>
      </c>
    </row>
    <row r="753" spans="1:18" ht="15" customHeight="1" x14ac:dyDescent="0.25">
      <c r="A753" s="553">
        <v>8</v>
      </c>
      <c r="B753" s="553">
        <v>3</v>
      </c>
      <c r="C753" s="553">
        <v>2</v>
      </c>
      <c r="D753" s="553">
        <v>2</v>
      </c>
      <c r="E753" s="553">
        <v>2</v>
      </c>
      <c r="F753" s="553">
        <v>2</v>
      </c>
      <c r="G753" s="553" t="s">
        <v>491</v>
      </c>
      <c r="H753" s="553">
        <v>1326.3575000000001</v>
      </c>
      <c r="I753" s="553">
        <v>88</v>
      </c>
      <c r="J753" s="553">
        <v>40</v>
      </c>
      <c r="K753" s="553">
        <v>47</v>
      </c>
      <c r="L753" s="553">
        <v>3</v>
      </c>
      <c r="M753" s="505" t="s">
        <v>137</v>
      </c>
      <c r="N753" s="500">
        <v>43013538590000</v>
      </c>
      <c r="O753" s="553" t="s">
        <v>1351</v>
      </c>
      <c r="P753" s="650" t="s">
        <v>1366</v>
      </c>
      <c r="Q753" s="564" t="s">
        <v>583</v>
      </c>
      <c r="R753" s="564">
        <v>1</v>
      </c>
    </row>
    <row r="754" spans="1:18" ht="15" customHeight="1" x14ac:dyDescent="0.25">
      <c r="A754" s="553">
        <v>8</v>
      </c>
      <c r="B754" s="553">
        <v>3</v>
      </c>
      <c r="C754" s="553">
        <v>2</v>
      </c>
      <c r="D754" s="553">
        <v>2</v>
      </c>
      <c r="E754" s="553">
        <v>2</v>
      </c>
      <c r="F754" s="553">
        <v>2</v>
      </c>
      <c r="G754" s="553" t="s">
        <v>494</v>
      </c>
      <c r="H754" s="553">
        <v>1326.3575000000001</v>
      </c>
      <c r="I754" s="553">
        <v>88</v>
      </c>
      <c r="J754" s="553">
        <v>40</v>
      </c>
      <c r="K754" s="553">
        <v>47</v>
      </c>
      <c r="L754" s="553">
        <v>3</v>
      </c>
      <c r="M754" s="505" t="s">
        <v>137</v>
      </c>
      <c r="N754" s="500">
        <v>43013538590000</v>
      </c>
      <c r="O754" s="553" t="s">
        <v>1351</v>
      </c>
      <c r="P754" s="650" t="s">
        <v>1367</v>
      </c>
      <c r="Q754" s="564" t="s">
        <v>583</v>
      </c>
      <c r="R754" s="564">
        <v>1</v>
      </c>
    </row>
    <row r="755" spans="1:18" ht="15" customHeight="1" x14ac:dyDescent="0.25">
      <c r="A755" s="564">
        <v>8</v>
      </c>
      <c r="B755" s="564">
        <v>4</v>
      </c>
      <c r="C755" s="564">
        <v>2</v>
      </c>
      <c r="D755" s="564">
        <v>2</v>
      </c>
      <c r="E755" s="564">
        <v>1</v>
      </c>
      <c r="F755" s="564">
        <v>2</v>
      </c>
      <c r="G755" s="564" t="s">
        <v>473</v>
      </c>
      <c r="H755" s="564">
        <v>1321.07</v>
      </c>
      <c r="I755" s="564">
        <v>0</v>
      </c>
      <c r="J755" s="564">
        <v>6</v>
      </c>
      <c r="K755" s="564">
        <v>55</v>
      </c>
      <c r="L755" s="564">
        <v>4</v>
      </c>
      <c r="M755" s="561" t="s">
        <v>137</v>
      </c>
      <c r="N755" s="651">
        <v>4304756510</v>
      </c>
      <c r="O755" s="564" t="s">
        <v>1368</v>
      </c>
      <c r="P755" s="564" t="s">
        <v>1369</v>
      </c>
      <c r="Q755" s="564"/>
      <c r="R755" s="564">
        <v>2</v>
      </c>
    </row>
    <row r="756" spans="1:18" ht="15" customHeight="1" x14ac:dyDescent="0.25">
      <c r="A756" s="564">
        <v>8</v>
      </c>
      <c r="B756" s="564">
        <v>4</v>
      </c>
      <c r="C756" s="564">
        <v>2</v>
      </c>
      <c r="D756" s="564">
        <v>2</v>
      </c>
      <c r="E756" s="564">
        <v>1</v>
      </c>
      <c r="F756" s="564">
        <v>2</v>
      </c>
      <c r="G756" s="521" t="s">
        <v>476</v>
      </c>
      <c r="H756" s="564">
        <v>1320.84</v>
      </c>
      <c r="I756" s="564">
        <v>0</v>
      </c>
      <c r="J756" s="564">
        <v>49</v>
      </c>
      <c r="K756" s="564">
        <v>44</v>
      </c>
      <c r="L756" s="564">
        <v>4</v>
      </c>
      <c r="M756" s="561" t="s">
        <v>137</v>
      </c>
      <c r="N756" s="651">
        <v>4304756510</v>
      </c>
      <c r="O756" s="564" t="s">
        <v>1368</v>
      </c>
      <c r="P756" s="564" t="s">
        <v>1370</v>
      </c>
      <c r="Q756" s="564"/>
      <c r="R756" s="564">
        <v>2</v>
      </c>
    </row>
    <row r="757" spans="1:18" ht="15" customHeight="1" x14ac:dyDescent="0.25">
      <c r="A757" s="564">
        <v>8</v>
      </c>
      <c r="B757" s="564">
        <v>4</v>
      </c>
      <c r="C757" s="564">
        <v>2</v>
      </c>
      <c r="D757" s="564">
        <v>2</v>
      </c>
      <c r="E757" s="564">
        <v>1</v>
      </c>
      <c r="F757" s="564">
        <v>2</v>
      </c>
      <c r="G757" s="564" t="s">
        <v>478</v>
      </c>
      <c r="H757" s="564">
        <v>1321.66</v>
      </c>
      <c r="I757" s="564">
        <v>0</v>
      </c>
      <c r="J757" s="564">
        <v>3</v>
      </c>
      <c r="K757" s="564">
        <v>12</v>
      </c>
      <c r="L757" s="564">
        <v>4</v>
      </c>
      <c r="M757" s="561" t="s">
        <v>137</v>
      </c>
      <c r="N757" s="651">
        <v>4304756510</v>
      </c>
      <c r="O757" s="564" t="s">
        <v>1368</v>
      </c>
      <c r="P757" s="564" t="s">
        <v>1371</v>
      </c>
      <c r="Q757" s="564"/>
      <c r="R757" s="564">
        <v>2</v>
      </c>
    </row>
    <row r="758" spans="1:18" ht="15" customHeight="1" x14ac:dyDescent="0.25">
      <c r="A758" s="564">
        <v>8</v>
      </c>
      <c r="B758" s="564">
        <v>4</v>
      </c>
      <c r="C758" s="564">
        <v>2</v>
      </c>
      <c r="D758" s="564">
        <v>2</v>
      </c>
      <c r="E758" s="564">
        <v>1</v>
      </c>
      <c r="F758" s="564">
        <v>2</v>
      </c>
      <c r="G758" s="564" t="s">
        <v>484</v>
      </c>
      <c r="H758" s="564">
        <v>1320.96</v>
      </c>
      <c r="I758" s="564">
        <v>0</v>
      </c>
      <c r="J758" s="564">
        <v>4</v>
      </c>
      <c r="K758" s="564">
        <v>19</v>
      </c>
      <c r="L758" s="564">
        <v>2</v>
      </c>
      <c r="M758" s="561" t="s">
        <v>137</v>
      </c>
      <c r="N758" s="651">
        <v>4304756510</v>
      </c>
      <c r="O758" s="564" t="s">
        <v>1368</v>
      </c>
      <c r="P758" s="564" t="s">
        <v>1372</v>
      </c>
      <c r="Q758" s="564"/>
      <c r="R758" s="564">
        <v>2</v>
      </c>
    </row>
    <row r="759" spans="1:18" ht="15" customHeight="1" x14ac:dyDescent="0.25">
      <c r="A759" s="564">
        <v>8</v>
      </c>
      <c r="B759" s="564">
        <v>4</v>
      </c>
      <c r="C759" s="564">
        <v>2</v>
      </c>
      <c r="D759" s="564">
        <v>2</v>
      </c>
      <c r="E759" s="564">
        <v>1</v>
      </c>
      <c r="F759" s="564">
        <v>2</v>
      </c>
      <c r="G759" s="564" t="s">
        <v>486</v>
      </c>
      <c r="H759" s="564">
        <v>1321.86</v>
      </c>
      <c r="I759" s="564">
        <v>0</v>
      </c>
      <c r="J759" s="564">
        <v>16</v>
      </c>
      <c r="K759" s="564">
        <v>14</v>
      </c>
      <c r="L759" s="564">
        <v>2</v>
      </c>
      <c r="M759" s="561" t="s">
        <v>137</v>
      </c>
      <c r="N759" s="651">
        <v>4304756510</v>
      </c>
      <c r="O759" s="564" t="s">
        <v>1368</v>
      </c>
      <c r="P759" s="564" t="s">
        <v>1373</v>
      </c>
      <c r="Q759" s="564"/>
      <c r="R759" s="564">
        <v>2</v>
      </c>
    </row>
    <row r="760" spans="1:18" ht="15" customHeight="1" x14ac:dyDescent="0.25">
      <c r="A760" s="564">
        <v>8</v>
      </c>
      <c r="B760" s="564">
        <v>4</v>
      </c>
      <c r="C760" s="564">
        <v>2</v>
      </c>
      <c r="D760" s="564">
        <v>2</v>
      </c>
      <c r="E760" s="564">
        <v>1</v>
      </c>
      <c r="F760" s="564">
        <v>2</v>
      </c>
      <c r="G760" s="521" t="s">
        <v>488</v>
      </c>
      <c r="H760" s="564">
        <v>1317.13</v>
      </c>
      <c r="I760" s="564">
        <v>0</v>
      </c>
      <c r="J760" s="564">
        <v>6</v>
      </c>
      <c r="K760" s="564">
        <v>57</v>
      </c>
      <c r="L760" s="564">
        <v>4</v>
      </c>
      <c r="M760" s="561" t="s">
        <v>137</v>
      </c>
      <c r="N760" s="651">
        <v>4304756510</v>
      </c>
      <c r="O760" s="564" t="s">
        <v>1368</v>
      </c>
      <c r="P760" s="564" t="s">
        <v>1374</v>
      </c>
      <c r="Q760" s="564"/>
      <c r="R760" s="564">
        <v>2</v>
      </c>
    </row>
    <row r="761" spans="1:18" ht="15" customHeight="1" x14ac:dyDescent="0.25">
      <c r="A761" s="564">
        <v>8</v>
      </c>
      <c r="B761" s="564">
        <v>4</v>
      </c>
      <c r="C761" s="564">
        <v>2</v>
      </c>
      <c r="D761" s="564">
        <v>2</v>
      </c>
      <c r="E761" s="564">
        <v>1</v>
      </c>
      <c r="F761" s="564">
        <v>2</v>
      </c>
      <c r="G761" s="564" t="s">
        <v>490</v>
      </c>
      <c r="H761" s="564">
        <v>1317.27</v>
      </c>
      <c r="I761" s="564">
        <v>0</v>
      </c>
      <c r="J761" s="564">
        <v>6</v>
      </c>
      <c r="K761" s="564">
        <v>52</v>
      </c>
      <c r="L761" s="564">
        <v>4</v>
      </c>
      <c r="M761" s="561" t="s">
        <v>137</v>
      </c>
      <c r="N761" s="651">
        <v>4304756510</v>
      </c>
      <c r="O761" s="564" t="s">
        <v>1368</v>
      </c>
      <c r="P761" s="564" t="s">
        <v>1375</v>
      </c>
      <c r="Q761" s="564"/>
      <c r="R761" s="564">
        <v>2</v>
      </c>
    </row>
    <row r="762" spans="1:18" ht="15" customHeight="1" x14ac:dyDescent="0.25">
      <c r="A762" s="564">
        <v>8</v>
      </c>
      <c r="B762" s="564">
        <v>4</v>
      </c>
      <c r="C762" s="564">
        <v>2</v>
      </c>
      <c r="D762" s="564">
        <v>2</v>
      </c>
      <c r="E762" s="564">
        <v>1</v>
      </c>
      <c r="F762" s="564">
        <v>2</v>
      </c>
      <c r="G762" s="564" t="s">
        <v>493</v>
      </c>
      <c r="H762" s="564">
        <v>1320.31</v>
      </c>
      <c r="I762" s="564">
        <v>0</v>
      </c>
      <c r="J762" s="564">
        <v>32</v>
      </c>
      <c r="K762" s="564">
        <v>18</v>
      </c>
      <c r="L762" s="564">
        <v>2</v>
      </c>
      <c r="M762" s="561" t="s">
        <v>137</v>
      </c>
      <c r="N762" s="651">
        <v>4304756510</v>
      </c>
      <c r="O762" s="564" t="s">
        <v>1368</v>
      </c>
      <c r="P762" s="564" t="s">
        <v>1376</v>
      </c>
      <c r="Q762" s="564"/>
      <c r="R762" s="564">
        <v>2</v>
      </c>
    </row>
    <row r="763" spans="1:18" ht="15" customHeight="1" x14ac:dyDescent="0.25">
      <c r="A763" s="564">
        <v>8</v>
      </c>
      <c r="B763" s="564">
        <v>4</v>
      </c>
      <c r="C763" s="564">
        <v>2</v>
      </c>
      <c r="D763" s="564">
        <v>2</v>
      </c>
      <c r="E763" s="564">
        <v>1</v>
      </c>
      <c r="F763" s="564">
        <v>2</v>
      </c>
      <c r="G763" s="564" t="s">
        <v>474</v>
      </c>
      <c r="H763" s="564">
        <v>1332.06</v>
      </c>
      <c r="I763" s="564">
        <v>89</v>
      </c>
      <c r="J763" s="564">
        <v>56</v>
      </c>
      <c r="K763" s="564">
        <v>12</v>
      </c>
      <c r="L763" s="564">
        <v>1</v>
      </c>
      <c r="M763" s="561" t="s">
        <v>137</v>
      </c>
      <c r="N763" s="651">
        <v>4304756510</v>
      </c>
      <c r="O763" s="564" t="s">
        <v>1368</v>
      </c>
      <c r="P763" s="564" t="s">
        <v>1377</v>
      </c>
      <c r="Q763" s="564"/>
      <c r="R763" s="564">
        <v>2</v>
      </c>
    </row>
    <row r="764" spans="1:18" ht="15" customHeight="1" x14ac:dyDescent="0.25">
      <c r="A764" s="564">
        <v>8</v>
      </c>
      <c r="B764" s="564">
        <v>4</v>
      </c>
      <c r="C764" s="564">
        <v>2</v>
      </c>
      <c r="D764" s="564">
        <v>2</v>
      </c>
      <c r="E764" s="564">
        <v>1</v>
      </c>
      <c r="F764" s="564">
        <v>2</v>
      </c>
      <c r="G764" s="521" t="s">
        <v>477</v>
      </c>
      <c r="H764" s="564">
        <v>1329.38</v>
      </c>
      <c r="I764" s="564">
        <v>89</v>
      </c>
      <c r="J764" s="564">
        <v>41</v>
      </c>
      <c r="K764" s="564">
        <v>58</v>
      </c>
      <c r="L764" s="564">
        <v>2</v>
      </c>
      <c r="M764" s="561" t="s">
        <v>137</v>
      </c>
      <c r="N764" s="651">
        <v>4304756510</v>
      </c>
      <c r="O764" s="564" t="s">
        <v>1368</v>
      </c>
      <c r="P764" s="564" t="s">
        <v>1378</v>
      </c>
      <c r="Q764" s="564"/>
      <c r="R764" s="564">
        <v>2</v>
      </c>
    </row>
    <row r="765" spans="1:18" ht="15" customHeight="1" x14ac:dyDescent="0.25">
      <c r="A765" s="564">
        <v>8</v>
      </c>
      <c r="B765" s="564">
        <v>4</v>
      </c>
      <c r="C765" s="564">
        <v>2</v>
      </c>
      <c r="D765" s="564">
        <v>2</v>
      </c>
      <c r="E765" s="564">
        <v>1</v>
      </c>
      <c r="F765" s="564">
        <v>2</v>
      </c>
      <c r="G765" s="564" t="s">
        <v>479</v>
      </c>
      <c r="H765" s="564">
        <v>1335.54</v>
      </c>
      <c r="I765" s="564">
        <v>89</v>
      </c>
      <c r="J765" s="564">
        <v>57</v>
      </c>
      <c r="K765" s="564">
        <v>45</v>
      </c>
      <c r="L765" s="564">
        <v>1</v>
      </c>
      <c r="M765" s="561" t="s">
        <v>137</v>
      </c>
      <c r="N765" s="651">
        <v>4304756510</v>
      </c>
      <c r="O765" s="564" t="s">
        <v>1368</v>
      </c>
      <c r="P765" s="564" t="s">
        <v>1379</v>
      </c>
      <c r="Q765" s="564"/>
      <c r="R765" s="564">
        <v>2</v>
      </c>
    </row>
    <row r="766" spans="1:18" ht="15" customHeight="1" x14ac:dyDescent="0.25">
      <c r="A766" s="564">
        <v>8</v>
      </c>
      <c r="B766" s="564">
        <v>4</v>
      </c>
      <c r="C766" s="564">
        <v>2</v>
      </c>
      <c r="D766" s="564">
        <v>2</v>
      </c>
      <c r="E766" s="564">
        <v>1</v>
      </c>
      <c r="F766" s="564">
        <v>2</v>
      </c>
      <c r="G766" s="564" t="s">
        <v>485</v>
      </c>
      <c r="H766" s="564">
        <v>1319.82</v>
      </c>
      <c r="I766" s="564">
        <v>89</v>
      </c>
      <c r="J766" s="564">
        <v>11</v>
      </c>
      <c r="K766" s="564">
        <v>7</v>
      </c>
      <c r="L766" s="564">
        <v>2</v>
      </c>
      <c r="M766" s="561" t="s">
        <v>137</v>
      </c>
      <c r="N766" s="651">
        <v>4304756510</v>
      </c>
      <c r="O766" s="564" t="s">
        <v>1368</v>
      </c>
      <c r="P766" s="564" t="s">
        <v>1380</v>
      </c>
      <c r="Q766" s="564"/>
      <c r="R766" s="564">
        <v>2</v>
      </c>
    </row>
    <row r="767" spans="1:18" ht="15" customHeight="1" x14ac:dyDescent="0.25">
      <c r="A767" s="564">
        <v>8</v>
      </c>
      <c r="B767" s="564">
        <v>4</v>
      </c>
      <c r="C767" s="564">
        <v>2</v>
      </c>
      <c r="D767" s="564">
        <v>2</v>
      </c>
      <c r="E767" s="564">
        <v>1</v>
      </c>
      <c r="F767" s="564">
        <v>2</v>
      </c>
      <c r="G767" s="564" t="s">
        <v>487</v>
      </c>
      <c r="H767" s="564">
        <v>1322.17</v>
      </c>
      <c r="I767" s="564">
        <v>89</v>
      </c>
      <c r="J767" s="564">
        <v>45</v>
      </c>
      <c r="K767" s="564">
        <v>39</v>
      </c>
      <c r="L767" s="564">
        <v>3</v>
      </c>
      <c r="M767" s="561" t="s">
        <v>137</v>
      </c>
      <c r="N767" s="651">
        <v>4304756510</v>
      </c>
      <c r="O767" s="564" t="s">
        <v>1368</v>
      </c>
      <c r="P767" s="564" t="s">
        <v>1381</v>
      </c>
      <c r="Q767" s="564"/>
      <c r="R767" s="564">
        <v>2</v>
      </c>
    </row>
    <row r="768" spans="1:18" ht="15" customHeight="1" x14ac:dyDescent="0.25">
      <c r="A768" s="564">
        <v>8</v>
      </c>
      <c r="B768" s="564">
        <v>4</v>
      </c>
      <c r="C768" s="564">
        <v>2</v>
      </c>
      <c r="D768" s="564">
        <v>2</v>
      </c>
      <c r="E768" s="564">
        <v>1</v>
      </c>
      <c r="F768" s="564">
        <v>2</v>
      </c>
      <c r="G768" s="521" t="s">
        <v>489</v>
      </c>
      <c r="H768" s="564">
        <v>1312.69</v>
      </c>
      <c r="I768" s="564">
        <v>89</v>
      </c>
      <c r="J768" s="564">
        <v>53</v>
      </c>
      <c r="K768" s="564">
        <v>43</v>
      </c>
      <c r="L768" s="564">
        <v>3</v>
      </c>
      <c r="M768" s="561" t="s">
        <v>137</v>
      </c>
      <c r="N768" s="651">
        <v>4304756510</v>
      </c>
      <c r="O768" s="564" t="s">
        <v>1368</v>
      </c>
      <c r="P768" s="564" t="s">
        <v>1382</v>
      </c>
      <c r="Q768" s="564"/>
      <c r="R768" s="564">
        <v>2</v>
      </c>
    </row>
    <row r="769" spans="1:18" ht="15" customHeight="1" x14ac:dyDescent="0.25">
      <c r="A769" s="564">
        <v>8</v>
      </c>
      <c r="B769" s="564">
        <v>4</v>
      </c>
      <c r="C769" s="564">
        <v>2</v>
      </c>
      <c r="D769" s="564">
        <v>2</v>
      </c>
      <c r="E769" s="564">
        <v>1</v>
      </c>
      <c r="F769" s="564">
        <v>2</v>
      </c>
      <c r="G769" s="564" t="s">
        <v>491</v>
      </c>
      <c r="H769" s="564">
        <v>1323.62</v>
      </c>
      <c r="I769" s="564">
        <v>89</v>
      </c>
      <c r="J769" s="564">
        <v>28</v>
      </c>
      <c r="K769" s="564">
        <v>37</v>
      </c>
      <c r="L769" s="564">
        <v>3</v>
      </c>
      <c r="M769" s="561" t="s">
        <v>137</v>
      </c>
      <c r="N769" s="651">
        <v>4304756510</v>
      </c>
      <c r="O769" s="564" t="s">
        <v>1368</v>
      </c>
      <c r="P769" s="564" t="s">
        <v>1383</v>
      </c>
      <c r="Q769" s="564"/>
      <c r="R769" s="564">
        <v>2</v>
      </c>
    </row>
    <row r="770" spans="1:18" ht="15" customHeight="1" x14ac:dyDescent="0.25">
      <c r="A770" s="564">
        <v>8</v>
      </c>
      <c r="B770" s="564">
        <v>4</v>
      </c>
      <c r="C770" s="564">
        <v>2</v>
      </c>
      <c r="D770" s="564">
        <v>2</v>
      </c>
      <c r="E770" s="564">
        <v>1</v>
      </c>
      <c r="F770" s="564">
        <v>2</v>
      </c>
      <c r="G770" s="564" t="s">
        <v>494</v>
      </c>
      <c r="H770" s="564">
        <v>1323.62</v>
      </c>
      <c r="I770" s="564">
        <v>89</v>
      </c>
      <c r="J770" s="564">
        <v>28</v>
      </c>
      <c r="K770" s="564">
        <v>37</v>
      </c>
      <c r="L770" s="564">
        <v>3</v>
      </c>
      <c r="M770" s="561" t="s">
        <v>137</v>
      </c>
      <c r="N770" s="651">
        <v>4304756510</v>
      </c>
      <c r="O770" s="564" t="s">
        <v>1368</v>
      </c>
      <c r="P770" s="564" t="s">
        <v>1384</v>
      </c>
      <c r="Q770" s="564"/>
      <c r="R770" s="564">
        <v>2</v>
      </c>
    </row>
    <row r="771" spans="1:18" s="484" customFormat="1" ht="15" customHeight="1" x14ac:dyDescent="0.25">
      <c r="A771" s="553">
        <v>9</v>
      </c>
      <c r="B771" s="553">
        <v>2</v>
      </c>
      <c r="C771" s="553">
        <v>2</v>
      </c>
      <c r="D771" s="553">
        <v>2</v>
      </c>
      <c r="E771" s="553">
        <v>2</v>
      </c>
      <c r="F771" s="553">
        <v>2</v>
      </c>
      <c r="G771" s="553" t="s">
        <v>473</v>
      </c>
      <c r="H771" s="553">
        <v>1298.615</v>
      </c>
      <c r="I771" s="553">
        <v>0</v>
      </c>
      <c r="J771" s="553">
        <v>49</v>
      </c>
      <c r="K771" s="553">
        <v>31</v>
      </c>
      <c r="L771" s="553">
        <v>2</v>
      </c>
      <c r="M771" s="505" t="s">
        <v>137</v>
      </c>
      <c r="N771" s="500">
        <v>43013539130000</v>
      </c>
      <c r="O771" s="553" t="s">
        <v>852</v>
      </c>
      <c r="P771" s="650" t="s">
        <v>1385</v>
      </c>
      <c r="Q771" s="564" t="s">
        <v>583</v>
      </c>
      <c r="R771" s="564">
        <v>1</v>
      </c>
    </row>
    <row r="772" spans="1:18" s="484" customFormat="1" ht="15" customHeight="1" x14ac:dyDescent="0.25">
      <c r="A772" s="553">
        <v>9</v>
      </c>
      <c r="B772" s="553">
        <v>2</v>
      </c>
      <c r="C772" s="553">
        <v>2</v>
      </c>
      <c r="D772" s="553">
        <v>2</v>
      </c>
      <c r="E772" s="553">
        <v>2</v>
      </c>
      <c r="F772" s="553">
        <v>2</v>
      </c>
      <c r="G772" s="502" t="s">
        <v>476</v>
      </c>
      <c r="H772" s="553">
        <v>1298.615</v>
      </c>
      <c r="I772" s="553">
        <v>0</v>
      </c>
      <c r="J772" s="553">
        <v>49</v>
      </c>
      <c r="K772" s="553">
        <v>31</v>
      </c>
      <c r="L772" s="553">
        <v>2</v>
      </c>
      <c r="M772" s="505" t="s">
        <v>137</v>
      </c>
      <c r="N772" s="500">
        <v>43013539130000</v>
      </c>
      <c r="O772" s="553" t="s">
        <v>852</v>
      </c>
      <c r="P772" s="650" t="s">
        <v>1386</v>
      </c>
      <c r="Q772" s="564" t="s">
        <v>583</v>
      </c>
      <c r="R772" s="564">
        <v>1</v>
      </c>
    </row>
    <row r="773" spans="1:18" s="484" customFormat="1" ht="15" customHeight="1" x14ac:dyDescent="0.25">
      <c r="A773" s="553">
        <v>9</v>
      </c>
      <c r="B773" s="553">
        <v>2</v>
      </c>
      <c r="C773" s="553">
        <v>2</v>
      </c>
      <c r="D773" s="553">
        <v>2</v>
      </c>
      <c r="E773" s="553">
        <v>2</v>
      </c>
      <c r="F773" s="553">
        <v>2</v>
      </c>
      <c r="G773" s="553" t="s">
        <v>478</v>
      </c>
      <c r="H773" s="553">
        <v>1325.4</v>
      </c>
      <c r="I773" s="553">
        <v>0</v>
      </c>
      <c r="J773" s="553">
        <v>43</v>
      </c>
      <c r="K773" s="553">
        <v>30</v>
      </c>
      <c r="L773" s="553">
        <v>4</v>
      </c>
      <c r="M773" s="505" t="s">
        <v>137</v>
      </c>
      <c r="N773" s="500">
        <v>43013539130000</v>
      </c>
      <c r="O773" s="553" t="s">
        <v>852</v>
      </c>
      <c r="P773" s="650" t="s">
        <v>1387</v>
      </c>
      <c r="Q773" s="564" t="s">
        <v>583</v>
      </c>
      <c r="R773" s="564">
        <v>1</v>
      </c>
    </row>
    <row r="774" spans="1:18" s="484" customFormat="1" ht="15" customHeight="1" x14ac:dyDescent="0.25">
      <c r="A774" s="553">
        <v>9</v>
      </c>
      <c r="B774" s="553">
        <v>2</v>
      </c>
      <c r="C774" s="553">
        <v>2</v>
      </c>
      <c r="D774" s="553">
        <v>2</v>
      </c>
      <c r="E774" s="553">
        <v>2</v>
      </c>
      <c r="F774" s="553">
        <v>2</v>
      </c>
      <c r="G774" s="553" t="s">
        <v>484</v>
      </c>
      <c r="H774" s="553">
        <v>1325.4</v>
      </c>
      <c r="I774" s="553">
        <v>0</v>
      </c>
      <c r="J774" s="553">
        <v>43</v>
      </c>
      <c r="K774" s="553">
        <v>30</v>
      </c>
      <c r="L774" s="553">
        <v>4</v>
      </c>
      <c r="M774" s="505" t="s">
        <v>137</v>
      </c>
      <c r="N774" s="500">
        <v>43013539130000</v>
      </c>
      <c r="O774" s="553" t="s">
        <v>852</v>
      </c>
      <c r="P774" s="650" t="s">
        <v>1388</v>
      </c>
      <c r="Q774" s="564" t="s">
        <v>583</v>
      </c>
      <c r="R774" s="564">
        <v>1</v>
      </c>
    </row>
    <row r="775" spans="1:18" s="484" customFormat="1" ht="15" customHeight="1" x14ac:dyDescent="0.25">
      <c r="A775" s="553">
        <v>9</v>
      </c>
      <c r="B775" s="553">
        <v>2</v>
      </c>
      <c r="C775" s="553">
        <v>2</v>
      </c>
      <c r="D775" s="553">
        <v>2</v>
      </c>
      <c r="E775" s="553">
        <v>2</v>
      </c>
      <c r="F775" s="553">
        <v>2</v>
      </c>
      <c r="G775" s="553" t="s">
        <v>486</v>
      </c>
      <c r="H775" s="553">
        <v>1323.085</v>
      </c>
      <c r="I775" s="553">
        <v>0</v>
      </c>
      <c r="J775" s="553">
        <v>0</v>
      </c>
      <c r="K775" s="553">
        <v>56</v>
      </c>
      <c r="L775" s="553">
        <v>4</v>
      </c>
      <c r="M775" s="505" t="s">
        <v>137</v>
      </c>
      <c r="N775" s="500">
        <v>43013539130000</v>
      </c>
      <c r="O775" s="553" t="s">
        <v>852</v>
      </c>
      <c r="P775" s="650" t="s">
        <v>1389</v>
      </c>
      <c r="Q775" s="564" t="s">
        <v>583</v>
      </c>
      <c r="R775" s="564">
        <v>1</v>
      </c>
    </row>
    <row r="776" spans="1:18" s="484" customFormat="1" ht="15" customHeight="1" x14ac:dyDescent="0.25">
      <c r="A776" s="553">
        <v>9</v>
      </c>
      <c r="B776" s="553">
        <v>2</v>
      </c>
      <c r="C776" s="553">
        <v>2</v>
      </c>
      <c r="D776" s="553">
        <v>2</v>
      </c>
      <c r="E776" s="553">
        <v>2</v>
      </c>
      <c r="F776" s="553">
        <v>2</v>
      </c>
      <c r="G776" s="502" t="s">
        <v>488</v>
      </c>
      <c r="H776" s="553">
        <v>1323.085</v>
      </c>
      <c r="I776" s="553">
        <v>0</v>
      </c>
      <c r="J776" s="553">
        <v>0</v>
      </c>
      <c r="K776" s="553">
        <v>56</v>
      </c>
      <c r="L776" s="553">
        <v>4</v>
      </c>
      <c r="M776" s="505" t="s">
        <v>137</v>
      </c>
      <c r="N776" s="500">
        <v>43013539130000</v>
      </c>
      <c r="O776" s="553" t="s">
        <v>852</v>
      </c>
      <c r="P776" s="650" t="s">
        <v>1390</v>
      </c>
      <c r="Q776" s="564" t="s">
        <v>583</v>
      </c>
      <c r="R776" s="564">
        <v>1</v>
      </c>
    </row>
    <row r="777" spans="1:18" s="484" customFormat="1" ht="15" customHeight="1" x14ac:dyDescent="0.25">
      <c r="A777" s="553">
        <v>9</v>
      </c>
      <c r="B777" s="553">
        <v>2</v>
      </c>
      <c r="C777" s="553">
        <v>2</v>
      </c>
      <c r="D777" s="553">
        <v>2</v>
      </c>
      <c r="E777" s="553">
        <v>2</v>
      </c>
      <c r="F777" s="553">
        <v>2</v>
      </c>
      <c r="G777" s="553" t="s">
        <v>490</v>
      </c>
      <c r="H777" s="553">
        <v>1318.2850000000001</v>
      </c>
      <c r="I777" s="553">
        <v>0</v>
      </c>
      <c r="J777" s="553">
        <v>4</v>
      </c>
      <c r="K777" s="553">
        <v>44</v>
      </c>
      <c r="L777" s="553">
        <v>4</v>
      </c>
      <c r="M777" s="505" t="s">
        <v>137</v>
      </c>
      <c r="N777" s="500">
        <v>43013539130000</v>
      </c>
      <c r="O777" s="553" t="s">
        <v>852</v>
      </c>
      <c r="P777" s="650" t="s">
        <v>1391</v>
      </c>
      <c r="Q777" s="564" t="s">
        <v>583</v>
      </c>
      <c r="R777" s="564">
        <v>1</v>
      </c>
    </row>
    <row r="778" spans="1:18" s="484" customFormat="1" ht="15" customHeight="1" x14ac:dyDescent="0.25">
      <c r="A778" s="553">
        <v>9</v>
      </c>
      <c r="B778" s="553">
        <v>2</v>
      </c>
      <c r="C778" s="553">
        <v>2</v>
      </c>
      <c r="D778" s="553">
        <v>2</v>
      </c>
      <c r="E778" s="553">
        <v>2</v>
      </c>
      <c r="F778" s="553">
        <v>2</v>
      </c>
      <c r="G778" s="553" t="s">
        <v>493</v>
      </c>
      <c r="H778" s="553">
        <v>1318.2850000000001</v>
      </c>
      <c r="I778" s="553">
        <v>0</v>
      </c>
      <c r="J778" s="553">
        <v>4</v>
      </c>
      <c r="K778" s="553">
        <v>44</v>
      </c>
      <c r="L778" s="553">
        <v>4</v>
      </c>
      <c r="M778" s="505" t="s">
        <v>137</v>
      </c>
      <c r="N778" s="500">
        <v>43013539130000</v>
      </c>
      <c r="O778" s="553" t="s">
        <v>852</v>
      </c>
      <c r="P778" s="650" t="s">
        <v>1392</v>
      </c>
      <c r="Q778" s="564" t="s">
        <v>583</v>
      </c>
      <c r="R778" s="564">
        <v>1</v>
      </c>
    </row>
    <row r="779" spans="1:18" s="484" customFormat="1" ht="15" customHeight="1" x14ac:dyDescent="0.25">
      <c r="A779" s="553">
        <v>9</v>
      </c>
      <c r="B779" s="553">
        <v>2</v>
      </c>
      <c r="C779" s="553">
        <v>2</v>
      </c>
      <c r="D779" s="553">
        <v>2</v>
      </c>
      <c r="E779" s="553">
        <v>2</v>
      </c>
      <c r="F779" s="553">
        <v>2</v>
      </c>
      <c r="G779" s="553" t="s">
        <v>474</v>
      </c>
      <c r="H779" s="553">
        <v>1318.5150000000001</v>
      </c>
      <c r="I779" s="553">
        <v>89</v>
      </c>
      <c r="J779" s="553">
        <v>22</v>
      </c>
      <c r="K779" s="553">
        <v>18</v>
      </c>
      <c r="L779" s="553">
        <v>3</v>
      </c>
      <c r="M779" s="505" t="s">
        <v>137</v>
      </c>
      <c r="N779" s="500">
        <v>43013539130000</v>
      </c>
      <c r="O779" s="553" t="s">
        <v>852</v>
      </c>
      <c r="P779" s="650" t="s">
        <v>1393</v>
      </c>
      <c r="Q779" s="564" t="s">
        <v>583</v>
      </c>
      <c r="R779" s="564">
        <v>1</v>
      </c>
    </row>
    <row r="780" spans="1:18" s="484" customFormat="1" ht="15" customHeight="1" x14ac:dyDescent="0.25">
      <c r="A780" s="553">
        <v>9</v>
      </c>
      <c r="B780" s="553">
        <v>2</v>
      </c>
      <c r="C780" s="553">
        <v>2</v>
      </c>
      <c r="D780" s="553">
        <v>2</v>
      </c>
      <c r="E780" s="553">
        <v>2</v>
      </c>
      <c r="F780" s="553">
        <v>2</v>
      </c>
      <c r="G780" s="502" t="s">
        <v>477</v>
      </c>
      <c r="H780" s="553">
        <v>1318.5150000000001</v>
      </c>
      <c r="I780" s="553">
        <v>89</v>
      </c>
      <c r="J780" s="553">
        <v>22</v>
      </c>
      <c r="K780" s="553">
        <v>18</v>
      </c>
      <c r="L780" s="553">
        <v>3</v>
      </c>
      <c r="M780" s="505" t="s">
        <v>137</v>
      </c>
      <c r="N780" s="500">
        <v>43013539130000</v>
      </c>
      <c r="O780" s="553" t="s">
        <v>852</v>
      </c>
      <c r="P780" s="650" t="s">
        <v>1394</v>
      </c>
      <c r="Q780" s="564" t="s">
        <v>583</v>
      </c>
      <c r="R780" s="564">
        <v>1</v>
      </c>
    </row>
    <row r="781" spans="1:18" s="484" customFormat="1" ht="15" customHeight="1" x14ac:dyDescent="0.25">
      <c r="A781" s="553">
        <v>9</v>
      </c>
      <c r="B781" s="553">
        <v>2</v>
      </c>
      <c r="C781" s="553">
        <v>2</v>
      </c>
      <c r="D781" s="553">
        <v>2</v>
      </c>
      <c r="E781" s="553">
        <v>2</v>
      </c>
      <c r="F781" s="553">
        <v>2</v>
      </c>
      <c r="G781" s="553" t="s">
        <v>479</v>
      </c>
      <c r="H781" s="553">
        <v>1318.4749999999999</v>
      </c>
      <c r="I781" s="553">
        <v>89</v>
      </c>
      <c r="J781" s="553">
        <v>22</v>
      </c>
      <c r="K781" s="553">
        <v>11</v>
      </c>
      <c r="L781" s="553">
        <v>3</v>
      </c>
      <c r="M781" s="505" t="s">
        <v>137</v>
      </c>
      <c r="N781" s="500">
        <v>43013539130000</v>
      </c>
      <c r="O781" s="553" t="s">
        <v>852</v>
      </c>
      <c r="P781" s="650" t="s">
        <v>1395</v>
      </c>
      <c r="Q781" s="564" t="s">
        <v>583</v>
      </c>
      <c r="R781" s="564">
        <v>1</v>
      </c>
    </row>
    <row r="782" spans="1:18" s="484" customFormat="1" ht="15" customHeight="1" x14ac:dyDescent="0.25">
      <c r="A782" s="553">
        <v>9</v>
      </c>
      <c r="B782" s="553">
        <v>2</v>
      </c>
      <c r="C782" s="553">
        <v>2</v>
      </c>
      <c r="D782" s="553">
        <v>2</v>
      </c>
      <c r="E782" s="553">
        <v>2</v>
      </c>
      <c r="F782" s="553">
        <v>2</v>
      </c>
      <c r="G782" s="553" t="s">
        <v>485</v>
      </c>
      <c r="H782" s="553">
        <v>1318.4749999999999</v>
      </c>
      <c r="I782" s="553">
        <v>89</v>
      </c>
      <c r="J782" s="553">
        <v>22</v>
      </c>
      <c r="K782" s="553">
        <v>11</v>
      </c>
      <c r="L782" s="553">
        <v>3</v>
      </c>
      <c r="M782" s="505" t="s">
        <v>137</v>
      </c>
      <c r="N782" s="500">
        <v>43013539130000</v>
      </c>
      <c r="O782" s="553" t="s">
        <v>852</v>
      </c>
      <c r="P782" s="650" t="s">
        <v>1396</v>
      </c>
      <c r="Q782" s="564" t="s">
        <v>583</v>
      </c>
      <c r="R782" s="564">
        <v>1</v>
      </c>
    </row>
    <row r="783" spans="1:18" s="484" customFormat="1" ht="15" customHeight="1" x14ac:dyDescent="0.25">
      <c r="A783" s="553">
        <v>9</v>
      </c>
      <c r="B783" s="553">
        <v>2</v>
      </c>
      <c r="C783" s="553">
        <v>2</v>
      </c>
      <c r="D783" s="553">
        <v>2</v>
      </c>
      <c r="E783" s="553">
        <v>2</v>
      </c>
      <c r="F783" s="553">
        <v>2</v>
      </c>
      <c r="G783" s="553" t="s">
        <v>487</v>
      </c>
      <c r="H783" s="553">
        <v>1320.47</v>
      </c>
      <c r="I783" s="553">
        <v>89</v>
      </c>
      <c r="J783" s="553">
        <v>49</v>
      </c>
      <c r="K783" s="553">
        <v>41</v>
      </c>
      <c r="L783" s="553">
        <v>3</v>
      </c>
      <c r="M783" s="505" t="s">
        <v>137</v>
      </c>
      <c r="N783" s="500">
        <v>43013539130000</v>
      </c>
      <c r="O783" s="553" t="s">
        <v>852</v>
      </c>
      <c r="P783" s="650" t="s">
        <v>1397</v>
      </c>
      <c r="Q783" s="564" t="s">
        <v>583</v>
      </c>
      <c r="R783" s="564">
        <v>1</v>
      </c>
    </row>
    <row r="784" spans="1:18" s="484" customFormat="1" ht="15" customHeight="1" x14ac:dyDescent="0.25">
      <c r="A784" s="553">
        <v>9</v>
      </c>
      <c r="B784" s="553">
        <v>2</v>
      </c>
      <c r="C784" s="553">
        <v>2</v>
      </c>
      <c r="D784" s="553">
        <v>2</v>
      </c>
      <c r="E784" s="553">
        <v>2</v>
      </c>
      <c r="F784" s="553">
        <v>2</v>
      </c>
      <c r="G784" s="502" t="s">
        <v>489</v>
      </c>
      <c r="H784" s="553">
        <v>1320.47</v>
      </c>
      <c r="I784" s="553">
        <v>89</v>
      </c>
      <c r="J784" s="553">
        <v>49</v>
      </c>
      <c r="K784" s="553">
        <v>41</v>
      </c>
      <c r="L784" s="553">
        <v>3</v>
      </c>
      <c r="M784" s="505" t="s">
        <v>137</v>
      </c>
      <c r="N784" s="500">
        <v>43013539130000</v>
      </c>
      <c r="O784" s="553" t="s">
        <v>852</v>
      </c>
      <c r="P784" s="650" t="s">
        <v>1398</v>
      </c>
      <c r="Q784" s="564" t="s">
        <v>583</v>
      </c>
      <c r="R784" s="564">
        <v>1</v>
      </c>
    </row>
    <row r="785" spans="1:18" s="484" customFormat="1" ht="15" customHeight="1" x14ac:dyDescent="0.25">
      <c r="A785" s="553">
        <v>9</v>
      </c>
      <c r="B785" s="553">
        <v>2</v>
      </c>
      <c r="C785" s="553">
        <v>2</v>
      </c>
      <c r="D785" s="553">
        <v>2</v>
      </c>
      <c r="E785" s="553">
        <v>2</v>
      </c>
      <c r="F785" s="553">
        <v>2</v>
      </c>
      <c r="G785" s="553" t="s">
        <v>491</v>
      </c>
      <c r="H785" s="553">
        <v>1320.4949999999999</v>
      </c>
      <c r="I785" s="553">
        <v>89</v>
      </c>
      <c r="J785" s="553">
        <v>40</v>
      </c>
      <c r="K785" s="553">
        <v>43</v>
      </c>
      <c r="L785" s="553">
        <v>3</v>
      </c>
      <c r="M785" s="505" t="s">
        <v>137</v>
      </c>
      <c r="N785" s="500">
        <v>43013539130000</v>
      </c>
      <c r="O785" s="553" t="s">
        <v>852</v>
      </c>
      <c r="P785" s="650" t="s">
        <v>1399</v>
      </c>
      <c r="Q785" s="564" t="s">
        <v>583</v>
      </c>
      <c r="R785" s="564">
        <v>1</v>
      </c>
    </row>
    <row r="786" spans="1:18" s="484" customFormat="1" ht="15" customHeight="1" x14ac:dyDescent="0.25">
      <c r="A786" s="553">
        <v>9</v>
      </c>
      <c r="B786" s="553">
        <v>2</v>
      </c>
      <c r="C786" s="553">
        <v>2</v>
      </c>
      <c r="D786" s="553">
        <v>2</v>
      </c>
      <c r="E786" s="553">
        <v>2</v>
      </c>
      <c r="F786" s="553">
        <v>2</v>
      </c>
      <c r="G786" s="553" t="s">
        <v>494</v>
      </c>
      <c r="H786" s="553">
        <v>1320.4949999999999</v>
      </c>
      <c r="I786" s="553">
        <v>89</v>
      </c>
      <c r="J786" s="553">
        <v>40</v>
      </c>
      <c r="K786" s="553">
        <v>43</v>
      </c>
      <c r="L786" s="553">
        <v>3</v>
      </c>
      <c r="M786" s="505" t="s">
        <v>137</v>
      </c>
      <c r="N786" s="500">
        <v>43013539130000</v>
      </c>
      <c r="O786" s="553" t="s">
        <v>852</v>
      </c>
      <c r="P786" s="650" t="s">
        <v>1400</v>
      </c>
      <c r="Q786" s="564" t="s">
        <v>583</v>
      </c>
      <c r="R786" s="564">
        <v>1</v>
      </c>
    </row>
    <row r="787" spans="1:18" ht="15" customHeight="1" x14ac:dyDescent="0.25">
      <c r="A787" s="553">
        <v>9</v>
      </c>
      <c r="B787" s="553">
        <v>2</v>
      </c>
      <c r="C787" s="553">
        <v>2</v>
      </c>
      <c r="D787" s="553">
        <v>3</v>
      </c>
      <c r="E787" s="553">
        <v>2</v>
      </c>
      <c r="F787" s="553">
        <v>2</v>
      </c>
      <c r="G787" s="553" t="s">
        <v>473</v>
      </c>
      <c r="H787" s="553">
        <v>1309.355</v>
      </c>
      <c r="I787" s="553">
        <v>0</v>
      </c>
      <c r="J787" s="553">
        <v>23</v>
      </c>
      <c r="K787" s="553">
        <v>17</v>
      </c>
      <c r="L787" s="553">
        <v>2</v>
      </c>
      <c r="M787" s="505" t="s">
        <v>137</v>
      </c>
      <c r="N787" s="500">
        <v>43013538120000</v>
      </c>
      <c r="O787" s="553" t="s">
        <v>1401</v>
      </c>
      <c r="P787" s="650" t="s">
        <v>1402</v>
      </c>
      <c r="Q787" s="564" t="s">
        <v>583</v>
      </c>
      <c r="R787" s="564">
        <v>2</v>
      </c>
    </row>
    <row r="788" spans="1:18" ht="15" customHeight="1" x14ac:dyDescent="0.25">
      <c r="A788" s="553">
        <v>9</v>
      </c>
      <c r="B788" s="553">
        <v>2</v>
      </c>
      <c r="C788" s="553">
        <v>2</v>
      </c>
      <c r="D788" s="553">
        <v>3</v>
      </c>
      <c r="E788" s="553">
        <v>2</v>
      </c>
      <c r="F788" s="553">
        <v>2</v>
      </c>
      <c r="G788" s="502" t="s">
        <v>476</v>
      </c>
      <c r="H788" s="553">
        <v>1309.355</v>
      </c>
      <c r="I788" s="553">
        <v>0</v>
      </c>
      <c r="J788" s="553">
        <v>23</v>
      </c>
      <c r="K788" s="553">
        <v>17</v>
      </c>
      <c r="L788" s="553">
        <v>2</v>
      </c>
      <c r="M788" s="505" t="s">
        <v>137</v>
      </c>
      <c r="N788" s="500">
        <v>43013538120000</v>
      </c>
      <c r="O788" s="553" t="s">
        <v>1401</v>
      </c>
      <c r="P788" s="650" t="s">
        <v>1403</v>
      </c>
      <c r="Q788" s="564" t="s">
        <v>583</v>
      </c>
      <c r="R788" s="564">
        <v>2</v>
      </c>
    </row>
    <row r="789" spans="1:18" ht="15" customHeight="1" x14ac:dyDescent="0.25">
      <c r="A789" s="553">
        <v>9</v>
      </c>
      <c r="B789" s="553">
        <v>2</v>
      </c>
      <c r="C789" s="553">
        <v>2</v>
      </c>
      <c r="D789" s="553">
        <v>3</v>
      </c>
      <c r="E789" s="553">
        <v>2</v>
      </c>
      <c r="F789" s="553">
        <v>2</v>
      </c>
      <c r="G789" s="553" t="s">
        <v>478</v>
      </c>
      <c r="H789" s="553">
        <v>1316.095</v>
      </c>
      <c r="I789" s="553">
        <v>0</v>
      </c>
      <c r="J789" s="553">
        <v>10</v>
      </c>
      <c r="K789" s="553">
        <v>47</v>
      </c>
      <c r="L789" s="553">
        <v>2</v>
      </c>
      <c r="M789" s="505" t="s">
        <v>137</v>
      </c>
      <c r="N789" s="500">
        <v>43013538120000</v>
      </c>
      <c r="O789" s="553" t="s">
        <v>1401</v>
      </c>
      <c r="P789" s="650" t="s">
        <v>1404</v>
      </c>
      <c r="Q789" s="564" t="s">
        <v>583</v>
      </c>
      <c r="R789" s="564">
        <v>2</v>
      </c>
    </row>
    <row r="790" spans="1:18" ht="15" customHeight="1" x14ac:dyDescent="0.25">
      <c r="A790" s="553">
        <v>9</v>
      </c>
      <c r="B790" s="553">
        <v>2</v>
      </c>
      <c r="C790" s="553">
        <v>2</v>
      </c>
      <c r="D790" s="553">
        <v>3</v>
      </c>
      <c r="E790" s="553">
        <v>2</v>
      </c>
      <c r="F790" s="553">
        <v>2</v>
      </c>
      <c r="G790" s="553" t="s">
        <v>484</v>
      </c>
      <c r="H790" s="553">
        <v>1316.095</v>
      </c>
      <c r="I790" s="553">
        <v>0</v>
      </c>
      <c r="J790" s="553">
        <v>10</v>
      </c>
      <c r="K790" s="553">
        <v>47</v>
      </c>
      <c r="L790" s="553">
        <v>2</v>
      </c>
      <c r="M790" s="505" t="s">
        <v>137</v>
      </c>
      <c r="N790" s="500">
        <v>43013538120000</v>
      </c>
      <c r="O790" s="553" t="s">
        <v>1401</v>
      </c>
      <c r="P790" s="650" t="s">
        <v>1405</v>
      </c>
      <c r="Q790" s="564" t="s">
        <v>583</v>
      </c>
      <c r="R790" s="564">
        <v>2</v>
      </c>
    </row>
    <row r="791" spans="1:18" ht="15" customHeight="1" x14ac:dyDescent="0.25">
      <c r="A791" s="553">
        <v>9</v>
      </c>
      <c r="B791" s="553">
        <v>2</v>
      </c>
      <c r="C791" s="553">
        <v>2</v>
      </c>
      <c r="D791" s="553">
        <v>3</v>
      </c>
      <c r="E791" s="553">
        <v>2</v>
      </c>
      <c r="F791" s="553">
        <v>2</v>
      </c>
      <c r="G791" s="553" t="s">
        <v>486</v>
      </c>
      <c r="H791" s="553">
        <v>1312.7</v>
      </c>
      <c r="I791" s="553">
        <v>0</v>
      </c>
      <c r="J791" s="553">
        <v>36</v>
      </c>
      <c r="K791" s="553">
        <v>29</v>
      </c>
      <c r="L791" s="553">
        <v>2</v>
      </c>
      <c r="M791" s="505" t="s">
        <v>137</v>
      </c>
      <c r="N791" s="500">
        <v>43013538120000</v>
      </c>
      <c r="O791" s="553" t="s">
        <v>1401</v>
      </c>
      <c r="P791" s="650" t="s">
        <v>1406</v>
      </c>
      <c r="Q791" s="564" t="s">
        <v>583</v>
      </c>
      <c r="R791" s="564">
        <v>2</v>
      </c>
    </row>
    <row r="792" spans="1:18" ht="15" customHeight="1" x14ac:dyDescent="0.25">
      <c r="A792" s="553">
        <v>9</v>
      </c>
      <c r="B792" s="553">
        <v>2</v>
      </c>
      <c r="C792" s="553">
        <v>2</v>
      </c>
      <c r="D792" s="553">
        <v>3</v>
      </c>
      <c r="E792" s="553">
        <v>2</v>
      </c>
      <c r="F792" s="553">
        <v>2</v>
      </c>
      <c r="G792" s="502" t="s">
        <v>488</v>
      </c>
      <c r="H792" s="553">
        <v>1318.36</v>
      </c>
      <c r="I792" s="553">
        <v>0</v>
      </c>
      <c r="J792" s="553">
        <v>19</v>
      </c>
      <c r="K792" s="553">
        <v>37</v>
      </c>
      <c r="L792" s="553">
        <v>2</v>
      </c>
      <c r="M792" s="505" t="s">
        <v>137</v>
      </c>
      <c r="N792" s="500">
        <v>43013538120000</v>
      </c>
      <c r="O792" s="553" t="s">
        <v>1401</v>
      </c>
      <c r="P792" s="650" t="s">
        <v>1407</v>
      </c>
      <c r="Q792" s="564" t="s">
        <v>583</v>
      </c>
      <c r="R792" s="564">
        <v>2</v>
      </c>
    </row>
    <row r="793" spans="1:18" ht="15" customHeight="1" x14ac:dyDescent="0.25">
      <c r="A793" s="553">
        <v>9</v>
      </c>
      <c r="B793" s="553">
        <v>2</v>
      </c>
      <c r="C793" s="553">
        <v>2</v>
      </c>
      <c r="D793" s="553">
        <v>3</v>
      </c>
      <c r="E793" s="553">
        <v>2</v>
      </c>
      <c r="F793" s="553">
        <v>2</v>
      </c>
      <c r="G793" s="553" t="s">
        <v>490</v>
      </c>
      <c r="H793" s="553">
        <v>1314.1949999999999</v>
      </c>
      <c r="I793" s="553">
        <v>0</v>
      </c>
      <c r="J793" s="553">
        <v>12</v>
      </c>
      <c r="K793" s="553">
        <v>23</v>
      </c>
      <c r="L793" s="553">
        <v>2</v>
      </c>
      <c r="M793" s="505" t="s">
        <v>137</v>
      </c>
      <c r="N793" s="500">
        <v>43013538120000</v>
      </c>
      <c r="O793" s="553" t="s">
        <v>1401</v>
      </c>
      <c r="P793" s="650" t="s">
        <v>1408</v>
      </c>
      <c r="Q793" s="564" t="s">
        <v>583</v>
      </c>
      <c r="R793" s="564">
        <v>2</v>
      </c>
    </row>
    <row r="794" spans="1:18" ht="15" customHeight="1" x14ac:dyDescent="0.25">
      <c r="A794" s="553">
        <v>9</v>
      </c>
      <c r="B794" s="553">
        <v>2</v>
      </c>
      <c r="C794" s="553">
        <v>2</v>
      </c>
      <c r="D794" s="553">
        <v>3</v>
      </c>
      <c r="E794" s="553">
        <v>2</v>
      </c>
      <c r="F794" s="553">
        <v>2</v>
      </c>
      <c r="G794" s="553" t="s">
        <v>493</v>
      </c>
      <c r="H794" s="553">
        <v>1314.1949999999999</v>
      </c>
      <c r="I794" s="553">
        <v>0</v>
      </c>
      <c r="J794" s="553">
        <v>12</v>
      </c>
      <c r="K794" s="553">
        <v>23</v>
      </c>
      <c r="L794" s="553">
        <v>2</v>
      </c>
      <c r="M794" s="505" t="s">
        <v>137</v>
      </c>
      <c r="N794" s="500">
        <v>43013538120000</v>
      </c>
      <c r="O794" s="553" t="s">
        <v>1401</v>
      </c>
      <c r="P794" s="650" t="s">
        <v>1409</v>
      </c>
      <c r="Q794" s="564" t="s">
        <v>583</v>
      </c>
      <c r="R794" s="564">
        <v>2</v>
      </c>
    </row>
    <row r="795" spans="1:18" ht="15" customHeight="1" x14ac:dyDescent="0.25">
      <c r="A795" s="553">
        <v>9</v>
      </c>
      <c r="B795" s="553">
        <v>2</v>
      </c>
      <c r="C795" s="553">
        <v>2</v>
      </c>
      <c r="D795" s="553">
        <v>3</v>
      </c>
      <c r="E795" s="553">
        <v>2</v>
      </c>
      <c r="F795" s="553">
        <v>2</v>
      </c>
      <c r="G795" s="553" t="s">
        <v>474</v>
      </c>
      <c r="H795" s="553">
        <v>1316.47</v>
      </c>
      <c r="I795" s="553">
        <v>89</v>
      </c>
      <c r="J795" s="553">
        <v>47</v>
      </c>
      <c r="K795" s="553">
        <v>11</v>
      </c>
      <c r="L795" s="553">
        <v>4</v>
      </c>
      <c r="M795" s="505" t="s">
        <v>137</v>
      </c>
      <c r="N795" s="500">
        <v>43013538120000</v>
      </c>
      <c r="O795" s="553" t="s">
        <v>1401</v>
      </c>
      <c r="P795" s="650" t="s">
        <v>1410</v>
      </c>
      <c r="Q795" s="564" t="s">
        <v>583</v>
      </c>
      <c r="R795" s="564">
        <v>2</v>
      </c>
    </row>
    <row r="796" spans="1:18" ht="15" customHeight="1" x14ac:dyDescent="0.25">
      <c r="A796" s="553">
        <v>9</v>
      </c>
      <c r="B796" s="553">
        <v>2</v>
      </c>
      <c r="C796" s="553">
        <v>2</v>
      </c>
      <c r="D796" s="553">
        <v>3</v>
      </c>
      <c r="E796" s="553">
        <v>2</v>
      </c>
      <c r="F796" s="553">
        <v>2</v>
      </c>
      <c r="G796" s="502" t="s">
        <v>477</v>
      </c>
      <c r="H796" s="553">
        <v>1316.47</v>
      </c>
      <c r="I796" s="553">
        <v>89</v>
      </c>
      <c r="J796" s="553">
        <v>47</v>
      </c>
      <c r="K796" s="553">
        <v>11</v>
      </c>
      <c r="L796" s="553">
        <v>4</v>
      </c>
      <c r="M796" s="505" t="s">
        <v>137</v>
      </c>
      <c r="N796" s="500">
        <v>43013538120000</v>
      </c>
      <c r="O796" s="553" t="s">
        <v>1401</v>
      </c>
      <c r="P796" s="650" t="s">
        <v>1411</v>
      </c>
      <c r="Q796" s="564" t="s">
        <v>583</v>
      </c>
      <c r="R796" s="564">
        <v>2</v>
      </c>
    </row>
    <row r="797" spans="1:18" ht="15" customHeight="1" x14ac:dyDescent="0.25">
      <c r="A797" s="553">
        <v>9</v>
      </c>
      <c r="B797" s="553">
        <v>2</v>
      </c>
      <c r="C797" s="553">
        <v>2</v>
      </c>
      <c r="D797" s="553">
        <v>3</v>
      </c>
      <c r="E797" s="553">
        <v>2</v>
      </c>
      <c r="F797" s="553">
        <v>2</v>
      </c>
      <c r="G797" s="553" t="s">
        <v>479</v>
      </c>
      <c r="H797" s="553">
        <v>1320.77</v>
      </c>
      <c r="I797" s="553">
        <v>89</v>
      </c>
      <c r="J797" s="553">
        <v>28</v>
      </c>
      <c r="K797" s="553">
        <v>39</v>
      </c>
      <c r="L797" s="553">
        <v>4</v>
      </c>
      <c r="M797" s="505" t="s">
        <v>137</v>
      </c>
      <c r="N797" s="500">
        <v>43013538120000</v>
      </c>
      <c r="O797" s="553" t="s">
        <v>1401</v>
      </c>
      <c r="P797" s="650" t="s">
        <v>1412</v>
      </c>
      <c r="Q797" s="564" t="s">
        <v>583</v>
      </c>
      <c r="R797" s="564">
        <v>2</v>
      </c>
    </row>
    <row r="798" spans="1:18" ht="15" customHeight="1" x14ac:dyDescent="0.25">
      <c r="A798" s="553">
        <v>9</v>
      </c>
      <c r="B798" s="553">
        <v>2</v>
      </c>
      <c r="C798" s="553">
        <v>2</v>
      </c>
      <c r="D798" s="553">
        <v>3</v>
      </c>
      <c r="E798" s="553">
        <v>2</v>
      </c>
      <c r="F798" s="553">
        <v>2</v>
      </c>
      <c r="G798" s="553" t="s">
        <v>485</v>
      </c>
      <c r="H798" s="553">
        <v>1324.24</v>
      </c>
      <c r="I798" s="553">
        <v>89</v>
      </c>
      <c r="J798" s="553">
        <v>25</v>
      </c>
      <c r="K798" s="553">
        <v>30</v>
      </c>
      <c r="L798" s="553">
        <v>4</v>
      </c>
      <c r="M798" s="505" t="s">
        <v>137</v>
      </c>
      <c r="N798" s="500">
        <v>43013538120000</v>
      </c>
      <c r="O798" s="553" t="s">
        <v>1401</v>
      </c>
      <c r="P798" s="650" t="s">
        <v>1413</v>
      </c>
      <c r="Q798" s="564" t="s">
        <v>583</v>
      </c>
      <c r="R798" s="564">
        <v>2</v>
      </c>
    </row>
    <row r="799" spans="1:18" ht="15" customHeight="1" x14ac:dyDescent="0.25">
      <c r="A799" s="553">
        <v>9</v>
      </c>
      <c r="B799" s="553">
        <v>2</v>
      </c>
      <c r="C799" s="553">
        <v>2</v>
      </c>
      <c r="D799" s="553">
        <v>3</v>
      </c>
      <c r="E799" s="553">
        <v>2</v>
      </c>
      <c r="F799" s="553">
        <v>2</v>
      </c>
      <c r="G799" s="553" t="s">
        <v>487</v>
      </c>
      <c r="H799" s="553">
        <v>1323.2625</v>
      </c>
      <c r="I799" s="553">
        <v>89</v>
      </c>
      <c r="J799" s="553">
        <v>31</v>
      </c>
      <c r="K799" s="553">
        <v>32</v>
      </c>
      <c r="L799" s="553">
        <v>4</v>
      </c>
      <c r="M799" s="505" t="s">
        <v>137</v>
      </c>
      <c r="N799" s="500">
        <v>43013538120000</v>
      </c>
      <c r="O799" s="553" t="s">
        <v>1401</v>
      </c>
      <c r="P799" s="650" t="s">
        <v>1414</v>
      </c>
      <c r="Q799" s="564" t="s">
        <v>583</v>
      </c>
      <c r="R799" s="564">
        <v>2</v>
      </c>
    </row>
    <row r="800" spans="1:18" ht="15" customHeight="1" x14ac:dyDescent="0.25">
      <c r="A800" s="553">
        <v>9</v>
      </c>
      <c r="B800" s="553">
        <v>2</v>
      </c>
      <c r="C800" s="553">
        <v>2</v>
      </c>
      <c r="D800" s="553">
        <v>3</v>
      </c>
      <c r="E800" s="553">
        <v>2</v>
      </c>
      <c r="F800" s="553">
        <v>2</v>
      </c>
      <c r="G800" s="502" t="s">
        <v>489</v>
      </c>
      <c r="H800" s="553">
        <v>1323.2625</v>
      </c>
      <c r="I800" s="553">
        <v>89</v>
      </c>
      <c r="J800" s="553">
        <v>31</v>
      </c>
      <c r="K800" s="553">
        <v>32</v>
      </c>
      <c r="L800" s="553">
        <v>4</v>
      </c>
      <c r="M800" s="505" t="s">
        <v>137</v>
      </c>
      <c r="N800" s="500">
        <v>43013538120000</v>
      </c>
      <c r="O800" s="553" t="s">
        <v>1401</v>
      </c>
      <c r="P800" s="650" t="s">
        <v>1415</v>
      </c>
      <c r="Q800" s="564" t="s">
        <v>583</v>
      </c>
      <c r="R800" s="564">
        <v>2</v>
      </c>
    </row>
    <row r="801" spans="1:18" ht="15" customHeight="1" x14ac:dyDescent="0.25">
      <c r="A801" s="553">
        <v>9</v>
      </c>
      <c r="B801" s="553">
        <v>2</v>
      </c>
      <c r="C801" s="553">
        <v>2</v>
      </c>
      <c r="D801" s="553">
        <v>3</v>
      </c>
      <c r="E801" s="553">
        <v>2</v>
      </c>
      <c r="F801" s="553">
        <v>2</v>
      </c>
      <c r="G801" s="553" t="s">
        <v>491</v>
      </c>
      <c r="H801" s="553">
        <v>1323.2625</v>
      </c>
      <c r="I801" s="553">
        <v>89</v>
      </c>
      <c r="J801" s="553">
        <v>31</v>
      </c>
      <c r="K801" s="553">
        <v>32</v>
      </c>
      <c r="L801" s="553">
        <v>4</v>
      </c>
      <c r="M801" s="505" t="s">
        <v>137</v>
      </c>
      <c r="N801" s="500">
        <v>43013538120000</v>
      </c>
      <c r="O801" s="553" t="s">
        <v>1401</v>
      </c>
      <c r="P801" s="650" t="s">
        <v>1416</v>
      </c>
      <c r="Q801" s="564" t="s">
        <v>583</v>
      </c>
      <c r="R801" s="564">
        <v>2</v>
      </c>
    </row>
    <row r="802" spans="1:18" ht="15" customHeight="1" x14ac:dyDescent="0.25">
      <c r="A802" s="553">
        <v>9</v>
      </c>
      <c r="B802" s="553">
        <v>2</v>
      </c>
      <c r="C802" s="553">
        <v>2</v>
      </c>
      <c r="D802" s="553">
        <v>3</v>
      </c>
      <c r="E802" s="553">
        <v>2</v>
      </c>
      <c r="F802" s="553">
        <v>2</v>
      </c>
      <c r="G802" s="553" t="s">
        <v>494</v>
      </c>
      <c r="H802" s="553">
        <v>1323.2625</v>
      </c>
      <c r="I802" s="553">
        <v>89</v>
      </c>
      <c r="J802" s="553">
        <v>31</v>
      </c>
      <c r="K802" s="553">
        <v>32</v>
      </c>
      <c r="L802" s="553">
        <v>4</v>
      </c>
      <c r="M802" s="505" t="s">
        <v>137</v>
      </c>
      <c r="N802" s="500">
        <v>43013538120000</v>
      </c>
      <c r="O802" s="553" t="s">
        <v>1401</v>
      </c>
      <c r="P802" s="650" t="s">
        <v>1417</v>
      </c>
      <c r="Q802" s="564" t="s">
        <v>583</v>
      </c>
      <c r="R802" s="564">
        <v>2</v>
      </c>
    </row>
    <row r="803" spans="1:18" ht="15" customHeight="1" x14ac:dyDescent="0.25">
      <c r="A803" s="553">
        <v>9</v>
      </c>
      <c r="B803" s="553">
        <v>3</v>
      </c>
      <c r="C803" s="553">
        <v>2</v>
      </c>
      <c r="D803" s="553">
        <v>2</v>
      </c>
      <c r="E803" s="553">
        <v>2</v>
      </c>
      <c r="F803" s="553">
        <v>2</v>
      </c>
      <c r="G803" s="553" t="s">
        <v>473</v>
      </c>
      <c r="H803" s="553">
        <v>1318.0650000000001</v>
      </c>
      <c r="I803" s="553">
        <v>0</v>
      </c>
      <c r="J803" s="553">
        <v>2</v>
      </c>
      <c r="K803" s="553">
        <v>45</v>
      </c>
      <c r="L803" s="553">
        <v>3</v>
      </c>
      <c r="M803" s="505" t="s">
        <v>312</v>
      </c>
      <c r="N803" s="500">
        <v>43013537010000</v>
      </c>
      <c r="O803" s="553" t="s">
        <v>1418</v>
      </c>
      <c r="P803" s="650" t="s">
        <v>1419</v>
      </c>
      <c r="Q803" s="564" t="s">
        <v>583</v>
      </c>
      <c r="R803" s="564">
        <v>1</v>
      </c>
    </row>
    <row r="804" spans="1:18" ht="15" customHeight="1" x14ac:dyDescent="0.25">
      <c r="A804" s="553">
        <v>9</v>
      </c>
      <c r="B804" s="553">
        <v>3</v>
      </c>
      <c r="C804" s="553">
        <v>2</v>
      </c>
      <c r="D804" s="553">
        <v>2</v>
      </c>
      <c r="E804" s="553">
        <v>2</v>
      </c>
      <c r="F804" s="553">
        <v>2</v>
      </c>
      <c r="G804" s="502" t="s">
        <v>476</v>
      </c>
      <c r="H804" s="553">
        <v>1318.0650000000001</v>
      </c>
      <c r="I804" s="553">
        <v>0</v>
      </c>
      <c r="J804" s="553">
        <v>2</v>
      </c>
      <c r="K804" s="553">
        <v>45</v>
      </c>
      <c r="L804" s="553">
        <v>3</v>
      </c>
      <c r="M804" s="505" t="s">
        <v>312</v>
      </c>
      <c r="N804" s="500">
        <v>43013537010000</v>
      </c>
      <c r="O804" s="553" t="s">
        <v>1418</v>
      </c>
      <c r="P804" s="650" t="s">
        <v>1420</v>
      </c>
      <c r="Q804" s="564" t="s">
        <v>583</v>
      </c>
      <c r="R804" s="564">
        <v>1</v>
      </c>
    </row>
    <row r="805" spans="1:18" ht="15" customHeight="1" x14ac:dyDescent="0.25">
      <c r="A805" s="553">
        <v>9</v>
      </c>
      <c r="B805" s="553">
        <v>3</v>
      </c>
      <c r="C805" s="553">
        <v>2</v>
      </c>
      <c r="D805" s="553">
        <v>2</v>
      </c>
      <c r="E805" s="553">
        <v>2</v>
      </c>
      <c r="F805" s="553">
        <v>2</v>
      </c>
      <c r="G805" s="553" t="s">
        <v>478</v>
      </c>
      <c r="H805" s="553">
        <v>1318.0650000000001</v>
      </c>
      <c r="I805" s="553">
        <v>0</v>
      </c>
      <c r="J805" s="553">
        <v>2</v>
      </c>
      <c r="K805" s="553">
        <v>45</v>
      </c>
      <c r="L805" s="553">
        <v>3</v>
      </c>
      <c r="M805" s="505" t="s">
        <v>312</v>
      </c>
      <c r="N805" s="500">
        <v>43013537010000</v>
      </c>
      <c r="O805" s="553" t="s">
        <v>1418</v>
      </c>
      <c r="P805" s="650" t="s">
        <v>1421</v>
      </c>
      <c r="Q805" s="564" t="s">
        <v>583</v>
      </c>
      <c r="R805" s="564">
        <v>1</v>
      </c>
    </row>
    <row r="806" spans="1:18" ht="15" customHeight="1" x14ac:dyDescent="0.25">
      <c r="A806" s="553">
        <v>9</v>
      </c>
      <c r="B806" s="553">
        <v>3</v>
      </c>
      <c r="C806" s="553">
        <v>2</v>
      </c>
      <c r="D806" s="553">
        <v>2</v>
      </c>
      <c r="E806" s="553">
        <v>2</v>
      </c>
      <c r="F806" s="553">
        <v>2</v>
      </c>
      <c r="G806" s="553" t="s">
        <v>484</v>
      </c>
      <c r="H806" s="553">
        <v>1318.0650000000001</v>
      </c>
      <c r="I806" s="553">
        <v>0</v>
      </c>
      <c r="J806" s="553">
        <v>2</v>
      </c>
      <c r="K806" s="553">
        <v>45</v>
      </c>
      <c r="L806" s="553">
        <v>3</v>
      </c>
      <c r="M806" s="505" t="s">
        <v>312</v>
      </c>
      <c r="N806" s="500">
        <v>43013537010000</v>
      </c>
      <c r="O806" s="553" t="s">
        <v>1418</v>
      </c>
      <c r="P806" s="650" t="s">
        <v>1422</v>
      </c>
      <c r="Q806" s="564" t="s">
        <v>583</v>
      </c>
      <c r="R806" s="564">
        <v>1</v>
      </c>
    </row>
    <row r="807" spans="1:18" ht="15" customHeight="1" x14ac:dyDescent="0.25">
      <c r="A807" s="553">
        <v>9</v>
      </c>
      <c r="B807" s="553">
        <v>3</v>
      </c>
      <c r="C807" s="553">
        <v>2</v>
      </c>
      <c r="D807" s="553">
        <v>2</v>
      </c>
      <c r="E807" s="553">
        <v>2</v>
      </c>
      <c r="F807" s="553">
        <v>2</v>
      </c>
      <c r="G807" s="553" t="s">
        <v>486</v>
      </c>
      <c r="H807" s="553">
        <v>1312.2766666666671</v>
      </c>
      <c r="I807" s="553">
        <v>0</v>
      </c>
      <c r="J807" s="553">
        <v>0</v>
      </c>
      <c r="K807" s="553">
        <v>39</v>
      </c>
      <c r="L807" s="553">
        <v>2</v>
      </c>
      <c r="M807" s="505" t="s">
        <v>312</v>
      </c>
      <c r="N807" s="500">
        <v>43013537010000</v>
      </c>
      <c r="O807" s="553" t="s">
        <v>1418</v>
      </c>
      <c r="P807" s="650" t="s">
        <v>1423</v>
      </c>
      <c r="Q807" s="564" t="s">
        <v>583</v>
      </c>
      <c r="R807" s="564">
        <v>1</v>
      </c>
    </row>
    <row r="808" spans="1:18" ht="15" customHeight="1" x14ac:dyDescent="0.25">
      <c r="A808" s="553">
        <v>9</v>
      </c>
      <c r="B808" s="553">
        <v>3</v>
      </c>
      <c r="C808" s="553">
        <v>2</v>
      </c>
      <c r="D808" s="553">
        <v>2</v>
      </c>
      <c r="E808" s="553">
        <v>2</v>
      </c>
      <c r="F808" s="553">
        <v>2</v>
      </c>
      <c r="G808" s="502" t="s">
        <v>488</v>
      </c>
      <c r="H808" s="553">
        <v>1312.2766666666671</v>
      </c>
      <c r="I808" s="553">
        <v>0</v>
      </c>
      <c r="J808" s="553">
        <v>0</v>
      </c>
      <c r="K808" s="553">
        <v>39</v>
      </c>
      <c r="L808" s="553">
        <v>2</v>
      </c>
      <c r="M808" s="505" t="s">
        <v>312</v>
      </c>
      <c r="N808" s="500">
        <v>43013537010000</v>
      </c>
      <c r="O808" s="553" t="s">
        <v>1418</v>
      </c>
      <c r="P808" s="650" t="s">
        <v>1424</v>
      </c>
      <c r="Q808" s="564" t="s">
        <v>583</v>
      </c>
      <c r="R808" s="564">
        <v>1</v>
      </c>
    </row>
    <row r="809" spans="1:18" ht="15" customHeight="1" x14ac:dyDescent="0.25">
      <c r="A809" s="553">
        <v>9</v>
      </c>
      <c r="B809" s="553">
        <v>3</v>
      </c>
      <c r="C809" s="553">
        <v>2</v>
      </c>
      <c r="D809" s="553">
        <v>2</v>
      </c>
      <c r="E809" s="553">
        <v>2</v>
      </c>
      <c r="F809" s="553">
        <v>2</v>
      </c>
      <c r="G809" s="553" t="s">
        <v>490</v>
      </c>
      <c r="H809" s="553">
        <v>1312.2766666666671</v>
      </c>
      <c r="I809" s="553">
        <v>0</v>
      </c>
      <c r="J809" s="553">
        <v>0</v>
      </c>
      <c r="K809" s="553">
        <v>39</v>
      </c>
      <c r="L809" s="553">
        <v>2</v>
      </c>
      <c r="M809" s="505" t="s">
        <v>312</v>
      </c>
      <c r="N809" s="500">
        <v>43013537010000</v>
      </c>
      <c r="O809" s="553" t="s">
        <v>1418</v>
      </c>
      <c r="P809" s="650" t="s">
        <v>1425</v>
      </c>
      <c r="Q809" s="564" t="s">
        <v>583</v>
      </c>
      <c r="R809" s="564">
        <v>1</v>
      </c>
    </row>
    <row r="810" spans="1:18" ht="15" customHeight="1" x14ac:dyDescent="0.25">
      <c r="A810" s="553">
        <v>9</v>
      </c>
      <c r="B810" s="553">
        <v>3</v>
      </c>
      <c r="C810" s="553">
        <v>2</v>
      </c>
      <c r="D810" s="553">
        <v>2</v>
      </c>
      <c r="E810" s="553">
        <v>2</v>
      </c>
      <c r="F810" s="553">
        <v>2</v>
      </c>
      <c r="G810" s="553" t="s">
        <v>493</v>
      </c>
      <c r="H810" s="553">
        <v>1319.91</v>
      </c>
      <c r="I810" s="553">
        <v>0</v>
      </c>
      <c r="J810" s="553">
        <v>5</v>
      </c>
      <c r="K810" s="553">
        <v>19</v>
      </c>
      <c r="L810" s="553">
        <v>3</v>
      </c>
      <c r="M810" s="505" t="s">
        <v>312</v>
      </c>
      <c r="N810" s="500">
        <v>43013537010000</v>
      </c>
      <c r="O810" s="553" t="s">
        <v>1418</v>
      </c>
      <c r="P810" s="650" t="s">
        <v>1426</v>
      </c>
      <c r="Q810" s="564" t="s">
        <v>583</v>
      </c>
      <c r="R810" s="564">
        <v>1</v>
      </c>
    </row>
    <row r="811" spans="1:18" ht="15" customHeight="1" x14ac:dyDescent="0.25">
      <c r="A811" s="553">
        <v>9</v>
      </c>
      <c r="B811" s="553">
        <v>3</v>
      </c>
      <c r="C811" s="553">
        <v>2</v>
      </c>
      <c r="D811" s="553">
        <v>2</v>
      </c>
      <c r="E811" s="553">
        <v>2</v>
      </c>
      <c r="F811" s="553">
        <v>2</v>
      </c>
      <c r="G811" s="553" t="s">
        <v>474</v>
      </c>
      <c r="H811" s="553">
        <v>1323.18</v>
      </c>
      <c r="I811" s="553">
        <v>88</v>
      </c>
      <c r="J811" s="553">
        <v>50</v>
      </c>
      <c r="K811" s="553">
        <v>14</v>
      </c>
      <c r="L811" s="553">
        <v>2</v>
      </c>
      <c r="M811" s="505" t="s">
        <v>312</v>
      </c>
      <c r="N811" s="500">
        <v>43013537010000</v>
      </c>
      <c r="O811" s="553" t="s">
        <v>1418</v>
      </c>
      <c r="P811" s="650" t="s">
        <v>1427</v>
      </c>
      <c r="Q811" s="564" t="s">
        <v>583</v>
      </c>
      <c r="R811" s="564">
        <v>1</v>
      </c>
    </row>
    <row r="812" spans="1:18" ht="15" customHeight="1" x14ac:dyDescent="0.25">
      <c r="A812" s="553">
        <v>9</v>
      </c>
      <c r="B812" s="553">
        <v>3</v>
      </c>
      <c r="C812" s="553">
        <v>2</v>
      </c>
      <c r="D812" s="553">
        <v>2</v>
      </c>
      <c r="E812" s="553">
        <v>2</v>
      </c>
      <c r="F812" s="553">
        <v>2</v>
      </c>
      <c r="G812" s="502" t="s">
        <v>477</v>
      </c>
      <c r="H812" s="553">
        <v>1323.18</v>
      </c>
      <c r="I812" s="553">
        <v>88</v>
      </c>
      <c r="J812" s="553">
        <v>50</v>
      </c>
      <c r="K812" s="553">
        <v>14</v>
      </c>
      <c r="L812" s="553">
        <v>2</v>
      </c>
      <c r="M812" s="505" t="s">
        <v>312</v>
      </c>
      <c r="N812" s="500">
        <v>43013537010000</v>
      </c>
      <c r="O812" s="553" t="s">
        <v>1418</v>
      </c>
      <c r="P812" s="650" t="s">
        <v>1428</v>
      </c>
      <c r="Q812" s="564" t="s">
        <v>583</v>
      </c>
      <c r="R812" s="564">
        <v>1</v>
      </c>
    </row>
    <row r="813" spans="1:18" ht="15" customHeight="1" x14ac:dyDescent="0.25">
      <c r="A813" s="553">
        <v>9</v>
      </c>
      <c r="B813" s="553">
        <v>3</v>
      </c>
      <c r="C813" s="553">
        <v>2</v>
      </c>
      <c r="D813" s="553">
        <v>2</v>
      </c>
      <c r="E813" s="553">
        <v>2</v>
      </c>
      <c r="F813" s="553">
        <v>2</v>
      </c>
      <c r="G813" s="553" t="s">
        <v>479</v>
      </c>
      <c r="H813" s="553">
        <v>1323.18</v>
      </c>
      <c r="I813" s="553">
        <v>88</v>
      </c>
      <c r="J813" s="553">
        <v>50</v>
      </c>
      <c r="K813" s="553">
        <v>14</v>
      </c>
      <c r="L813" s="553">
        <v>2</v>
      </c>
      <c r="M813" s="505" t="s">
        <v>312</v>
      </c>
      <c r="N813" s="500">
        <v>43013537010000</v>
      </c>
      <c r="O813" s="553" t="s">
        <v>1418</v>
      </c>
      <c r="P813" s="650" t="s">
        <v>1429</v>
      </c>
      <c r="Q813" s="564" t="s">
        <v>583</v>
      </c>
      <c r="R813" s="564">
        <v>1</v>
      </c>
    </row>
    <row r="814" spans="1:18" ht="15" customHeight="1" x14ac:dyDescent="0.25">
      <c r="A814" s="553">
        <v>9</v>
      </c>
      <c r="B814" s="553">
        <v>3</v>
      </c>
      <c r="C814" s="553">
        <v>2</v>
      </c>
      <c r="D814" s="553">
        <v>2</v>
      </c>
      <c r="E814" s="553">
        <v>2</v>
      </c>
      <c r="F814" s="553">
        <v>2</v>
      </c>
      <c r="G814" s="553" t="s">
        <v>485</v>
      </c>
      <c r="H814" s="553">
        <v>1323.18</v>
      </c>
      <c r="I814" s="553">
        <v>88</v>
      </c>
      <c r="J814" s="553">
        <v>50</v>
      </c>
      <c r="K814" s="553">
        <v>14</v>
      </c>
      <c r="L814" s="553">
        <v>2</v>
      </c>
      <c r="M814" s="505" t="s">
        <v>312</v>
      </c>
      <c r="N814" s="500">
        <v>43013537010000</v>
      </c>
      <c r="O814" s="553" t="s">
        <v>1418</v>
      </c>
      <c r="P814" s="650" t="s">
        <v>1430</v>
      </c>
      <c r="Q814" s="564" t="s">
        <v>583</v>
      </c>
      <c r="R814" s="564">
        <v>1</v>
      </c>
    </row>
    <row r="815" spans="1:18" ht="15" customHeight="1" x14ac:dyDescent="0.25">
      <c r="A815" s="553">
        <v>9</v>
      </c>
      <c r="B815" s="553">
        <v>3</v>
      </c>
      <c r="C815" s="553">
        <v>2</v>
      </c>
      <c r="D815" s="553">
        <v>2</v>
      </c>
      <c r="E815" s="553">
        <v>2</v>
      </c>
      <c r="F815" s="553">
        <v>2</v>
      </c>
      <c r="G815" s="553" t="s">
        <v>487</v>
      </c>
      <c r="H815" s="553">
        <v>1323.635</v>
      </c>
      <c r="I815" s="553">
        <v>88</v>
      </c>
      <c r="J815" s="553">
        <v>39</v>
      </c>
      <c r="K815" s="553">
        <v>21</v>
      </c>
      <c r="L815" s="553">
        <v>2</v>
      </c>
      <c r="M815" s="505" t="s">
        <v>312</v>
      </c>
      <c r="N815" s="500">
        <v>43013537010000</v>
      </c>
      <c r="O815" s="553" t="s">
        <v>1418</v>
      </c>
      <c r="P815" s="650" t="s">
        <v>1431</v>
      </c>
      <c r="Q815" s="564" t="s">
        <v>583</v>
      </c>
      <c r="R815" s="564">
        <v>1</v>
      </c>
    </row>
    <row r="816" spans="1:18" ht="15" customHeight="1" x14ac:dyDescent="0.25">
      <c r="A816" s="553">
        <v>9</v>
      </c>
      <c r="B816" s="553">
        <v>3</v>
      </c>
      <c r="C816" s="553">
        <v>2</v>
      </c>
      <c r="D816" s="553">
        <v>2</v>
      </c>
      <c r="E816" s="553">
        <v>2</v>
      </c>
      <c r="F816" s="553">
        <v>2</v>
      </c>
      <c r="G816" s="502" t="s">
        <v>489</v>
      </c>
      <c r="H816" s="553">
        <v>1323.635</v>
      </c>
      <c r="I816" s="553">
        <v>88</v>
      </c>
      <c r="J816" s="553">
        <v>39</v>
      </c>
      <c r="K816" s="553">
        <v>21</v>
      </c>
      <c r="L816" s="553">
        <v>2</v>
      </c>
      <c r="M816" s="505" t="s">
        <v>312</v>
      </c>
      <c r="N816" s="500">
        <v>43013537010000</v>
      </c>
      <c r="O816" s="553" t="s">
        <v>1418</v>
      </c>
      <c r="P816" s="650" t="s">
        <v>1432</v>
      </c>
      <c r="Q816" s="564" t="s">
        <v>583</v>
      </c>
      <c r="R816" s="564">
        <v>1</v>
      </c>
    </row>
    <row r="817" spans="1:18" ht="15" customHeight="1" x14ac:dyDescent="0.25">
      <c r="A817" s="553">
        <v>9</v>
      </c>
      <c r="B817" s="553">
        <v>3</v>
      </c>
      <c r="C817" s="553">
        <v>2</v>
      </c>
      <c r="D817" s="553">
        <v>2</v>
      </c>
      <c r="E817" s="553">
        <v>2</v>
      </c>
      <c r="F817" s="553">
        <v>2</v>
      </c>
      <c r="G817" s="553" t="s">
        <v>491</v>
      </c>
      <c r="H817" s="553">
        <v>1323.635</v>
      </c>
      <c r="I817" s="553">
        <v>88</v>
      </c>
      <c r="J817" s="553">
        <v>39</v>
      </c>
      <c r="K817" s="553">
        <v>21</v>
      </c>
      <c r="L817" s="553">
        <v>2</v>
      </c>
      <c r="M817" s="505" t="s">
        <v>312</v>
      </c>
      <c r="N817" s="500">
        <v>43013537010000</v>
      </c>
      <c r="O817" s="553" t="s">
        <v>1418</v>
      </c>
      <c r="P817" s="650" t="s">
        <v>1433</v>
      </c>
      <c r="Q817" s="564" t="s">
        <v>583</v>
      </c>
      <c r="R817" s="564">
        <v>1</v>
      </c>
    </row>
    <row r="818" spans="1:18" ht="15" customHeight="1" x14ac:dyDescent="0.25">
      <c r="A818" s="553">
        <v>9</v>
      </c>
      <c r="B818" s="553">
        <v>3</v>
      </c>
      <c r="C818" s="553">
        <v>2</v>
      </c>
      <c r="D818" s="553">
        <v>2</v>
      </c>
      <c r="E818" s="553">
        <v>2</v>
      </c>
      <c r="F818" s="553">
        <v>2</v>
      </c>
      <c r="G818" s="553" t="s">
        <v>494</v>
      </c>
      <c r="H818" s="553">
        <v>1323.635</v>
      </c>
      <c r="I818" s="553">
        <v>88</v>
      </c>
      <c r="J818" s="553">
        <v>39</v>
      </c>
      <c r="K818" s="553">
        <v>21</v>
      </c>
      <c r="L818" s="553">
        <v>2</v>
      </c>
      <c r="M818" s="505" t="s">
        <v>312</v>
      </c>
      <c r="N818" s="500">
        <v>43013537010000</v>
      </c>
      <c r="O818" s="553" t="s">
        <v>1418</v>
      </c>
      <c r="P818" s="650" t="s">
        <v>1434</v>
      </c>
      <c r="Q818" s="564" t="s">
        <v>583</v>
      </c>
      <c r="R818" s="564">
        <v>1</v>
      </c>
    </row>
    <row r="819" spans="1:18" ht="15" customHeight="1" x14ac:dyDescent="0.25">
      <c r="A819" s="564">
        <v>9</v>
      </c>
      <c r="B819" s="564">
        <v>3</v>
      </c>
      <c r="C819" s="564">
        <v>2</v>
      </c>
      <c r="D819" s="564">
        <v>1</v>
      </c>
      <c r="E819" s="564">
        <v>1</v>
      </c>
      <c r="F819" s="564">
        <v>2</v>
      </c>
      <c r="G819" s="564" t="s">
        <v>473</v>
      </c>
      <c r="H819" s="564">
        <v>1318.675</v>
      </c>
      <c r="I819" s="564">
        <v>1</v>
      </c>
      <c r="J819" s="564">
        <v>3</v>
      </c>
      <c r="K819" s="564">
        <v>24</v>
      </c>
      <c r="L819" s="564">
        <v>4</v>
      </c>
      <c r="M819" s="561" t="s">
        <v>137</v>
      </c>
      <c r="N819" s="520">
        <v>43047558250000</v>
      </c>
      <c r="O819" s="564" t="s">
        <v>1435</v>
      </c>
      <c r="P819" s="564" t="s">
        <v>1436</v>
      </c>
      <c r="Q819" s="564"/>
      <c r="R819" s="564">
        <v>2</v>
      </c>
    </row>
    <row r="820" spans="1:18" ht="15" customHeight="1" x14ac:dyDescent="0.25">
      <c r="A820" s="564">
        <v>9</v>
      </c>
      <c r="B820" s="564">
        <v>3</v>
      </c>
      <c r="C820" s="564">
        <v>2</v>
      </c>
      <c r="D820" s="564">
        <v>1</v>
      </c>
      <c r="E820" s="564">
        <v>1</v>
      </c>
      <c r="F820" s="564">
        <v>2</v>
      </c>
      <c r="G820" s="521" t="s">
        <v>476</v>
      </c>
      <c r="H820" s="564">
        <v>1318.675</v>
      </c>
      <c r="I820" s="564">
        <v>1</v>
      </c>
      <c r="J820" s="564">
        <v>3</v>
      </c>
      <c r="K820" s="564">
        <v>24</v>
      </c>
      <c r="L820" s="564">
        <v>4</v>
      </c>
      <c r="M820" s="561" t="s">
        <v>137</v>
      </c>
      <c r="N820" s="520">
        <v>43047558250000</v>
      </c>
      <c r="O820" s="564" t="s">
        <v>1435</v>
      </c>
      <c r="P820" s="564" t="s">
        <v>1437</v>
      </c>
      <c r="Q820" s="564"/>
      <c r="R820" s="564">
        <v>2</v>
      </c>
    </row>
    <row r="821" spans="1:18" ht="15" customHeight="1" x14ac:dyDescent="0.25">
      <c r="A821" s="564">
        <v>9</v>
      </c>
      <c r="B821" s="564">
        <v>3</v>
      </c>
      <c r="C821" s="564">
        <v>2</v>
      </c>
      <c r="D821" s="564">
        <v>1</v>
      </c>
      <c r="E821" s="564">
        <v>1</v>
      </c>
      <c r="F821" s="564">
        <v>2</v>
      </c>
      <c r="G821" s="564" t="s">
        <v>478</v>
      </c>
      <c r="H821" s="564">
        <v>1321.14</v>
      </c>
      <c r="I821" s="564">
        <v>1</v>
      </c>
      <c r="J821" s="564">
        <v>3</v>
      </c>
      <c r="K821" s="564">
        <v>8</v>
      </c>
      <c r="L821" s="564">
        <v>4</v>
      </c>
      <c r="M821" s="561" t="s">
        <v>137</v>
      </c>
      <c r="N821" s="520">
        <v>43047558250000</v>
      </c>
      <c r="O821" s="564" t="s">
        <v>1435</v>
      </c>
      <c r="P821" s="564" t="s">
        <v>1438</v>
      </c>
      <c r="Q821" s="564"/>
      <c r="R821" s="564">
        <v>2</v>
      </c>
    </row>
    <row r="822" spans="1:18" ht="15" customHeight="1" x14ac:dyDescent="0.25">
      <c r="A822" s="564">
        <v>9</v>
      </c>
      <c r="B822" s="564">
        <v>3</v>
      </c>
      <c r="C822" s="564">
        <v>2</v>
      </c>
      <c r="D822" s="564">
        <v>1</v>
      </c>
      <c r="E822" s="564">
        <v>1</v>
      </c>
      <c r="F822" s="564">
        <v>2</v>
      </c>
      <c r="G822" s="564" t="s">
        <v>484</v>
      </c>
      <c r="H822" s="564">
        <v>1321.14</v>
      </c>
      <c r="I822" s="564">
        <v>1</v>
      </c>
      <c r="J822" s="564">
        <v>3</v>
      </c>
      <c r="K822" s="564">
        <v>8</v>
      </c>
      <c r="L822" s="564">
        <v>4</v>
      </c>
      <c r="M822" s="561" t="s">
        <v>137</v>
      </c>
      <c r="N822" s="520">
        <v>43047558250000</v>
      </c>
      <c r="O822" s="564" t="s">
        <v>1435</v>
      </c>
      <c r="P822" s="564" t="s">
        <v>1439</v>
      </c>
      <c r="Q822" s="564"/>
      <c r="R822" s="564">
        <v>2</v>
      </c>
    </row>
    <row r="823" spans="1:18" ht="15" customHeight="1" x14ac:dyDescent="0.25">
      <c r="A823" s="564">
        <v>9</v>
      </c>
      <c r="B823" s="564">
        <v>3</v>
      </c>
      <c r="C823" s="564">
        <v>2</v>
      </c>
      <c r="D823" s="564">
        <v>1</v>
      </c>
      <c r="E823" s="564">
        <v>1</v>
      </c>
      <c r="F823" s="564">
        <v>2</v>
      </c>
      <c r="G823" s="564" t="s">
        <v>486</v>
      </c>
      <c r="H823" s="564">
        <v>1319.2449999999999</v>
      </c>
      <c r="I823" s="564">
        <v>0</v>
      </c>
      <c r="J823" s="564">
        <v>33</v>
      </c>
      <c r="K823" s="564">
        <v>24</v>
      </c>
      <c r="L823" s="564">
        <v>1</v>
      </c>
      <c r="M823" s="561" t="s">
        <v>137</v>
      </c>
      <c r="N823" s="520">
        <v>43047558250000</v>
      </c>
      <c r="O823" s="564" t="s">
        <v>1435</v>
      </c>
      <c r="P823" s="564" t="s">
        <v>1440</v>
      </c>
      <c r="Q823" s="564"/>
      <c r="R823" s="564">
        <v>2</v>
      </c>
    </row>
    <row r="824" spans="1:18" ht="15" customHeight="1" x14ac:dyDescent="0.25">
      <c r="A824" s="564">
        <v>9</v>
      </c>
      <c r="B824" s="564">
        <v>3</v>
      </c>
      <c r="C824" s="564">
        <v>2</v>
      </c>
      <c r="D824" s="564">
        <v>1</v>
      </c>
      <c r="E824" s="564">
        <v>1</v>
      </c>
      <c r="F824" s="564">
        <v>2</v>
      </c>
      <c r="G824" s="521" t="s">
        <v>488</v>
      </c>
      <c r="H824" s="564">
        <v>1319.2449999999999</v>
      </c>
      <c r="I824" s="564">
        <v>0</v>
      </c>
      <c r="J824" s="564">
        <v>33</v>
      </c>
      <c r="K824" s="564">
        <v>24</v>
      </c>
      <c r="L824" s="564">
        <v>1</v>
      </c>
      <c r="M824" s="561" t="s">
        <v>137</v>
      </c>
      <c r="N824" s="520">
        <v>43047558250000</v>
      </c>
      <c r="O824" s="564" t="s">
        <v>1435</v>
      </c>
      <c r="P824" s="564" t="s">
        <v>1441</v>
      </c>
      <c r="Q824" s="564"/>
      <c r="R824" s="564">
        <v>2</v>
      </c>
    </row>
    <row r="825" spans="1:18" ht="15" customHeight="1" x14ac:dyDescent="0.25">
      <c r="A825" s="564">
        <v>9</v>
      </c>
      <c r="B825" s="564">
        <v>3</v>
      </c>
      <c r="C825" s="564">
        <v>2</v>
      </c>
      <c r="D825" s="564">
        <v>1</v>
      </c>
      <c r="E825" s="564">
        <v>1</v>
      </c>
      <c r="F825" s="564">
        <v>2</v>
      </c>
      <c r="G825" s="564" t="s">
        <v>490</v>
      </c>
      <c r="H825" s="564">
        <v>1323.77</v>
      </c>
      <c r="I825" s="564">
        <v>0</v>
      </c>
      <c r="J825" s="564">
        <v>32</v>
      </c>
      <c r="K825" s="564">
        <v>18</v>
      </c>
      <c r="L825" s="564">
        <v>1</v>
      </c>
      <c r="M825" s="561" t="s">
        <v>137</v>
      </c>
      <c r="N825" s="520">
        <v>43047558250000</v>
      </c>
      <c r="O825" s="564" t="s">
        <v>1435</v>
      </c>
      <c r="P825" s="564" t="s">
        <v>1442</v>
      </c>
      <c r="Q825" s="564"/>
      <c r="R825" s="564">
        <v>2</v>
      </c>
    </row>
    <row r="826" spans="1:18" ht="15" customHeight="1" x14ac:dyDescent="0.25">
      <c r="A826" s="564">
        <v>9</v>
      </c>
      <c r="B826" s="564">
        <v>3</v>
      </c>
      <c r="C826" s="564">
        <v>2</v>
      </c>
      <c r="D826" s="564">
        <v>1</v>
      </c>
      <c r="E826" s="564">
        <v>1</v>
      </c>
      <c r="F826" s="564">
        <v>2</v>
      </c>
      <c r="G826" s="564" t="s">
        <v>493</v>
      </c>
      <c r="H826" s="564">
        <v>1323.77</v>
      </c>
      <c r="I826" s="564">
        <v>0</v>
      </c>
      <c r="J826" s="564">
        <v>32</v>
      </c>
      <c r="K826" s="564">
        <v>18</v>
      </c>
      <c r="L826" s="564">
        <v>1</v>
      </c>
      <c r="M826" s="561" t="s">
        <v>137</v>
      </c>
      <c r="N826" s="520">
        <v>43047558250000</v>
      </c>
      <c r="O826" s="564" t="s">
        <v>1435</v>
      </c>
      <c r="P826" s="564" t="s">
        <v>1443</v>
      </c>
      <c r="Q826" s="564"/>
      <c r="R826" s="564">
        <v>2</v>
      </c>
    </row>
    <row r="827" spans="1:18" ht="15" customHeight="1" x14ac:dyDescent="0.25">
      <c r="A827" s="564">
        <v>9</v>
      </c>
      <c r="B827" s="564">
        <v>3</v>
      </c>
      <c r="C827" s="564">
        <v>2</v>
      </c>
      <c r="D827" s="564">
        <v>1</v>
      </c>
      <c r="E827" s="564">
        <v>1</v>
      </c>
      <c r="F827" s="564">
        <v>2</v>
      </c>
      <c r="G827" s="564" t="s">
        <v>474</v>
      </c>
      <c r="H827" s="564">
        <v>1319.16</v>
      </c>
      <c r="I827" s="564">
        <v>88</v>
      </c>
      <c r="J827" s="564">
        <v>53</v>
      </c>
      <c r="K827" s="564">
        <v>47</v>
      </c>
      <c r="L827" s="564">
        <v>2</v>
      </c>
      <c r="M827" s="561" t="s">
        <v>137</v>
      </c>
      <c r="N827" s="520">
        <v>43047558250000</v>
      </c>
      <c r="O827" s="564" t="s">
        <v>1435</v>
      </c>
      <c r="P827" s="564" t="s">
        <v>1444</v>
      </c>
      <c r="Q827" s="564"/>
      <c r="R827" s="564">
        <v>2</v>
      </c>
    </row>
    <row r="828" spans="1:18" ht="15" customHeight="1" x14ac:dyDescent="0.25">
      <c r="A828" s="564">
        <v>9</v>
      </c>
      <c r="B828" s="564">
        <v>3</v>
      </c>
      <c r="C828" s="564">
        <v>2</v>
      </c>
      <c r="D828" s="564">
        <v>1</v>
      </c>
      <c r="E828" s="564">
        <v>1</v>
      </c>
      <c r="F828" s="564">
        <v>2</v>
      </c>
      <c r="G828" s="521" t="s">
        <v>477</v>
      </c>
      <c r="H828" s="564">
        <v>1319.16</v>
      </c>
      <c r="I828" s="564">
        <v>88</v>
      </c>
      <c r="J828" s="564">
        <v>53</v>
      </c>
      <c r="K828" s="564">
        <v>47</v>
      </c>
      <c r="L828" s="564">
        <v>2</v>
      </c>
      <c r="M828" s="561" t="s">
        <v>137</v>
      </c>
      <c r="N828" s="520">
        <v>43047558250000</v>
      </c>
      <c r="O828" s="564" t="s">
        <v>1435</v>
      </c>
      <c r="P828" s="564" t="s">
        <v>1445</v>
      </c>
      <c r="Q828" s="564"/>
      <c r="R828" s="564">
        <v>2</v>
      </c>
    </row>
    <row r="829" spans="1:18" ht="15" customHeight="1" x14ac:dyDescent="0.25">
      <c r="A829" s="564">
        <v>9</v>
      </c>
      <c r="B829" s="564">
        <v>3</v>
      </c>
      <c r="C829" s="564">
        <v>2</v>
      </c>
      <c r="D829" s="564">
        <v>1</v>
      </c>
      <c r="E829" s="564">
        <v>1</v>
      </c>
      <c r="F829" s="564">
        <v>2</v>
      </c>
      <c r="G829" s="564" t="s">
        <v>479</v>
      </c>
      <c r="H829" s="564">
        <v>1361.93</v>
      </c>
      <c r="I829" s="564">
        <v>88</v>
      </c>
      <c r="J829" s="564">
        <v>53</v>
      </c>
      <c r="K829" s="564">
        <v>43</v>
      </c>
      <c r="L829" s="564">
        <v>2</v>
      </c>
      <c r="M829" s="561" t="s">
        <v>137</v>
      </c>
      <c r="N829" s="520">
        <v>43047558250000</v>
      </c>
      <c r="O829" s="564" t="s">
        <v>1435</v>
      </c>
      <c r="P829" s="564" t="s">
        <v>1446</v>
      </c>
      <c r="Q829" s="564"/>
      <c r="R829" s="564">
        <v>2</v>
      </c>
    </row>
    <row r="830" spans="1:18" ht="15" customHeight="1" x14ac:dyDescent="0.25">
      <c r="A830" s="564">
        <v>9</v>
      </c>
      <c r="B830" s="564">
        <v>3</v>
      </c>
      <c r="C830" s="564">
        <v>2</v>
      </c>
      <c r="D830" s="564">
        <v>1</v>
      </c>
      <c r="E830" s="564">
        <v>1</v>
      </c>
      <c r="F830" s="564">
        <v>2</v>
      </c>
      <c r="G830" s="564" t="s">
        <v>485</v>
      </c>
      <c r="H830" s="564">
        <v>1361.93</v>
      </c>
      <c r="I830" s="564">
        <v>88</v>
      </c>
      <c r="J830" s="564">
        <v>53</v>
      </c>
      <c r="K830" s="564">
        <v>43</v>
      </c>
      <c r="L830" s="564">
        <v>2</v>
      </c>
      <c r="M830" s="561" t="s">
        <v>137</v>
      </c>
      <c r="N830" s="520">
        <v>43047558250000</v>
      </c>
      <c r="O830" s="564" t="s">
        <v>1435</v>
      </c>
      <c r="P830" s="564" t="s">
        <v>1447</v>
      </c>
      <c r="Q830" s="564"/>
      <c r="R830" s="564">
        <v>2</v>
      </c>
    </row>
    <row r="831" spans="1:18" ht="15" customHeight="1" x14ac:dyDescent="0.25">
      <c r="A831" s="564">
        <v>9</v>
      </c>
      <c r="B831" s="564">
        <v>3</v>
      </c>
      <c r="C831" s="564">
        <v>2</v>
      </c>
      <c r="D831" s="564">
        <v>1</v>
      </c>
      <c r="E831" s="564">
        <v>1</v>
      </c>
      <c r="F831" s="564">
        <v>2</v>
      </c>
      <c r="G831" s="564" t="s">
        <v>487</v>
      </c>
      <c r="H831" s="564">
        <v>1351.72</v>
      </c>
      <c r="I831" s="564">
        <v>89</v>
      </c>
      <c r="J831" s="564">
        <v>51</v>
      </c>
      <c r="K831" s="564">
        <v>54</v>
      </c>
      <c r="L831" s="564">
        <v>3</v>
      </c>
      <c r="M831" s="561" t="s">
        <v>137</v>
      </c>
      <c r="N831" s="520">
        <v>43047558250000</v>
      </c>
      <c r="O831" s="564" t="s">
        <v>1435</v>
      </c>
      <c r="P831" s="564" t="s">
        <v>1448</v>
      </c>
      <c r="Q831" s="564"/>
      <c r="R831" s="564">
        <v>2</v>
      </c>
    </row>
    <row r="832" spans="1:18" ht="15" customHeight="1" x14ac:dyDescent="0.25">
      <c r="A832" s="564">
        <v>9</v>
      </c>
      <c r="B832" s="564">
        <v>3</v>
      </c>
      <c r="C832" s="564">
        <v>2</v>
      </c>
      <c r="D832" s="564">
        <v>1</v>
      </c>
      <c r="E832" s="564">
        <v>1</v>
      </c>
      <c r="F832" s="564">
        <v>2</v>
      </c>
      <c r="G832" s="521" t="s">
        <v>489</v>
      </c>
      <c r="H832" s="564">
        <v>1291.48</v>
      </c>
      <c r="I832" s="564">
        <v>88</v>
      </c>
      <c r="J832" s="564">
        <v>1</v>
      </c>
      <c r="K832" s="564">
        <v>7</v>
      </c>
      <c r="L832" s="564">
        <v>3</v>
      </c>
      <c r="M832" s="561" t="s">
        <v>137</v>
      </c>
      <c r="N832" s="520">
        <v>43047558250000</v>
      </c>
      <c r="O832" s="564" t="s">
        <v>1435</v>
      </c>
      <c r="P832" s="564" t="s">
        <v>1449</v>
      </c>
      <c r="Q832" s="564"/>
      <c r="R832" s="564">
        <v>2</v>
      </c>
    </row>
    <row r="833" spans="1:18" ht="15" customHeight="1" x14ac:dyDescent="0.25">
      <c r="A833" s="564">
        <v>9</v>
      </c>
      <c r="B833" s="564">
        <v>3</v>
      </c>
      <c r="C833" s="564">
        <v>2</v>
      </c>
      <c r="D833" s="564">
        <v>1</v>
      </c>
      <c r="E833" s="564">
        <v>1</v>
      </c>
      <c r="F833" s="564">
        <v>2</v>
      </c>
      <c r="G833" s="564" t="s">
        <v>491</v>
      </c>
      <c r="H833" s="564">
        <v>1336.2850000000001</v>
      </c>
      <c r="I833" s="564">
        <v>88</v>
      </c>
      <c r="J833" s="564">
        <v>57</v>
      </c>
      <c r="K833" s="564">
        <v>41</v>
      </c>
      <c r="L833" s="564">
        <v>3</v>
      </c>
      <c r="M833" s="561" t="s">
        <v>137</v>
      </c>
      <c r="N833" s="520">
        <v>43047558250000</v>
      </c>
      <c r="O833" s="564" t="s">
        <v>1435</v>
      </c>
      <c r="P833" s="564" t="s">
        <v>1450</v>
      </c>
      <c r="Q833" s="564"/>
      <c r="R833" s="564">
        <v>2</v>
      </c>
    </row>
    <row r="834" spans="1:18" ht="15" customHeight="1" x14ac:dyDescent="0.25">
      <c r="A834" s="564">
        <v>9</v>
      </c>
      <c r="B834" s="564">
        <v>3</v>
      </c>
      <c r="C834" s="564">
        <v>2</v>
      </c>
      <c r="D834" s="564">
        <v>1</v>
      </c>
      <c r="E834" s="564">
        <v>1</v>
      </c>
      <c r="F834" s="564">
        <v>2</v>
      </c>
      <c r="G834" s="564" t="s">
        <v>494</v>
      </c>
      <c r="H834" s="564">
        <v>1336.2850000000001</v>
      </c>
      <c r="I834" s="564">
        <v>88</v>
      </c>
      <c r="J834" s="564">
        <v>57</v>
      </c>
      <c r="K834" s="564">
        <v>41</v>
      </c>
      <c r="L834" s="564">
        <v>3</v>
      </c>
      <c r="M834" s="561" t="s">
        <v>137</v>
      </c>
      <c r="N834" s="520">
        <v>43047558250000</v>
      </c>
      <c r="O834" s="564" t="s">
        <v>1435</v>
      </c>
      <c r="P834" s="564" t="s">
        <v>1451</v>
      </c>
      <c r="Q834" s="564"/>
      <c r="R834" s="564">
        <v>2</v>
      </c>
    </row>
    <row r="835" spans="1:18" ht="15" customHeight="1" x14ac:dyDescent="0.25">
      <c r="A835" s="564">
        <v>9</v>
      </c>
      <c r="B835" s="564">
        <v>4</v>
      </c>
      <c r="C835" s="564">
        <v>2</v>
      </c>
      <c r="D835" s="564">
        <v>1</v>
      </c>
      <c r="E835" s="564">
        <v>2</v>
      </c>
      <c r="F835" s="564">
        <v>2</v>
      </c>
      <c r="G835" s="564" t="s">
        <v>473</v>
      </c>
      <c r="H835" s="564">
        <v>1322.24</v>
      </c>
      <c r="I835" s="564">
        <v>0</v>
      </c>
      <c r="J835" s="564">
        <v>13</v>
      </c>
      <c r="K835" s="564">
        <v>55</v>
      </c>
      <c r="L835" s="564">
        <v>4</v>
      </c>
      <c r="M835" s="561" t="s">
        <v>137</v>
      </c>
      <c r="N835" s="520"/>
      <c r="O835" s="564"/>
      <c r="P835" s="564" t="s">
        <v>1452</v>
      </c>
      <c r="Q835" s="564"/>
      <c r="R835" s="564">
        <v>1</v>
      </c>
    </row>
    <row r="836" spans="1:18" ht="15" customHeight="1" x14ac:dyDescent="0.25">
      <c r="A836" s="564">
        <v>9</v>
      </c>
      <c r="B836" s="564">
        <v>4</v>
      </c>
      <c r="C836" s="564">
        <v>2</v>
      </c>
      <c r="D836" s="564">
        <v>1</v>
      </c>
      <c r="E836" s="564">
        <v>2</v>
      </c>
      <c r="F836" s="564">
        <v>2</v>
      </c>
      <c r="G836" s="521" t="s">
        <v>476</v>
      </c>
      <c r="H836" s="564">
        <v>1322.24</v>
      </c>
      <c r="I836" s="564">
        <v>0</v>
      </c>
      <c r="J836" s="564">
        <v>13</v>
      </c>
      <c r="K836" s="564">
        <v>55</v>
      </c>
      <c r="L836" s="564">
        <v>4</v>
      </c>
      <c r="M836" s="561" t="s">
        <v>137</v>
      </c>
      <c r="N836" s="520"/>
      <c r="O836" s="564"/>
      <c r="P836" s="564" t="s">
        <v>1453</v>
      </c>
      <c r="Q836" s="564"/>
      <c r="R836" s="564">
        <v>1</v>
      </c>
    </row>
    <row r="837" spans="1:18" ht="15" customHeight="1" x14ac:dyDescent="0.25">
      <c r="A837" s="564">
        <v>9</v>
      </c>
      <c r="B837" s="564">
        <v>4</v>
      </c>
      <c r="C837" s="564">
        <v>2</v>
      </c>
      <c r="D837" s="564">
        <v>1</v>
      </c>
      <c r="E837" s="564">
        <v>2</v>
      </c>
      <c r="F837" s="564">
        <v>2</v>
      </c>
      <c r="G837" s="564" t="s">
        <v>478</v>
      </c>
      <c r="H837" s="564">
        <v>1322.24</v>
      </c>
      <c r="I837" s="564">
        <v>0</v>
      </c>
      <c r="J837" s="564">
        <v>13</v>
      </c>
      <c r="K837" s="564">
        <v>54</v>
      </c>
      <c r="L837" s="564">
        <v>4</v>
      </c>
      <c r="M837" s="561" t="s">
        <v>137</v>
      </c>
      <c r="N837" s="520"/>
      <c r="O837" s="564"/>
      <c r="P837" s="564" t="s">
        <v>1454</v>
      </c>
      <c r="Q837" s="564"/>
      <c r="R837" s="564">
        <v>1</v>
      </c>
    </row>
    <row r="838" spans="1:18" ht="15" customHeight="1" x14ac:dyDescent="0.25">
      <c r="A838" s="564">
        <v>9</v>
      </c>
      <c r="B838" s="564">
        <v>4</v>
      </c>
      <c r="C838" s="564">
        <v>2</v>
      </c>
      <c r="D838" s="564">
        <v>1</v>
      </c>
      <c r="E838" s="564">
        <v>2</v>
      </c>
      <c r="F838" s="564">
        <v>2</v>
      </c>
      <c r="G838" s="564" t="s">
        <v>484</v>
      </c>
      <c r="H838" s="564">
        <v>1322.24</v>
      </c>
      <c r="I838" s="564">
        <v>0</v>
      </c>
      <c r="J838" s="564">
        <v>13</v>
      </c>
      <c r="K838" s="564">
        <v>54</v>
      </c>
      <c r="L838" s="564">
        <v>4</v>
      </c>
      <c r="M838" s="561" t="s">
        <v>137</v>
      </c>
      <c r="N838" s="520"/>
      <c r="O838" s="564"/>
      <c r="P838" s="564" t="s">
        <v>1455</v>
      </c>
      <c r="Q838" s="564"/>
      <c r="R838" s="564">
        <v>1</v>
      </c>
    </row>
    <row r="839" spans="1:18" ht="15" customHeight="1" x14ac:dyDescent="0.25">
      <c r="A839" s="564">
        <v>9</v>
      </c>
      <c r="B839" s="564">
        <v>4</v>
      </c>
      <c r="C839" s="564">
        <v>2</v>
      </c>
      <c r="D839" s="564">
        <v>1</v>
      </c>
      <c r="E839" s="564">
        <v>2</v>
      </c>
      <c r="F839" s="564">
        <v>2</v>
      </c>
      <c r="G839" s="564" t="s">
        <v>486</v>
      </c>
      <c r="H839" s="564">
        <v>1320.855</v>
      </c>
      <c r="I839" s="564">
        <v>0</v>
      </c>
      <c r="J839" s="564">
        <v>4</v>
      </c>
      <c r="K839" s="564">
        <v>13</v>
      </c>
      <c r="L839" s="564">
        <v>4</v>
      </c>
      <c r="M839" s="561" t="s">
        <v>137</v>
      </c>
      <c r="N839" s="520"/>
      <c r="O839" s="564"/>
      <c r="P839" s="564" t="s">
        <v>1456</v>
      </c>
      <c r="Q839" s="564"/>
      <c r="R839" s="564">
        <v>1</v>
      </c>
    </row>
    <row r="840" spans="1:18" ht="15" customHeight="1" x14ac:dyDescent="0.25">
      <c r="A840" s="564">
        <v>9</v>
      </c>
      <c r="B840" s="564">
        <v>4</v>
      </c>
      <c r="C840" s="564">
        <v>2</v>
      </c>
      <c r="D840" s="564">
        <v>1</v>
      </c>
      <c r="E840" s="564">
        <v>2</v>
      </c>
      <c r="F840" s="564">
        <v>2</v>
      </c>
      <c r="G840" s="521" t="s">
        <v>488</v>
      </c>
      <c r="H840" s="564">
        <v>1320.855</v>
      </c>
      <c r="I840" s="564">
        <v>0</v>
      </c>
      <c r="J840" s="564">
        <v>4</v>
      </c>
      <c r="K840" s="564">
        <v>13</v>
      </c>
      <c r="L840" s="564">
        <v>4</v>
      </c>
      <c r="M840" s="561" t="s">
        <v>137</v>
      </c>
      <c r="N840" s="520"/>
      <c r="O840" s="564"/>
      <c r="P840" s="564" t="s">
        <v>1457</v>
      </c>
      <c r="Q840" s="564"/>
      <c r="R840" s="564">
        <v>1</v>
      </c>
    </row>
    <row r="841" spans="1:18" ht="15" customHeight="1" x14ac:dyDescent="0.25">
      <c r="A841" s="564">
        <v>9</v>
      </c>
      <c r="B841" s="564">
        <v>4</v>
      </c>
      <c r="C841" s="564">
        <v>2</v>
      </c>
      <c r="D841" s="564">
        <v>1</v>
      </c>
      <c r="E841" s="564">
        <v>2</v>
      </c>
      <c r="F841" s="564">
        <v>2</v>
      </c>
      <c r="G841" s="564" t="s">
        <v>490</v>
      </c>
      <c r="H841" s="564">
        <v>1320.2650000000001</v>
      </c>
      <c r="I841" s="564">
        <v>0</v>
      </c>
      <c r="J841" s="564">
        <v>4</v>
      </c>
      <c r="K841" s="564">
        <v>11</v>
      </c>
      <c r="L841" s="564">
        <v>4</v>
      </c>
      <c r="M841" s="561" t="s">
        <v>137</v>
      </c>
      <c r="N841" s="520"/>
      <c r="O841" s="564"/>
      <c r="P841" s="564" t="s">
        <v>1458</v>
      </c>
      <c r="Q841" s="564"/>
      <c r="R841" s="564">
        <v>1</v>
      </c>
    </row>
    <row r="842" spans="1:18" ht="15" customHeight="1" x14ac:dyDescent="0.25">
      <c r="A842" s="564">
        <v>9</v>
      </c>
      <c r="B842" s="564">
        <v>4</v>
      </c>
      <c r="C842" s="564">
        <v>2</v>
      </c>
      <c r="D842" s="564">
        <v>1</v>
      </c>
      <c r="E842" s="564">
        <v>2</v>
      </c>
      <c r="F842" s="564">
        <v>2</v>
      </c>
      <c r="G842" s="564" t="s">
        <v>493</v>
      </c>
      <c r="H842" s="564">
        <v>1320.2650000000001</v>
      </c>
      <c r="I842" s="564">
        <v>0</v>
      </c>
      <c r="J842" s="564">
        <v>4</v>
      </c>
      <c r="K842" s="564">
        <v>11</v>
      </c>
      <c r="L842" s="564">
        <v>4</v>
      </c>
      <c r="M842" s="561" t="s">
        <v>137</v>
      </c>
      <c r="N842" s="520"/>
      <c r="O842" s="564"/>
      <c r="P842" s="564" t="s">
        <v>1459</v>
      </c>
      <c r="Q842" s="564"/>
      <c r="R842" s="564">
        <v>1</v>
      </c>
    </row>
    <row r="843" spans="1:18" ht="15" customHeight="1" x14ac:dyDescent="0.25">
      <c r="A843" s="564">
        <v>9</v>
      </c>
      <c r="B843" s="564">
        <v>4</v>
      </c>
      <c r="C843" s="564">
        <v>2</v>
      </c>
      <c r="D843" s="564">
        <v>1</v>
      </c>
      <c r="E843" s="564">
        <v>2</v>
      </c>
      <c r="F843" s="564">
        <v>2</v>
      </c>
      <c r="G843" s="564" t="s">
        <v>474</v>
      </c>
      <c r="H843" s="564">
        <v>1326.68</v>
      </c>
      <c r="I843" s="564">
        <v>89</v>
      </c>
      <c r="J843" s="564">
        <v>45</v>
      </c>
      <c r="K843" s="564">
        <v>2</v>
      </c>
      <c r="L843" s="564">
        <v>4</v>
      </c>
      <c r="M843" s="561" t="s">
        <v>137</v>
      </c>
      <c r="N843" s="520"/>
      <c r="O843" s="564"/>
      <c r="P843" s="564" t="s">
        <v>1460</v>
      </c>
      <c r="Q843" s="564"/>
      <c r="R843" s="564">
        <v>1</v>
      </c>
    </row>
    <row r="844" spans="1:18" ht="15" customHeight="1" x14ac:dyDescent="0.25">
      <c r="A844" s="564">
        <v>9</v>
      </c>
      <c r="B844" s="564">
        <v>4</v>
      </c>
      <c r="C844" s="564">
        <v>2</v>
      </c>
      <c r="D844" s="564">
        <v>1</v>
      </c>
      <c r="E844" s="564">
        <v>2</v>
      </c>
      <c r="F844" s="564">
        <v>2</v>
      </c>
      <c r="G844" s="521" t="s">
        <v>477</v>
      </c>
      <c r="H844" s="564">
        <v>1326.68</v>
      </c>
      <c r="I844" s="564">
        <v>89</v>
      </c>
      <c r="J844" s="564">
        <v>45</v>
      </c>
      <c r="K844" s="564">
        <v>2</v>
      </c>
      <c r="L844" s="564">
        <v>4</v>
      </c>
      <c r="M844" s="561" t="s">
        <v>137</v>
      </c>
      <c r="N844" s="520"/>
      <c r="O844" s="564"/>
      <c r="P844" s="564" t="s">
        <v>1461</v>
      </c>
      <c r="Q844" s="564"/>
      <c r="R844" s="564">
        <v>1</v>
      </c>
    </row>
    <row r="845" spans="1:18" ht="15" customHeight="1" x14ac:dyDescent="0.25">
      <c r="A845" s="564">
        <v>9</v>
      </c>
      <c r="B845" s="564">
        <v>4</v>
      </c>
      <c r="C845" s="564">
        <v>2</v>
      </c>
      <c r="D845" s="564">
        <v>1</v>
      </c>
      <c r="E845" s="564">
        <v>2</v>
      </c>
      <c r="F845" s="564">
        <v>2</v>
      </c>
      <c r="G845" s="564" t="s">
        <v>479</v>
      </c>
      <c r="H845" s="564">
        <v>1319.9</v>
      </c>
      <c r="I845" s="564">
        <v>89</v>
      </c>
      <c r="J845" s="564">
        <v>47</v>
      </c>
      <c r="K845" s="564">
        <v>32</v>
      </c>
      <c r="L845" s="564">
        <v>3</v>
      </c>
      <c r="M845" s="561" t="s">
        <v>137</v>
      </c>
      <c r="N845" s="520"/>
      <c r="O845" s="564"/>
      <c r="P845" s="564" t="s">
        <v>1462</v>
      </c>
      <c r="Q845" s="564"/>
      <c r="R845" s="564">
        <v>1</v>
      </c>
    </row>
    <row r="846" spans="1:18" ht="15" customHeight="1" x14ac:dyDescent="0.25">
      <c r="A846" s="564">
        <v>9</v>
      </c>
      <c r="B846" s="564">
        <v>4</v>
      </c>
      <c r="C846" s="564">
        <v>2</v>
      </c>
      <c r="D846" s="564">
        <v>1</v>
      </c>
      <c r="E846" s="564">
        <v>2</v>
      </c>
      <c r="F846" s="564">
        <v>2</v>
      </c>
      <c r="G846" s="564" t="s">
        <v>485</v>
      </c>
      <c r="H846" s="564">
        <v>1319.23</v>
      </c>
      <c r="I846" s="564">
        <v>89</v>
      </c>
      <c r="J846" s="564">
        <v>46</v>
      </c>
      <c r="K846" s="564">
        <v>32</v>
      </c>
      <c r="L846" s="564">
        <v>3</v>
      </c>
      <c r="M846" s="561" t="s">
        <v>137</v>
      </c>
      <c r="N846" s="520"/>
      <c r="O846" s="564"/>
      <c r="P846" s="564" t="s">
        <v>1463</v>
      </c>
      <c r="Q846" s="564"/>
      <c r="R846" s="564">
        <v>1</v>
      </c>
    </row>
    <row r="847" spans="1:18" ht="15" customHeight="1" x14ac:dyDescent="0.25">
      <c r="A847" s="564">
        <v>9</v>
      </c>
      <c r="B847" s="564">
        <v>4</v>
      </c>
      <c r="C847" s="564">
        <v>2</v>
      </c>
      <c r="D847" s="564">
        <v>1</v>
      </c>
      <c r="E847" s="564">
        <v>2</v>
      </c>
      <c r="F847" s="564">
        <v>2</v>
      </c>
      <c r="G847" s="564" t="s">
        <v>487</v>
      </c>
      <c r="H847" s="564">
        <v>1319.3775000000001</v>
      </c>
      <c r="I847" s="564">
        <v>89</v>
      </c>
      <c r="J847" s="564">
        <v>56</v>
      </c>
      <c r="K847" s="564">
        <v>41</v>
      </c>
      <c r="L847" s="564">
        <v>3</v>
      </c>
      <c r="M847" s="561" t="s">
        <v>137</v>
      </c>
      <c r="N847" s="520"/>
      <c r="O847" s="564"/>
      <c r="P847" s="564" t="s">
        <v>1464</v>
      </c>
      <c r="Q847" s="564"/>
      <c r="R847" s="564">
        <v>1</v>
      </c>
    </row>
    <row r="848" spans="1:18" ht="15" customHeight="1" x14ac:dyDescent="0.25">
      <c r="A848" s="564">
        <v>9</v>
      </c>
      <c r="B848" s="564">
        <v>4</v>
      </c>
      <c r="C848" s="564">
        <v>2</v>
      </c>
      <c r="D848" s="564">
        <v>1</v>
      </c>
      <c r="E848" s="564">
        <v>2</v>
      </c>
      <c r="F848" s="564">
        <v>2</v>
      </c>
      <c r="G848" s="521" t="s">
        <v>489</v>
      </c>
      <c r="H848" s="564">
        <v>1319.3775000000001</v>
      </c>
      <c r="I848" s="564">
        <v>89</v>
      </c>
      <c r="J848" s="564">
        <v>56</v>
      </c>
      <c r="K848" s="564">
        <v>41</v>
      </c>
      <c r="L848" s="564">
        <v>3</v>
      </c>
      <c r="M848" s="561" t="s">
        <v>137</v>
      </c>
      <c r="N848" s="520"/>
      <c r="O848" s="564"/>
      <c r="P848" s="564" t="s">
        <v>1465</v>
      </c>
      <c r="Q848" s="564"/>
      <c r="R848" s="564">
        <v>1</v>
      </c>
    </row>
    <row r="849" spans="1:18" ht="15" customHeight="1" x14ac:dyDescent="0.25">
      <c r="A849" s="564">
        <v>9</v>
      </c>
      <c r="B849" s="564">
        <v>4</v>
      </c>
      <c r="C849" s="564">
        <v>2</v>
      </c>
      <c r="D849" s="564">
        <v>1</v>
      </c>
      <c r="E849" s="564">
        <v>2</v>
      </c>
      <c r="F849" s="564">
        <v>2</v>
      </c>
      <c r="G849" s="564" t="s">
        <v>491</v>
      </c>
      <c r="H849" s="564">
        <v>1319.3775000000001</v>
      </c>
      <c r="I849" s="564">
        <v>89</v>
      </c>
      <c r="J849" s="564">
        <v>56</v>
      </c>
      <c r="K849" s="564">
        <v>41</v>
      </c>
      <c r="L849" s="564">
        <v>3</v>
      </c>
      <c r="M849" s="561" t="s">
        <v>137</v>
      </c>
      <c r="N849" s="520"/>
      <c r="O849" s="564"/>
      <c r="P849" s="564" t="s">
        <v>1466</v>
      </c>
      <c r="Q849" s="564"/>
      <c r="R849" s="564">
        <v>1</v>
      </c>
    </row>
    <row r="850" spans="1:18" ht="15" customHeight="1" x14ac:dyDescent="0.25">
      <c r="A850" s="564">
        <v>9</v>
      </c>
      <c r="B850" s="564">
        <v>4</v>
      </c>
      <c r="C850" s="564">
        <v>2</v>
      </c>
      <c r="D850" s="564">
        <v>1</v>
      </c>
      <c r="E850" s="564">
        <v>2</v>
      </c>
      <c r="F850" s="564">
        <v>2</v>
      </c>
      <c r="G850" s="564" t="s">
        <v>494</v>
      </c>
      <c r="H850" s="564">
        <v>1319.3775000000001</v>
      </c>
      <c r="I850" s="564">
        <v>89</v>
      </c>
      <c r="J850" s="564">
        <v>56</v>
      </c>
      <c r="K850" s="564">
        <v>41</v>
      </c>
      <c r="L850" s="564">
        <v>3</v>
      </c>
      <c r="M850" s="561" t="s">
        <v>137</v>
      </c>
      <c r="N850" s="520"/>
      <c r="O850" s="564"/>
      <c r="P850" s="564" t="s">
        <v>1467</v>
      </c>
      <c r="Q850" s="564"/>
      <c r="R850" s="564">
        <v>1</v>
      </c>
    </row>
    <row r="851" spans="1:18" ht="15" customHeight="1" x14ac:dyDescent="0.25">
      <c r="A851" s="564">
        <v>9</v>
      </c>
      <c r="B851" s="564">
        <v>9</v>
      </c>
      <c r="C851" s="564">
        <v>2</v>
      </c>
      <c r="D851" s="564">
        <v>22</v>
      </c>
      <c r="E851" s="564">
        <v>1</v>
      </c>
      <c r="F851" s="564">
        <v>1</v>
      </c>
      <c r="G851" s="564" t="s">
        <v>473</v>
      </c>
      <c r="H851" s="564">
        <v>1324.2850000000001</v>
      </c>
      <c r="I851" s="564">
        <v>0</v>
      </c>
      <c r="J851" s="564">
        <v>0</v>
      </c>
      <c r="K851" s="564">
        <v>5</v>
      </c>
      <c r="L851" s="564">
        <v>4</v>
      </c>
      <c r="M851" s="561" t="s">
        <v>137</v>
      </c>
      <c r="N851" s="651">
        <v>4304756526</v>
      </c>
      <c r="O851" s="564" t="s">
        <v>902</v>
      </c>
      <c r="P851" s="564" t="s">
        <v>1468</v>
      </c>
      <c r="Q851" s="564"/>
      <c r="R851" s="564">
        <v>2</v>
      </c>
    </row>
    <row r="852" spans="1:18" ht="15" customHeight="1" x14ac:dyDescent="0.25">
      <c r="A852" s="564">
        <v>9</v>
      </c>
      <c r="B852" s="564">
        <v>9</v>
      </c>
      <c r="C852" s="564">
        <v>2</v>
      </c>
      <c r="D852" s="564">
        <v>22</v>
      </c>
      <c r="E852" s="564">
        <v>1</v>
      </c>
      <c r="F852" s="564">
        <v>1</v>
      </c>
      <c r="G852" s="521" t="s">
        <v>476</v>
      </c>
      <c r="H852" s="564">
        <v>1324.2850000000001</v>
      </c>
      <c r="I852" s="564">
        <v>0</v>
      </c>
      <c r="J852" s="564">
        <v>0</v>
      </c>
      <c r="K852" s="564">
        <v>5</v>
      </c>
      <c r="L852" s="564">
        <v>4</v>
      </c>
      <c r="M852" s="561" t="s">
        <v>137</v>
      </c>
      <c r="N852" s="651">
        <v>4304756526</v>
      </c>
      <c r="O852" s="564" t="s">
        <v>902</v>
      </c>
      <c r="P852" s="564" t="s">
        <v>1469</v>
      </c>
      <c r="Q852" s="564"/>
      <c r="R852" s="564">
        <v>2</v>
      </c>
    </row>
    <row r="853" spans="1:18" ht="15" customHeight="1" x14ac:dyDescent="0.25">
      <c r="A853" s="564">
        <v>9</v>
      </c>
      <c r="B853" s="564">
        <v>9</v>
      </c>
      <c r="C853" s="564">
        <v>2</v>
      </c>
      <c r="D853" s="564">
        <v>22</v>
      </c>
      <c r="E853" s="564">
        <v>1</v>
      </c>
      <c r="F853" s="564">
        <v>1</v>
      </c>
      <c r="G853" s="564" t="s">
        <v>478</v>
      </c>
      <c r="H853" s="564">
        <v>1324.2249999999999</v>
      </c>
      <c r="I853" s="564">
        <v>0</v>
      </c>
      <c r="J853" s="564">
        <v>0</v>
      </c>
      <c r="K853" s="564">
        <v>28</v>
      </c>
      <c r="L853" s="564">
        <v>4</v>
      </c>
      <c r="M853" s="561" t="s">
        <v>137</v>
      </c>
      <c r="N853" s="651">
        <v>4304756526</v>
      </c>
      <c r="O853" s="564" t="s">
        <v>902</v>
      </c>
      <c r="P853" s="564" t="s">
        <v>1470</v>
      </c>
      <c r="Q853" s="564"/>
      <c r="R853" s="564">
        <v>2</v>
      </c>
    </row>
    <row r="854" spans="1:18" ht="15" customHeight="1" x14ac:dyDescent="0.25">
      <c r="A854" s="564">
        <v>9</v>
      </c>
      <c r="B854" s="564">
        <v>9</v>
      </c>
      <c r="C854" s="564">
        <v>2</v>
      </c>
      <c r="D854" s="564">
        <v>22</v>
      </c>
      <c r="E854" s="564">
        <v>1</v>
      </c>
      <c r="F854" s="564">
        <v>1</v>
      </c>
      <c r="G854" s="564" t="s">
        <v>484</v>
      </c>
      <c r="H854" s="564">
        <v>1324.2249999999999</v>
      </c>
      <c r="I854" s="564">
        <v>0</v>
      </c>
      <c r="J854" s="564">
        <v>0</v>
      </c>
      <c r="K854" s="564">
        <v>28</v>
      </c>
      <c r="L854" s="564">
        <v>4</v>
      </c>
      <c r="M854" s="561" t="s">
        <v>137</v>
      </c>
      <c r="N854" s="651">
        <v>4304756526</v>
      </c>
      <c r="O854" s="564" t="s">
        <v>902</v>
      </c>
      <c r="P854" s="564" t="s">
        <v>1471</v>
      </c>
      <c r="Q854" s="564"/>
      <c r="R854" s="564">
        <v>2</v>
      </c>
    </row>
    <row r="855" spans="1:18" ht="15" customHeight="1" x14ac:dyDescent="0.25">
      <c r="A855" s="564">
        <v>9</v>
      </c>
      <c r="B855" s="564">
        <v>9</v>
      </c>
      <c r="C855" s="564">
        <v>2</v>
      </c>
      <c r="D855" s="564">
        <v>22</v>
      </c>
      <c r="E855" s="564">
        <v>1</v>
      </c>
      <c r="F855" s="564">
        <v>1</v>
      </c>
      <c r="G855" s="564" t="s">
        <v>486</v>
      </c>
      <c r="H855" s="564">
        <v>1323.91</v>
      </c>
      <c r="I855" s="564">
        <v>0</v>
      </c>
      <c r="J855" s="564">
        <v>9</v>
      </c>
      <c r="K855" s="564">
        <v>50</v>
      </c>
      <c r="L855" s="564">
        <v>4</v>
      </c>
      <c r="M855" s="561" t="s">
        <v>137</v>
      </c>
      <c r="N855" s="651">
        <v>4304756526</v>
      </c>
      <c r="O855" s="564" t="s">
        <v>902</v>
      </c>
      <c r="P855" s="564" t="s">
        <v>1472</v>
      </c>
      <c r="Q855" s="564"/>
      <c r="R855" s="564">
        <v>2</v>
      </c>
    </row>
    <row r="856" spans="1:18" ht="15" customHeight="1" x14ac:dyDescent="0.25">
      <c r="A856" s="564">
        <v>9</v>
      </c>
      <c r="B856" s="564">
        <v>9</v>
      </c>
      <c r="C856" s="564">
        <v>2</v>
      </c>
      <c r="D856" s="564">
        <v>22</v>
      </c>
      <c r="E856" s="564">
        <v>1</v>
      </c>
      <c r="F856" s="564">
        <v>1</v>
      </c>
      <c r="G856" s="521" t="s">
        <v>488</v>
      </c>
      <c r="H856" s="564">
        <v>1323.91</v>
      </c>
      <c r="I856" s="564">
        <v>0</v>
      </c>
      <c r="J856" s="564">
        <v>9</v>
      </c>
      <c r="K856" s="564">
        <v>50</v>
      </c>
      <c r="L856" s="564">
        <v>4</v>
      </c>
      <c r="M856" s="561" t="s">
        <v>137</v>
      </c>
      <c r="N856" s="651">
        <v>4304756526</v>
      </c>
      <c r="O856" s="564" t="s">
        <v>902</v>
      </c>
      <c r="P856" s="564" t="s">
        <v>1473</v>
      </c>
      <c r="Q856" s="564"/>
      <c r="R856" s="564">
        <v>2</v>
      </c>
    </row>
    <row r="857" spans="1:18" ht="15" customHeight="1" x14ac:dyDescent="0.25">
      <c r="A857" s="564">
        <v>9</v>
      </c>
      <c r="B857" s="564">
        <v>9</v>
      </c>
      <c r="C857" s="564">
        <v>2</v>
      </c>
      <c r="D857" s="564">
        <v>22</v>
      </c>
      <c r="E857" s="564">
        <v>1</v>
      </c>
      <c r="F857" s="564">
        <v>1</v>
      </c>
      <c r="G857" s="564" t="s">
        <v>490</v>
      </c>
      <c r="H857" s="564">
        <v>1323.85</v>
      </c>
      <c r="I857" s="564">
        <v>0</v>
      </c>
      <c r="J857" s="564">
        <v>9</v>
      </c>
      <c r="K857" s="564">
        <v>7</v>
      </c>
      <c r="L857" s="564">
        <v>4</v>
      </c>
      <c r="M857" s="561" t="s">
        <v>137</v>
      </c>
      <c r="N857" s="651">
        <v>4304756526</v>
      </c>
      <c r="O857" s="564" t="s">
        <v>902</v>
      </c>
      <c r="P857" s="564" t="s">
        <v>1474</v>
      </c>
      <c r="Q857" s="564"/>
      <c r="R857" s="564">
        <v>2</v>
      </c>
    </row>
    <row r="858" spans="1:18" ht="15" customHeight="1" x14ac:dyDescent="0.25">
      <c r="A858" s="564">
        <v>9</v>
      </c>
      <c r="B858" s="564">
        <v>9</v>
      </c>
      <c r="C858" s="564">
        <v>2</v>
      </c>
      <c r="D858" s="564">
        <v>22</v>
      </c>
      <c r="E858" s="564">
        <v>1</v>
      </c>
      <c r="F858" s="564">
        <v>1</v>
      </c>
      <c r="G858" s="564" t="s">
        <v>493</v>
      </c>
      <c r="H858" s="564">
        <v>1323.85</v>
      </c>
      <c r="I858" s="564">
        <v>0</v>
      </c>
      <c r="J858" s="564">
        <v>9</v>
      </c>
      <c r="K858" s="564">
        <v>7</v>
      </c>
      <c r="L858" s="564">
        <v>4</v>
      </c>
      <c r="M858" s="561" t="s">
        <v>137</v>
      </c>
      <c r="N858" s="651">
        <v>4304756526</v>
      </c>
      <c r="O858" s="564" t="s">
        <v>902</v>
      </c>
      <c r="P858" s="564" t="s">
        <v>1475</v>
      </c>
      <c r="Q858" s="564"/>
      <c r="R858" s="564">
        <v>2</v>
      </c>
    </row>
    <row r="859" spans="1:18" ht="15" customHeight="1" x14ac:dyDescent="0.25">
      <c r="A859" s="564">
        <v>9</v>
      </c>
      <c r="B859" s="564">
        <v>9</v>
      </c>
      <c r="C859" s="564">
        <v>2</v>
      </c>
      <c r="D859" s="564">
        <v>22</v>
      </c>
      <c r="E859" s="564">
        <v>1</v>
      </c>
      <c r="F859" s="564">
        <v>1</v>
      </c>
      <c r="G859" s="564" t="s">
        <v>474</v>
      </c>
      <c r="H859" s="564">
        <v>1320.835</v>
      </c>
      <c r="I859" s="564">
        <v>89</v>
      </c>
      <c r="J859" s="564">
        <v>57</v>
      </c>
      <c r="K859" s="564">
        <v>13</v>
      </c>
      <c r="L859" s="564">
        <v>3</v>
      </c>
      <c r="M859" s="561" t="s">
        <v>137</v>
      </c>
      <c r="N859" s="651">
        <v>4304756526</v>
      </c>
      <c r="O859" s="564" t="s">
        <v>902</v>
      </c>
      <c r="P859" s="564" t="s">
        <v>1476</v>
      </c>
      <c r="Q859" s="564"/>
      <c r="R859" s="564">
        <v>2</v>
      </c>
    </row>
    <row r="860" spans="1:18" ht="15" customHeight="1" x14ac:dyDescent="0.25">
      <c r="A860" s="564">
        <v>9</v>
      </c>
      <c r="B860" s="564">
        <v>9</v>
      </c>
      <c r="C860" s="564">
        <v>2</v>
      </c>
      <c r="D860" s="564">
        <v>22</v>
      </c>
      <c r="E860" s="564">
        <v>1</v>
      </c>
      <c r="F860" s="564">
        <v>1</v>
      </c>
      <c r="G860" s="521" t="s">
        <v>477</v>
      </c>
      <c r="H860" s="564">
        <v>1320.835</v>
      </c>
      <c r="I860" s="564">
        <v>89</v>
      </c>
      <c r="J860" s="564">
        <v>57</v>
      </c>
      <c r="K860" s="564">
        <v>13</v>
      </c>
      <c r="L860" s="564">
        <v>3</v>
      </c>
      <c r="M860" s="561" t="s">
        <v>137</v>
      </c>
      <c r="N860" s="651">
        <v>4304756526</v>
      </c>
      <c r="O860" s="564" t="s">
        <v>902</v>
      </c>
      <c r="P860" s="564" t="s">
        <v>1477</v>
      </c>
      <c r="Q860" s="564"/>
      <c r="R860" s="564">
        <v>2</v>
      </c>
    </row>
    <row r="861" spans="1:18" ht="15" customHeight="1" x14ac:dyDescent="0.25">
      <c r="A861" s="564">
        <v>9</v>
      </c>
      <c r="B861" s="564">
        <v>9</v>
      </c>
      <c r="C861" s="564">
        <v>2</v>
      </c>
      <c r="D861" s="564">
        <v>22</v>
      </c>
      <c r="E861" s="564">
        <v>1</v>
      </c>
      <c r="F861" s="564">
        <v>1</v>
      </c>
      <c r="G861" s="564" t="s">
        <v>479</v>
      </c>
      <c r="H861" s="564">
        <v>1320.5350000000001</v>
      </c>
      <c r="I861" s="564">
        <v>89</v>
      </c>
      <c r="J861" s="564">
        <v>56</v>
      </c>
      <c r="K861" s="564">
        <v>38</v>
      </c>
      <c r="L861" s="564">
        <v>3</v>
      </c>
      <c r="M861" s="561" t="s">
        <v>137</v>
      </c>
      <c r="N861" s="651">
        <v>4304756526</v>
      </c>
      <c r="O861" s="564" t="s">
        <v>902</v>
      </c>
      <c r="P861" s="564" t="s">
        <v>1478</v>
      </c>
      <c r="Q861" s="564"/>
      <c r="R861" s="564">
        <v>2</v>
      </c>
    </row>
    <row r="862" spans="1:18" ht="15" customHeight="1" x14ac:dyDescent="0.25">
      <c r="A862" s="564">
        <v>9</v>
      </c>
      <c r="B862" s="564">
        <v>9</v>
      </c>
      <c r="C862" s="564">
        <v>2</v>
      </c>
      <c r="D862" s="564">
        <v>22</v>
      </c>
      <c r="E862" s="564">
        <v>1</v>
      </c>
      <c r="F862" s="564">
        <v>1</v>
      </c>
      <c r="G862" s="564" t="s">
        <v>485</v>
      </c>
      <c r="H862" s="564">
        <v>1320.5350000000001</v>
      </c>
      <c r="I862" s="564">
        <v>89</v>
      </c>
      <c r="J862" s="564">
        <v>56</v>
      </c>
      <c r="K862" s="564">
        <v>38</v>
      </c>
      <c r="L862" s="564">
        <v>3</v>
      </c>
      <c r="M862" s="561" t="s">
        <v>137</v>
      </c>
      <c r="N862" s="651">
        <v>4304756526</v>
      </c>
      <c r="O862" s="564" t="s">
        <v>902</v>
      </c>
      <c r="P862" s="564" t="s">
        <v>1479</v>
      </c>
      <c r="Q862" s="564"/>
      <c r="R862" s="564">
        <v>2</v>
      </c>
    </row>
    <row r="863" spans="1:18" ht="15" customHeight="1" x14ac:dyDescent="0.25">
      <c r="A863" s="564">
        <v>9</v>
      </c>
      <c r="B863" s="564">
        <v>9</v>
      </c>
      <c r="C863" s="564">
        <v>2</v>
      </c>
      <c r="D863" s="564">
        <v>22</v>
      </c>
      <c r="E863" s="564">
        <v>1</v>
      </c>
      <c r="F863" s="564">
        <v>1</v>
      </c>
      <c r="G863" s="564" t="s">
        <v>487</v>
      </c>
      <c r="H863" s="564">
        <v>1325.26</v>
      </c>
      <c r="I863" s="564">
        <v>89</v>
      </c>
      <c r="J863" s="564">
        <v>46</v>
      </c>
      <c r="K863" s="564">
        <v>50</v>
      </c>
      <c r="L863" s="564">
        <v>3</v>
      </c>
      <c r="M863" s="561" t="s">
        <v>137</v>
      </c>
      <c r="N863" s="651">
        <v>4304756526</v>
      </c>
      <c r="O863" s="564" t="s">
        <v>902</v>
      </c>
      <c r="P863" s="564" t="s">
        <v>1480</v>
      </c>
      <c r="Q863" s="564"/>
      <c r="R863" s="564">
        <v>2</v>
      </c>
    </row>
    <row r="864" spans="1:18" ht="15" customHeight="1" x14ac:dyDescent="0.25">
      <c r="A864" s="564">
        <v>9</v>
      </c>
      <c r="B864" s="564">
        <v>9</v>
      </c>
      <c r="C864" s="564">
        <v>2</v>
      </c>
      <c r="D864" s="564">
        <v>22</v>
      </c>
      <c r="E864" s="564">
        <v>1</v>
      </c>
      <c r="F864" s="564">
        <v>1</v>
      </c>
      <c r="G864" s="521" t="s">
        <v>489</v>
      </c>
      <c r="H864" s="564">
        <v>1325.26</v>
      </c>
      <c r="I864" s="564">
        <v>89</v>
      </c>
      <c r="J864" s="564">
        <v>46</v>
      </c>
      <c r="K864" s="564">
        <v>50</v>
      </c>
      <c r="L864" s="564">
        <v>3</v>
      </c>
      <c r="M864" s="561" t="s">
        <v>137</v>
      </c>
      <c r="N864" s="651">
        <v>4304756526</v>
      </c>
      <c r="O864" s="564" t="s">
        <v>902</v>
      </c>
      <c r="P864" s="564" t="s">
        <v>1481</v>
      </c>
      <c r="Q864" s="564"/>
      <c r="R864" s="564">
        <v>2</v>
      </c>
    </row>
    <row r="865" spans="1:18" ht="15" customHeight="1" x14ac:dyDescent="0.25">
      <c r="A865" s="564">
        <v>9</v>
      </c>
      <c r="B865" s="564">
        <v>9</v>
      </c>
      <c r="C865" s="564">
        <v>2</v>
      </c>
      <c r="D865" s="564">
        <v>22</v>
      </c>
      <c r="E865" s="564">
        <v>1</v>
      </c>
      <c r="F865" s="564">
        <v>1</v>
      </c>
      <c r="G865" s="564" t="s">
        <v>491</v>
      </c>
      <c r="H865" s="564">
        <v>1323.2049999999999</v>
      </c>
      <c r="I865" s="564">
        <v>89</v>
      </c>
      <c r="J865" s="564">
        <v>54</v>
      </c>
      <c r="K865" s="564">
        <v>55</v>
      </c>
      <c r="L865" s="564">
        <v>4</v>
      </c>
      <c r="M865" s="561" t="s">
        <v>137</v>
      </c>
      <c r="N865" s="651">
        <v>4304756526</v>
      </c>
      <c r="O865" s="564" t="s">
        <v>902</v>
      </c>
      <c r="P865" s="564" t="s">
        <v>1482</v>
      </c>
      <c r="Q865" s="564"/>
      <c r="R865" s="564">
        <v>2</v>
      </c>
    </row>
    <row r="866" spans="1:18" ht="15" customHeight="1" x14ac:dyDescent="0.25">
      <c r="A866" s="564">
        <v>9</v>
      </c>
      <c r="B866" s="564">
        <v>9</v>
      </c>
      <c r="C866" s="564">
        <v>2</v>
      </c>
      <c r="D866" s="564">
        <v>22</v>
      </c>
      <c r="E866" s="564">
        <v>1</v>
      </c>
      <c r="F866" s="564">
        <v>1</v>
      </c>
      <c r="G866" s="564" t="s">
        <v>494</v>
      </c>
      <c r="H866" s="564">
        <v>1323.2049999999999</v>
      </c>
      <c r="I866" s="564">
        <v>89</v>
      </c>
      <c r="J866" s="564">
        <v>54</v>
      </c>
      <c r="K866" s="564">
        <v>55</v>
      </c>
      <c r="L866" s="564">
        <v>4</v>
      </c>
      <c r="M866" s="561" t="s">
        <v>137</v>
      </c>
      <c r="N866" s="651">
        <v>4304756526</v>
      </c>
      <c r="O866" s="564" t="s">
        <v>902</v>
      </c>
      <c r="P866" s="564" t="s">
        <v>1483</v>
      </c>
      <c r="Q866" s="564"/>
      <c r="R866" s="564">
        <v>2</v>
      </c>
    </row>
    <row r="867" spans="1:18" ht="15" customHeight="1" x14ac:dyDescent="0.25">
      <c r="A867" s="553">
        <v>10</v>
      </c>
      <c r="B867" s="553">
        <v>20</v>
      </c>
      <c r="C867" s="553">
        <v>2</v>
      </c>
      <c r="D867" s="553">
        <v>21</v>
      </c>
      <c r="E867" s="553">
        <v>1</v>
      </c>
      <c r="F867" s="553">
        <v>1</v>
      </c>
      <c r="G867" s="553" t="s">
        <v>473</v>
      </c>
      <c r="H867" s="553">
        <v>1320</v>
      </c>
      <c r="I867" s="553">
        <v>0</v>
      </c>
      <c r="J867" s="553">
        <v>2</v>
      </c>
      <c r="K867" s="553">
        <v>0</v>
      </c>
      <c r="L867" s="553">
        <v>4</v>
      </c>
      <c r="M867" s="505" t="s">
        <v>137</v>
      </c>
      <c r="N867" s="500">
        <v>43019500930000</v>
      </c>
      <c r="O867" s="553" t="s">
        <v>1484</v>
      </c>
      <c r="P867" s="650" t="s">
        <v>1485</v>
      </c>
      <c r="Q867" s="564" t="s">
        <v>583</v>
      </c>
      <c r="R867" s="564">
        <v>1</v>
      </c>
    </row>
    <row r="868" spans="1:18" ht="15" customHeight="1" x14ac:dyDescent="0.25">
      <c r="A868" s="553">
        <v>10</v>
      </c>
      <c r="B868" s="553">
        <v>20</v>
      </c>
      <c r="C868" s="553">
        <v>2</v>
      </c>
      <c r="D868" s="553">
        <v>21</v>
      </c>
      <c r="E868" s="553">
        <v>1</v>
      </c>
      <c r="F868" s="553">
        <v>1</v>
      </c>
      <c r="G868" s="502" t="s">
        <v>476</v>
      </c>
      <c r="H868" s="553">
        <v>1320</v>
      </c>
      <c r="I868" s="553">
        <v>0</v>
      </c>
      <c r="J868" s="553">
        <v>2</v>
      </c>
      <c r="K868" s="553">
        <v>0</v>
      </c>
      <c r="L868" s="553">
        <v>4</v>
      </c>
      <c r="M868" s="505" t="s">
        <v>137</v>
      </c>
      <c r="N868" s="500">
        <v>43019500930000</v>
      </c>
      <c r="O868" s="553" t="s">
        <v>1484</v>
      </c>
      <c r="P868" s="650" t="s">
        <v>1486</v>
      </c>
      <c r="Q868" s="564" t="s">
        <v>583</v>
      </c>
      <c r="R868" s="564">
        <v>1</v>
      </c>
    </row>
    <row r="869" spans="1:18" ht="15" customHeight="1" x14ac:dyDescent="0.25">
      <c r="A869" s="553">
        <v>10</v>
      </c>
      <c r="B869" s="553">
        <v>20</v>
      </c>
      <c r="C869" s="553">
        <v>2</v>
      </c>
      <c r="D869" s="553">
        <v>21</v>
      </c>
      <c r="E869" s="553">
        <v>1</v>
      </c>
      <c r="F869" s="553">
        <v>1</v>
      </c>
      <c r="G869" s="553" t="s">
        <v>478</v>
      </c>
      <c r="H869" s="553">
        <v>1320</v>
      </c>
      <c r="I869" s="553">
        <v>0</v>
      </c>
      <c r="J869" s="553">
        <v>2</v>
      </c>
      <c r="K869" s="553">
        <v>0</v>
      </c>
      <c r="L869" s="553">
        <v>4</v>
      </c>
      <c r="M869" s="505" t="s">
        <v>137</v>
      </c>
      <c r="N869" s="500">
        <v>43019500930000</v>
      </c>
      <c r="O869" s="553" t="s">
        <v>1484</v>
      </c>
      <c r="P869" s="650" t="s">
        <v>1487</v>
      </c>
      <c r="Q869" s="564" t="s">
        <v>583</v>
      </c>
      <c r="R869" s="564">
        <v>1</v>
      </c>
    </row>
    <row r="870" spans="1:18" ht="15" customHeight="1" x14ac:dyDescent="0.25">
      <c r="A870" s="553">
        <v>10</v>
      </c>
      <c r="B870" s="553">
        <v>20</v>
      </c>
      <c r="C870" s="553">
        <v>2</v>
      </c>
      <c r="D870" s="553">
        <v>21</v>
      </c>
      <c r="E870" s="553">
        <v>1</v>
      </c>
      <c r="F870" s="553">
        <v>1</v>
      </c>
      <c r="G870" s="553" t="s">
        <v>484</v>
      </c>
      <c r="H870" s="553">
        <v>1320</v>
      </c>
      <c r="I870" s="553">
        <v>0</v>
      </c>
      <c r="J870" s="553">
        <v>2</v>
      </c>
      <c r="K870" s="553">
        <v>0</v>
      </c>
      <c r="L870" s="553">
        <v>4</v>
      </c>
      <c r="M870" s="505" t="s">
        <v>137</v>
      </c>
      <c r="N870" s="500">
        <v>43019500930000</v>
      </c>
      <c r="O870" s="553" t="s">
        <v>1484</v>
      </c>
      <c r="P870" s="650" t="s">
        <v>1488</v>
      </c>
      <c r="Q870" s="564" t="s">
        <v>583</v>
      </c>
      <c r="R870" s="564">
        <v>1</v>
      </c>
    </row>
    <row r="871" spans="1:18" ht="15" customHeight="1" x14ac:dyDescent="0.25">
      <c r="A871" s="553">
        <v>10</v>
      </c>
      <c r="B871" s="553">
        <v>20</v>
      </c>
      <c r="C871" s="553">
        <v>2</v>
      </c>
      <c r="D871" s="553">
        <v>21</v>
      </c>
      <c r="E871" s="553">
        <v>1</v>
      </c>
      <c r="F871" s="553">
        <v>1</v>
      </c>
      <c r="G871" s="553" t="s">
        <v>486</v>
      </c>
      <c r="H871" s="553">
        <v>1320</v>
      </c>
      <c r="I871" s="553">
        <v>0</v>
      </c>
      <c r="J871" s="553">
        <v>1</v>
      </c>
      <c r="K871" s="553">
        <v>0</v>
      </c>
      <c r="L871" s="553">
        <v>4</v>
      </c>
      <c r="M871" s="505" t="s">
        <v>137</v>
      </c>
      <c r="N871" s="500">
        <v>43019500930000</v>
      </c>
      <c r="O871" s="553" t="s">
        <v>1484</v>
      </c>
      <c r="P871" s="650" t="s">
        <v>1489</v>
      </c>
      <c r="Q871" s="564" t="s">
        <v>583</v>
      </c>
      <c r="R871" s="564">
        <v>1</v>
      </c>
    </row>
    <row r="872" spans="1:18" ht="15" customHeight="1" x14ac:dyDescent="0.25">
      <c r="A872" s="553">
        <v>10</v>
      </c>
      <c r="B872" s="553">
        <v>20</v>
      </c>
      <c r="C872" s="553">
        <v>2</v>
      </c>
      <c r="D872" s="553">
        <v>21</v>
      </c>
      <c r="E872" s="553">
        <v>1</v>
      </c>
      <c r="F872" s="553">
        <v>1</v>
      </c>
      <c r="G872" s="502" t="s">
        <v>488</v>
      </c>
      <c r="H872" s="553">
        <v>1320</v>
      </c>
      <c r="I872" s="553">
        <v>0</v>
      </c>
      <c r="J872" s="553">
        <v>1</v>
      </c>
      <c r="K872" s="553">
        <v>0</v>
      </c>
      <c r="L872" s="553">
        <v>4</v>
      </c>
      <c r="M872" s="505" t="s">
        <v>137</v>
      </c>
      <c r="N872" s="500">
        <v>43019500930000</v>
      </c>
      <c r="O872" s="553" t="s">
        <v>1484</v>
      </c>
      <c r="P872" s="650" t="s">
        <v>1490</v>
      </c>
      <c r="Q872" s="564" t="s">
        <v>583</v>
      </c>
      <c r="R872" s="564">
        <v>1</v>
      </c>
    </row>
    <row r="873" spans="1:18" ht="15" customHeight="1" x14ac:dyDescent="0.25">
      <c r="A873" s="553">
        <v>10</v>
      </c>
      <c r="B873" s="553">
        <v>20</v>
      </c>
      <c r="C873" s="553">
        <v>2</v>
      </c>
      <c r="D873" s="553">
        <v>21</v>
      </c>
      <c r="E873" s="553">
        <v>1</v>
      </c>
      <c r="F873" s="553">
        <v>1</v>
      </c>
      <c r="G873" s="553" t="s">
        <v>490</v>
      </c>
      <c r="H873" s="553">
        <v>1319.55</v>
      </c>
      <c r="I873" s="553">
        <v>0</v>
      </c>
      <c r="J873" s="553">
        <v>0</v>
      </c>
      <c r="K873" s="553">
        <v>38</v>
      </c>
      <c r="L873" s="553">
        <v>2</v>
      </c>
      <c r="M873" s="505" t="s">
        <v>137</v>
      </c>
      <c r="N873" s="500">
        <v>43019500930000</v>
      </c>
      <c r="O873" s="553" t="s">
        <v>1484</v>
      </c>
      <c r="P873" s="650" t="s">
        <v>1491</v>
      </c>
      <c r="Q873" s="564" t="s">
        <v>583</v>
      </c>
      <c r="R873" s="564">
        <v>1</v>
      </c>
    </row>
    <row r="874" spans="1:18" ht="15" customHeight="1" x14ac:dyDescent="0.25">
      <c r="A874" s="553">
        <v>10</v>
      </c>
      <c r="B874" s="553">
        <v>20</v>
      </c>
      <c r="C874" s="553">
        <v>2</v>
      </c>
      <c r="D874" s="553">
        <v>21</v>
      </c>
      <c r="E874" s="553">
        <v>1</v>
      </c>
      <c r="F874" s="553">
        <v>1</v>
      </c>
      <c r="G874" s="553" t="s">
        <v>493</v>
      </c>
      <c r="H874" s="553">
        <v>1319.55</v>
      </c>
      <c r="I874" s="553">
        <v>0</v>
      </c>
      <c r="J874" s="553">
        <v>0</v>
      </c>
      <c r="K874" s="553">
        <v>38</v>
      </c>
      <c r="L874" s="553">
        <v>2</v>
      </c>
      <c r="M874" s="505" t="s">
        <v>137</v>
      </c>
      <c r="N874" s="500">
        <v>43019500930000</v>
      </c>
      <c r="O874" s="553" t="s">
        <v>1484</v>
      </c>
      <c r="P874" s="650" t="s">
        <v>1492</v>
      </c>
      <c r="Q874" s="564" t="s">
        <v>583</v>
      </c>
      <c r="R874" s="564">
        <v>1</v>
      </c>
    </row>
    <row r="875" spans="1:18" ht="15" customHeight="1" x14ac:dyDescent="0.25">
      <c r="A875" s="553">
        <v>10</v>
      </c>
      <c r="B875" s="553">
        <v>20</v>
      </c>
      <c r="C875" s="553">
        <v>2</v>
      </c>
      <c r="D875" s="553">
        <v>21</v>
      </c>
      <c r="E875" s="553">
        <v>1</v>
      </c>
      <c r="F875" s="553">
        <v>1</v>
      </c>
      <c r="G875" s="553" t="s">
        <v>474</v>
      </c>
      <c r="H875" s="553">
        <v>1321.65</v>
      </c>
      <c r="I875" s="553">
        <v>89</v>
      </c>
      <c r="J875" s="553">
        <v>56</v>
      </c>
      <c r="K875" s="553">
        <v>0</v>
      </c>
      <c r="L875" s="553">
        <v>4</v>
      </c>
      <c r="M875" s="505" t="s">
        <v>137</v>
      </c>
      <c r="N875" s="500">
        <v>43019500930000</v>
      </c>
      <c r="O875" s="553" t="s">
        <v>1484</v>
      </c>
      <c r="P875" s="650" t="s">
        <v>1493</v>
      </c>
      <c r="Q875" s="564" t="s">
        <v>583</v>
      </c>
      <c r="R875" s="564">
        <v>1</v>
      </c>
    </row>
    <row r="876" spans="1:18" ht="15" customHeight="1" x14ac:dyDescent="0.25">
      <c r="A876" s="553">
        <v>10</v>
      </c>
      <c r="B876" s="553">
        <v>20</v>
      </c>
      <c r="C876" s="553">
        <v>2</v>
      </c>
      <c r="D876" s="553">
        <v>21</v>
      </c>
      <c r="E876" s="553">
        <v>1</v>
      </c>
      <c r="F876" s="553">
        <v>1</v>
      </c>
      <c r="G876" s="502" t="s">
        <v>477</v>
      </c>
      <c r="H876" s="553">
        <v>1321.65</v>
      </c>
      <c r="I876" s="553">
        <v>89</v>
      </c>
      <c r="J876" s="553">
        <v>56</v>
      </c>
      <c r="K876" s="553">
        <v>0</v>
      </c>
      <c r="L876" s="553">
        <v>4</v>
      </c>
      <c r="M876" s="505" t="s">
        <v>137</v>
      </c>
      <c r="N876" s="500">
        <v>43019500930000</v>
      </c>
      <c r="O876" s="553" t="s">
        <v>1484</v>
      </c>
      <c r="P876" s="650" t="s">
        <v>1494</v>
      </c>
      <c r="Q876" s="564" t="s">
        <v>583</v>
      </c>
      <c r="R876" s="564">
        <v>1</v>
      </c>
    </row>
    <row r="877" spans="1:18" ht="15" customHeight="1" x14ac:dyDescent="0.25">
      <c r="A877" s="553">
        <v>10</v>
      </c>
      <c r="B877" s="553">
        <v>20</v>
      </c>
      <c r="C877" s="553">
        <v>2</v>
      </c>
      <c r="D877" s="553">
        <v>21</v>
      </c>
      <c r="E877" s="553">
        <v>1</v>
      </c>
      <c r="F877" s="553">
        <v>1</v>
      </c>
      <c r="G877" s="553" t="s">
        <v>479</v>
      </c>
      <c r="H877" s="553">
        <v>1321.65</v>
      </c>
      <c r="I877" s="553">
        <v>89</v>
      </c>
      <c r="J877" s="553">
        <v>56</v>
      </c>
      <c r="K877" s="553">
        <v>0</v>
      </c>
      <c r="L877" s="553">
        <v>4</v>
      </c>
      <c r="M877" s="505" t="s">
        <v>137</v>
      </c>
      <c r="N877" s="500">
        <v>43019500930000</v>
      </c>
      <c r="O877" s="553" t="s">
        <v>1484</v>
      </c>
      <c r="P877" s="650" t="s">
        <v>1495</v>
      </c>
      <c r="Q877" s="564" t="s">
        <v>583</v>
      </c>
      <c r="R877" s="564">
        <v>1</v>
      </c>
    </row>
    <row r="878" spans="1:18" ht="15" customHeight="1" x14ac:dyDescent="0.25">
      <c r="A878" s="553">
        <v>10</v>
      </c>
      <c r="B878" s="553">
        <v>20</v>
      </c>
      <c r="C878" s="553">
        <v>2</v>
      </c>
      <c r="D878" s="553">
        <v>21</v>
      </c>
      <c r="E878" s="553">
        <v>1</v>
      </c>
      <c r="F878" s="553">
        <v>1</v>
      </c>
      <c r="G878" s="553" t="s">
        <v>485</v>
      </c>
      <c r="H878" s="553">
        <v>1321.65</v>
      </c>
      <c r="I878" s="553">
        <v>89</v>
      </c>
      <c r="J878" s="553">
        <v>56</v>
      </c>
      <c r="K878" s="553">
        <v>0</v>
      </c>
      <c r="L878" s="553">
        <v>4</v>
      </c>
      <c r="M878" s="505" t="s">
        <v>137</v>
      </c>
      <c r="N878" s="500">
        <v>43019500930000</v>
      </c>
      <c r="O878" s="553" t="s">
        <v>1484</v>
      </c>
      <c r="P878" s="650" t="s">
        <v>1496</v>
      </c>
      <c r="Q878" s="564" t="s">
        <v>583</v>
      </c>
      <c r="R878" s="564">
        <v>1</v>
      </c>
    </row>
    <row r="879" spans="1:18" ht="15" customHeight="1" x14ac:dyDescent="0.25">
      <c r="A879" s="553">
        <v>10</v>
      </c>
      <c r="B879" s="553">
        <v>20</v>
      </c>
      <c r="C879" s="553">
        <v>2</v>
      </c>
      <c r="D879" s="553">
        <v>21</v>
      </c>
      <c r="E879" s="553">
        <v>1</v>
      </c>
      <c r="F879" s="553">
        <v>1</v>
      </c>
      <c r="G879" s="553" t="s">
        <v>487</v>
      </c>
      <c r="H879" s="553">
        <v>1322.95</v>
      </c>
      <c r="I879" s="553">
        <v>89</v>
      </c>
      <c r="J879" s="553">
        <v>51</v>
      </c>
      <c r="K879" s="553">
        <v>17</v>
      </c>
      <c r="L879" s="553">
        <v>4</v>
      </c>
      <c r="M879" s="505" t="s">
        <v>137</v>
      </c>
      <c r="N879" s="500">
        <v>43019500930000</v>
      </c>
      <c r="O879" s="553" t="s">
        <v>1484</v>
      </c>
      <c r="P879" s="650" t="s">
        <v>1497</v>
      </c>
      <c r="Q879" s="564" t="s">
        <v>583</v>
      </c>
      <c r="R879" s="564">
        <v>1</v>
      </c>
    </row>
    <row r="880" spans="1:18" ht="15" customHeight="1" x14ac:dyDescent="0.25">
      <c r="A880" s="553">
        <v>10</v>
      </c>
      <c r="B880" s="553">
        <v>20</v>
      </c>
      <c r="C880" s="553">
        <v>2</v>
      </c>
      <c r="D880" s="553">
        <v>21</v>
      </c>
      <c r="E880" s="553">
        <v>1</v>
      </c>
      <c r="F880" s="553">
        <v>1</v>
      </c>
      <c r="G880" s="502" t="s">
        <v>489</v>
      </c>
      <c r="H880" s="553">
        <v>1322.95</v>
      </c>
      <c r="I880" s="553">
        <v>89</v>
      </c>
      <c r="J880" s="553">
        <v>51</v>
      </c>
      <c r="K880" s="553">
        <v>17</v>
      </c>
      <c r="L880" s="553">
        <v>4</v>
      </c>
      <c r="M880" s="505" t="s">
        <v>137</v>
      </c>
      <c r="N880" s="500">
        <v>43019500930000</v>
      </c>
      <c r="O880" s="553" t="s">
        <v>1484</v>
      </c>
      <c r="P880" s="650" t="s">
        <v>1498</v>
      </c>
      <c r="Q880" s="564" t="s">
        <v>583</v>
      </c>
      <c r="R880" s="564">
        <v>1</v>
      </c>
    </row>
    <row r="881" spans="1:18" ht="15" customHeight="1" x14ac:dyDescent="0.25">
      <c r="A881" s="553">
        <v>10</v>
      </c>
      <c r="B881" s="553">
        <v>20</v>
      </c>
      <c r="C881" s="553">
        <v>2</v>
      </c>
      <c r="D881" s="553">
        <v>21</v>
      </c>
      <c r="E881" s="553">
        <v>1</v>
      </c>
      <c r="F881" s="553">
        <v>1</v>
      </c>
      <c r="G881" s="553" t="s">
        <v>491</v>
      </c>
      <c r="H881" s="553">
        <v>1320.52</v>
      </c>
      <c r="I881" s="553">
        <v>89</v>
      </c>
      <c r="J881" s="553">
        <v>55</v>
      </c>
      <c r="K881" s="553">
        <v>26</v>
      </c>
      <c r="L881" s="553">
        <v>4</v>
      </c>
      <c r="M881" s="505" t="s">
        <v>137</v>
      </c>
      <c r="N881" s="500">
        <v>43019500930000</v>
      </c>
      <c r="O881" s="553" t="s">
        <v>1484</v>
      </c>
      <c r="P881" s="650" t="s">
        <v>1499</v>
      </c>
      <c r="Q881" s="564" t="s">
        <v>583</v>
      </c>
      <c r="R881" s="564">
        <v>1</v>
      </c>
    </row>
    <row r="882" spans="1:18" ht="15" customHeight="1" x14ac:dyDescent="0.25">
      <c r="A882" s="553">
        <v>10</v>
      </c>
      <c r="B882" s="553">
        <v>20</v>
      </c>
      <c r="C882" s="553">
        <v>2</v>
      </c>
      <c r="D882" s="553">
        <v>21</v>
      </c>
      <c r="E882" s="553">
        <v>1</v>
      </c>
      <c r="F882" s="553">
        <v>1</v>
      </c>
      <c r="G882" s="553" t="s">
        <v>494</v>
      </c>
      <c r="H882" s="553">
        <v>1320.52</v>
      </c>
      <c r="I882" s="553">
        <v>89</v>
      </c>
      <c r="J882" s="553">
        <v>55</v>
      </c>
      <c r="K882" s="553">
        <v>26</v>
      </c>
      <c r="L882" s="553">
        <v>4</v>
      </c>
      <c r="M882" s="505" t="s">
        <v>137</v>
      </c>
      <c r="N882" s="500">
        <v>43019500930000</v>
      </c>
      <c r="O882" s="553" t="s">
        <v>1484</v>
      </c>
      <c r="P882" s="650" t="s">
        <v>1500</v>
      </c>
      <c r="Q882" s="564" t="s">
        <v>583</v>
      </c>
      <c r="R882" s="564">
        <v>1</v>
      </c>
    </row>
    <row r="883" spans="1:18" ht="15" customHeight="1" x14ac:dyDescent="0.25">
      <c r="A883" s="553">
        <v>10</v>
      </c>
      <c r="B883" s="553">
        <v>2</v>
      </c>
      <c r="C883" s="553">
        <v>2</v>
      </c>
      <c r="D883" s="553">
        <v>3</v>
      </c>
      <c r="E883" s="553">
        <v>2</v>
      </c>
      <c r="F883" s="553">
        <v>2</v>
      </c>
      <c r="G883" s="553" t="s">
        <v>473</v>
      </c>
      <c r="H883" s="553">
        <v>1312.7</v>
      </c>
      <c r="I883" s="553">
        <v>0</v>
      </c>
      <c r="J883" s="553">
        <v>36</v>
      </c>
      <c r="K883" s="553">
        <v>29</v>
      </c>
      <c r="L883" s="553">
        <v>2</v>
      </c>
      <c r="M883" s="505" t="s">
        <v>137</v>
      </c>
      <c r="N883" s="500">
        <v>43013538120000</v>
      </c>
      <c r="O883" s="553" t="s">
        <v>1401</v>
      </c>
      <c r="P883" s="650" t="s">
        <v>1501</v>
      </c>
      <c r="Q883" s="564" t="s">
        <v>583</v>
      </c>
      <c r="R883" s="564">
        <v>2</v>
      </c>
    </row>
    <row r="884" spans="1:18" ht="15" customHeight="1" x14ac:dyDescent="0.25">
      <c r="A884" s="553">
        <v>10</v>
      </c>
      <c r="B884" s="553">
        <v>2</v>
      </c>
      <c r="C884" s="553">
        <v>2</v>
      </c>
      <c r="D884" s="553">
        <v>3</v>
      </c>
      <c r="E884" s="553">
        <v>2</v>
      </c>
      <c r="F884" s="553">
        <v>2</v>
      </c>
      <c r="G884" s="502" t="s">
        <v>476</v>
      </c>
      <c r="H884" s="553">
        <v>1318.36</v>
      </c>
      <c r="I884" s="553">
        <v>0</v>
      </c>
      <c r="J884" s="553">
        <v>19</v>
      </c>
      <c r="K884" s="553">
        <v>37</v>
      </c>
      <c r="L884" s="553">
        <v>2</v>
      </c>
      <c r="M884" s="505" t="s">
        <v>137</v>
      </c>
      <c r="N884" s="500">
        <v>43013538120000</v>
      </c>
      <c r="O884" s="553" t="s">
        <v>1401</v>
      </c>
      <c r="P884" s="650" t="s">
        <v>1502</v>
      </c>
      <c r="Q884" s="564" t="s">
        <v>583</v>
      </c>
      <c r="R884" s="564">
        <v>2</v>
      </c>
    </row>
    <row r="885" spans="1:18" ht="15" customHeight="1" x14ac:dyDescent="0.25">
      <c r="A885" s="553">
        <v>10</v>
      </c>
      <c r="B885" s="553">
        <v>2</v>
      </c>
      <c r="C885" s="553">
        <v>2</v>
      </c>
      <c r="D885" s="553">
        <v>3</v>
      </c>
      <c r="E885" s="553">
        <v>2</v>
      </c>
      <c r="F885" s="553">
        <v>2</v>
      </c>
      <c r="G885" s="553" t="s">
        <v>478</v>
      </c>
      <c r="H885" s="553">
        <v>1314.1949999999999</v>
      </c>
      <c r="I885" s="553">
        <v>0</v>
      </c>
      <c r="J885" s="553">
        <v>12</v>
      </c>
      <c r="K885" s="553">
        <v>23</v>
      </c>
      <c r="L885" s="553">
        <v>2</v>
      </c>
      <c r="M885" s="505" t="s">
        <v>137</v>
      </c>
      <c r="N885" s="500">
        <v>43013538120000</v>
      </c>
      <c r="O885" s="553" t="s">
        <v>1401</v>
      </c>
      <c r="P885" s="650" t="s">
        <v>1503</v>
      </c>
      <c r="Q885" s="564" t="s">
        <v>583</v>
      </c>
      <c r="R885" s="564">
        <v>2</v>
      </c>
    </row>
    <row r="886" spans="1:18" ht="15" customHeight="1" x14ac:dyDescent="0.25">
      <c r="A886" s="553">
        <v>10</v>
      </c>
      <c r="B886" s="553">
        <v>2</v>
      </c>
      <c r="C886" s="553">
        <v>2</v>
      </c>
      <c r="D886" s="553">
        <v>3</v>
      </c>
      <c r="E886" s="553">
        <v>2</v>
      </c>
      <c r="F886" s="553">
        <v>2</v>
      </c>
      <c r="G886" s="553" t="s">
        <v>484</v>
      </c>
      <c r="H886" s="553">
        <v>1314.1949999999999</v>
      </c>
      <c r="I886" s="553">
        <v>0</v>
      </c>
      <c r="J886" s="553">
        <v>12</v>
      </c>
      <c r="K886" s="553">
        <v>23</v>
      </c>
      <c r="L886" s="553">
        <v>2</v>
      </c>
      <c r="M886" s="505" t="s">
        <v>137</v>
      </c>
      <c r="N886" s="500">
        <v>43013538120000</v>
      </c>
      <c r="O886" s="553" t="s">
        <v>1401</v>
      </c>
      <c r="P886" s="650" t="s">
        <v>1504</v>
      </c>
      <c r="Q886" s="564" t="s">
        <v>583</v>
      </c>
      <c r="R886" s="564">
        <v>2</v>
      </c>
    </row>
    <row r="887" spans="1:18" ht="15" customHeight="1" x14ac:dyDescent="0.25">
      <c r="A887" s="553">
        <v>10</v>
      </c>
      <c r="B887" s="553">
        <v>2</v>
      </c>
      <c r="C887" s="553">
        <v>2</v>
      </c>
      <c r="D887" s="553">
        <v>3</v>
      </c>
      <c r="E887" s="553">
        <v>2</v>
      </c>
      <c r="F887" s="553">
        <v>2</v>
      </c>
      <c r="G887" s="553" t="s">
        <v>486</v>
      </c>
      <c r="H887" s="553">
        <v>1301.23</v>
      </c>
      <c r="I887" s="553">
        <v>0</v>
      </c>
      <c r="J887" s="553">
        <v>6</v>
      </c>
      <c r="K887" s="553">
        <v>3</v>
      </c>
      <c r="L887" s="553">
        <v>2</v>
      </c>
      <c r="M887" s="505" t="s">
        <v>137</v>
      </c>
      <c r="N887" s="500">
        <v>43013538120000</v>
      </c>
      <c r="O887" s="553" t="s">
        <v>1401</v>
      </c>
      <c r="P887" s="650" t="s">
        <v>1505</v>
      </c>
      <c r="Q887" s="564" t="s">
        <v>583</v>
      </c>
      <c r="R887" s="564">
        <v>2</v>
      </c>
    </row>
    <row r="888" spans="1:18" ht="15" customHeight="1" x14ac:dyDescent="0.25">
      <c r="A888" s="553">
        <v>10</v>
      </c>
      <c r="B888" s="553">
        <v>2</v>
      </c>
      <c r="C888" s="553">
        <v>2</v>
      </c>
      <c r="D888" s="553">
        <v>3</v>
      </c>
      <c r="E888" s="553">
        <v>2</v>
      </c>
      <c r="F888" s="553">
        <v>2</v>
      </c>
      <c r="G888" s="502" t="s">
        <v>488</v>
      </c>
      <c r="H888" s="553">
        <v>1301.25</v>
      </c>
      <c r="I888" s="553">
        <v>0</v>
      </c>
      <c r="J888" s="553">
        <v>6</v>
      </c>
      <c r="K888" s="553">
        <v>17</v>
      </c>
      <c r="L888" s="553">
        <v>2</v>
      </c>
      <c r="M888" s="505" t="s">
        <v>137</v>
      </c>
      <c r="N888" s="500">
        <v>43013538120000</v>
      </c>
      <c r="O888" s="553" t="s">
        <v>1401</v>
      </c>
      <c r="P888" s="650" t="s">
        <v>1506</v>
      </c>
      <c r="Q888" s="564" t="s">
        <v>583</v>
      </c>
      <c r="R888" s="564">
        <v>2</v>
      </c>
    </row>
    <row r="889" spans="1:18" ht="15" customHeight="1" x14ac:dyDescent="0.25">
      <c r="A889" s="553">
        <v>10</v>
      </c>
      <c r="B889" s="553">
        <v>2</v>
      </c>
      <c r="C889" s="553">
        <v>2</v>
      </c>
      <c r="D889" s="553">
        <v>3</v>
      </c>
      <c r="E889" s="553">
        <v>2</v>
      </c>
      <c r="F889" s="553">
        <v>2</v>
      </c>
      <c r="G889" s="553" t="s">
        <v>490</v>
      </c>
      <c r="H889" s="553">
        <v>1316.87</v>
      </c>
      <c r="I889" s="553">
        <v>0</v>
      </c>
      <c r="J889" s="553">
        <v>5</v>
      </c>
      <c r="K889" s="553">
        <v>8</v>
      </c>
      <c r="L889" s="553">
        <v>2</v>
      </c>
      <c r="M889" s="505" t="s">
        <v>137</v>
      </c>
      <c r="N889" s="500">
        <v>43013538120000</v>
      </c>
      <c r="O889" s="553" t="s">
        <v>1401</v>
      </c>
      <c r="P889" s="650" t="s">
        <v>1507</v>
      </c>
      <c r="Q889" s="564" t="s">
        <v>583</v>
      </c>
      <c r="R889" s="564">
        <v>2</v>
      </c>
    </row>
    <row r="890" spans="1:18" ht="15" customHeight="1" x14ac:dyDescent="0.25">
      <c r="A890" s="553">
        <v>10</v>
      </c>
      <c r="B890" s="553">
        <v>2</v>
      </c>
      <c r="C890" s="553">
        <v>2</v>
      </c>
      <c r="D890" s="553">
        <v>3</v>
      </c>
      <c r="E890" s="553">
        <v>2</v>
      </c>
      <c r="F890" s="553">
        <v>2</v>
      </c>
      <c r="G890" s="553" t="s">
        <v>493</v>
      </c>
      <c r="H890" s="553">
        <v>1316.87</v>
      </c>
      <c r="I890" s="553">
        <v>0</v>
      </c>
      <c r="J890" s="553">
        <v>5</v>
      </c>
      <c r="K890" s="553">
        <v>8</v>
      </c>
      <c r="L890" s="553">
        <v>2</v>
      </c>
      <c r="M890" s="505" t="s">
        <v>137</v>
      </c>
      <c r="N890" s="500">
        <v>43013538120000</v>
      </c>
      <c r="O890" s="553" t="s">
        <v>1401</v>
      </c>
      <c r="P890" s="650" t="s">
        <v>1508</v>
      </c>
      <c r="Q890" s="564" t="s">
        <v>583</v>
      </c>
      <c r="R890" s="564">
        <v>2</v>
      </c>
    </row>
    <row r="891" spans="1:18" ht="15" customHeight="1" x14ac:dyDescent="0.25">
      <c r="A891" s="553">
        <v>10</v>
      </c>
      <c r="B891" s="553">
        <v>2</v>
      </c>
      <c r="C891" s="553">
        <v>2</v>
      </c>
      <c r="D891" s="553">
        <v>3</v>
      </c>
      <c r="E891" s="553">
        <v>2</v>
      </c>
      <c r="F891" s="553">
        <v>2</v>
      </c>
      <c r="G891" s="553" t="s">
        <v>474</v>
      </c>
      <c r="H891" s="553">
        <v>1329.635</v>
      </c>
      <c r="I891" s="553">
        <v>89</v>
      </c>
      <c r="J891" s="553">
        <v>21</v>
      </c>
      <c r="K891" s="553">
        <v>57</v>
      </c>
      <c r="L891" s="553">
        <v>4</v>
      </c>
      <c r="M891" s="505" t="s">
        <v>137</v>
      </c>
      <c r="N891" s="500">
        <v>43013538120000</v>
      </c>
      <c r="O891" s="553" t="s">
        <v>1401</v>
      </c>
      <c r="P891" s="650" t="s">
        <v>1509</v>
      </c>
      <c r="Q891" s="564" t="s">
        <v>583</v>
      </c>
      <c r="R891" s="564">
        <v>2</v>
      </c>
    </row>
    <row r="892" spans="1:18" ht="15" customHeight="1" x14ac:dyDescent="0.25">
      <c r="A892" s="553">
        <v>10</v>
      </c>
      <c r="B892" s="553">
        <v>2</v>
      </c>
      <c r="C892" s="553">
        <v>2</v>
      </c>
      <c r="D892" s="553">
        <v>3</v>
      </c>
      <c r="E892" s="553">
        <v>2</v>
      </c>
      <c r="F892" s="553">
        <v>2</v>
      </c>
      <c r="G892" s="502" t="s">
        <v>477</v>
      </c>
      <c r="H892" s="553">
        <v>1329.635</v>
      </c>
      <c r="I892" s="553">
        <v>89</v>
      </c>
      <c r="J892" s="553">
        <v>21</v>
      </c>
      <c r="K892" s="553">
        <v>57</v>
      </c>
      <c r="L892" s="553">
        <v>4</v>
      </c>
      <c r="M892" s="505" t="s">
        <v>137</v>
      </c>
      <c r="N892" s="500">
        <v>43013538120000</v>
      </c>
      <c r="O892" s="553" t="s">
        <v>1401</v>
      </c>
      <c r="P892" s="650" t="s">
        <v>1510</v>
      </c>
      <c r="Q892" s="564" t="s">
        <v>583</v>
      </c>
      <c r="R892" s="564">
        <v>2</v>
      </c>
    </row>
    <row r="893" spans="1:18" ht="15" customHeight="1" x14ac:dyDescent="0.25">
      <c r="A893" s="553">
        <v>10</v>
      </c>
      <c r="B893" s="553">
        <v>2</v>
      </c>
      <c r="C893" s="553">
        <v>2</v>
      </c>
      <c r="D893" s="553">
        <v>3</v>
      </c>
      <c r="E893" s="553">
        <v>2</v>
      </c>
      <c r="F893" s="553">
        <v>2</v>
      </c>
      <c r="G893" s="553" t="s">
        <v>479</v>
      </c>
      <c r="H893" s="553">
        <v>1341.23</v>
      </c>
      <c r="I893" s="553">
        <v>89</v>
      </c>
      <c r="J893" s="553">
        <v>48</v>
      </c>
      <c r="K893" s="553">
        <v>31</v>
      </c>
      <c r="L893" s="553">
        <v>4</v>
      </c>
      <c r="M893" s="505" t="s">
        <v>137</v>
      </c>
      <c r="N893" s="500">
        <v>43013538120000</v>
      </c>
      <c r="O893" s="553" t="s">
        <v>1401</v>
      </c>
      <c r="P893" s="650" t="s">
        <v>1511</v>
      </c>
      <c r="Q893" s="564" t="s">
        <v>583</v>
      </c>
      <c r="R893" s="564">
        <v>2</v>
      </c>
    </row>
    <row r="894" spans="1:18" ht="15" customHeight="1" x14ac:dyDescent="0.25">
      <c r="A894" s="553">
        <v>10</v>
      </c>
      <c r="B894" s="553">
        <v>2</v>
      </c>
      <c r="C894" s="553">
        <v>2</v>
      </c>
      <c r="D894" s="553">
        <v>3</v>
      </c>
      <c r="E894" s="553">
        <v>2</v>
      </c>
      <c r="F894" s="553">
        <v>2</v>
      </c>
      <c r="G894" s="553" t="s">
        <v>485</v>
      </c>
      <c r="H894" s="553">
        <v>1341.23</v>
      </c>
      <c r="I894" s="553">
        <v>89</v>
      </c>
      <c r="J894" s="553">
        <v>48</v>
      </c>
      <c r="K894" s="553">
        <v>31</v>
      </c>
      <c r="L894" s="553">
        <v>4</v>
      </c>
      <c r="M894" s="505" t="s">
        <v>137</v>
      </c>
      <c r="N894" s="500">
        <v>43013538120000</v>
      </c>
      <c r="O894" s="553" t="s">
        <v>1401</v>
      </c>
      <c r="P894" s="650" t="s">
        <v>1512</v>
      </c>
      <c r="Q894" s="564" t="s">
        <v>583</v>
      </c>
      <c r="R894" s="564">
        <v>2</v>
      </c>
    </row>
    <row r="895" spans="1:18" ht="15" customHeight="1" x14ac:dyDescent="0.25">
      <c r="A895" s="553">
        <v>10</v>
      </c>
      <c r="B895" s="553">
        <v>2</v>
      </c>
      <c r="C895" s="553">
        <v>2</v>
      </c>
      <c r="D895" s="553">
        <v>3</v>
      </c>
      <c r="E895" s="553">
        <v>2</v>
      </c>
      <c r="F895" s="553">
        <v>2</v>
      </c>
      <c r="G895" s="553" t="s">
        <v>487</v>
      </c>
      <c r="H895" s="553">
        <v>1340.9775</v>
      </c>
      <c r="I895" s="553">
        <v>89</v>
      </c>
      <c r="J895" s="553">
        <v>50</v>
      </c>
      <c r="K895" s="553">
        <v>13</v>
      </c>
      <c r="L895" s="553">
        <v>4</v>
      </c>
      <c r="M895" s="505" t="s">
        <v>137</v>
      </c>
      <c r="N895" s="500">
        <v>43013538120000</v>
      </c>
      <c r="O895" s="553" t="s">
        <v>1401</v>
      </c>
      <c r="P895" s="650" t="s">
        <v>1513</v>
      </c>
      <c r="Q895" s="564" t="s">
        <v>583</v>
      </c>
      <c r="R895" s="564">
        <v>2</v>
      </c>
    </row>
    <row r="896" spans="1:18" ht="15" customHeight="1" x14ac:dyDescent="0.25">
      <c r="A896" s="553">
        <v>10</v>
      </c>
      <c r="B896" s="553">
        <v>2</v>
      </c>
      <c r="C896" s="553">
        <v>2</v>
      </c>
      <c r="D896" s="553">
        <v>3</v>
      </c>
      <c r="E896" s="553">
        <v>2</v>
      </c>
      <c r="F896" s="553">
        <v>2</v>
      </c>
      <c r="G896" s="502" t="s">
        <v>489</v>
      </c>
      <c r="H896" s="553">
        <v>1340.9775</v>
      </c>
      <c r="I896" s="553">
        <v>89</v>
      </c>
      <c r="J896" s="553">
        <v>50</v>
      </c>
      <c r="K896" s="553">
        <v>13</v>
      </c>
      <c r="L896" s="553">
        <v>4</v>
      </c>
      <c r="M896" s="505" t="s">
        <v>137</v>
      </c>
      <c r="N896" s="500">
        <v>43013538120000</v>
      </c>
      <c r="O896" s="553" t="s">
        <v>1401</v>
      </c>
      <c r="P896" s="650" t="s">
        <v>1514</v>
      </c>
      <c r="Q896" s="564" t="s">
        <v>583</v>
      </c>
      <c r="R896" s="564">
        <v>2</v>
      </c>
    </row>
    <row r="897" spans="1:18" ht="15" customHeight="1" x14ac:dyDescent="0.25">
      <c r="A897" s="553">
        <v>10</v>
      </c>
      <c r="B897" s="553">
        <v>2</v>
      </c>
      <c r="C897" s="553">
        <v>2</v>
      </c>
      <c r="D897" s="553">
        <v>3</v>
      </c>
      <c r="E897" s="553">
        <v>2</v>
      </c>
      <c r="F897" s="553">
        <v>2</v>
      </c>
      <c r="G897" s="553" t="s">
        <v>491</v>
      </c>
      <c r="H897" s="553">
        <v>1340.9775</v>
      </c>
      <c r="I897" s="553">
        <v>89</v>
      </c>
      <c r="J897" s="553">
        <v>50</v>
      </c>
      <c r="K897" s="553">
        <v>13</v>
      </c>
      <c r="L897" s="553">
        <v>4</v>
      </c>
      <c r="M897" s="505" t="s">
        <v>137</v>
      </c>
      <c r="N897" s="500">
        <v>43013538120000</v>
      </c>
      <c r="O897" s="553" t="s">
        <v>1401</v>
      </c>
      <c r="P897" s="650" t="s">
        <v>1515</v>
      </c>
      <c r="Q897" s="564" t="s">
        <v>583</v>
      </c>
      <c r="R897" s="564">
        <v>2</v>
      </c>
    </row>
    <row r="898" spans="1:18" ht="15" customHeight="1" x14ac:dyDescent="0.25">
      <c r="A898" s="553">
        <v>10</v>
      </c>
      <c r="B898" s="553">
        <v>2</v>
      </c>
      <c r="C898" s="553">
        <v>2</v>
      </c>
      <c r="D898" s="553">
        <v>3</v>
      </c>
      <c r="E898" s="553">
        <v>2</v>
      </c>
      <c r="F898" s="553">
        <v>2</v>
      </c>
      <c r="G898" s="553" t="s">
        <v>494</v>
      </c>
      <c r="H898" s="553">
        <v>1340.9775</v>
      </c>
      <c r="I898" s="553">
        <v>89</v>
      </c>
      <c r="J898" s="553">
        <v>50</v>
      </c>
      <c r="K898" s="553">
        <v>13</v>
      </c>
      <c r="L898" s="553">
        <v>4</v>
      </c>
      <c r="M898" s="505" t="s">
        <v>137</v>
      </c>
      <c r="N898" s="500">
        <v>43013538120000</v>
      </c>
      <c r="O898" s="553" t="s">
        <v>1401</v>
      </c>
      <c r="P898" s="650" t="s">
        <v>1516</v>
      </c>
      <c r="Q898" s="564" t="s">
        <v>583</v>
      </c>
      <c r="R898" s="564">
        <v>2</v>
      </c>
    </row>
    <row r="899" spans="1:18" ht="15" customHeight="1" x14ac:dyDescent="0.25">
      <c r="A899" s="553">
        <v>10</v>
      </c>
      <c r="B899" s="553">
        <v>3</v>
      </c>
      <c r="C899" s="553">
        <v>2</v>
      </c>
      <c r="D899" s="553">
        <v>2</v>
      </c>
      <c r="E899" s="553">
        <v>1</v>
      </c>
      <c r="F899" s="553">
        <v>2</v>
      </c>
      <c r="G899" s="553" t="s">
        <v>473</v>
      </c>
      <c r="H899" s="553">
        <v>1291.8599999999999</v>
      </c>
      <c r="I899" s="553">
        <v>1</v>
      </c>
      <c r="J899" s="553">
        <v>29</v>
      </c>
      <c r="K899" s="553">
        <v>32</v>
      </c>
      <c r="L899" s="553">
        <v>4</v>
      </c>
      <c r="M899" s="505" t="s">
        <v>312</v>
      </c>
      <c r="N899" s="500">
        <v>43047562350000</v>
      </c>
      <c r="O899" s="553" t="s">
        <v>1517</v>
      </c>
      <c r="P899" s="650" t="s">
        <v>1518</v>
      </c>
      <c r="Q899" s="564" t="s">
        <v>583</v>
      </c>
      <c r="R899" s="564">
        <v>1</v>
      </c>
    </row>
    <row r="900" spans="1:18" ht="15" customHeight="1" x14ac:dyDescent="0.25">
      <c r="A900" s="553">
        <v>10</v>
      </c>
      <c r="B900" s="553">
        <v>3</v>
      </c>
      <c r="C900" s="553">
        <v>2</v>
      </c>
      <c r="D900" s="553">
        <v>2</v>
      </c>
      <c r="E900" s="553">
        <v>1</v>
      </c>
      <c r="F900" s="553">
        <v>2</v>
      </c>
      <c r="G900" s="502" t="s">
        <v>476</v>
      </c>
      <c r="H900" s="553">
        <v>1290.52</v>
      </c>
      <c r="I900" s="553">
        <v>1</v>
      </c>
      <c r="J900" s="553">
        <v>27</v>
      </c>
      <c r="K900" s="553">
        <v>24</v>
      </c>
      <c r="L900" s="553">
        <v>4</v>
      </c>
      <c r="M900" s="505" t="s">
        <v>312</v>
      </c>
      <c r="N900" s="500">
        <v>43047562350000</v>
      </c>
      <c r="O900" s="553" t="s">
        <v>1517</v>
      </c>
      <c r="P900" s="650" t="s">
        <v>1519</v>
      </c>
      <c r="Q900" s="564" t="s">
        <v>583</v>
      </c>
      <c r="R900" s="564">
        <v>1</v>
      </c>
    </row>
    <row r="901" spans="1:18" ht="15" customHeight="1" x14ac:dyDescent="0.25">
      <c r="A901" s="553">
        <v>10</v>
      </c>
      <c r="B901" s="553">
        <v>3</v>
      </c>
      <c r="C901" s="553">
        <v>2</v>
      </c>
      <c r="D901" s="553">
        <v>2</v>
      </c>
      <c r="E901" s="553">
        <v>1</v>
      </c>
      <c r="F901" s="553">
        <v>2</v>
      </c>
      <c r="G901" s="553" t="s">
        <v>478</v>
      </c>
      <c r="H901" s="553">
        <v>1312.66</v>
      </c>
      <c r="I901" s="553">
        <v>0</v>
      </c>
      <c r="J901" s="553">
        <v>5</v>
      </c>
      <c r="K901" s="553">
        <v>21</v>
      </c>
      <c r="L901" s="553">
        <v>4</v>
      </c>
      <c r="M901" s="505" t="s">
        <v>312</v>
      </c>
      <c r="N901" s="500">
        <v>43047562350000</v>
      </c>
      <c r="O901" s="553" t="s">
        <v>1517</v>
      </c>
      <c r="P901" s="650" t="s">
        <v>1520</v>
      </c>
      <c r="Q901" s="564" t="s">
        <v>583</v>
      </c>
      <c r="R901" s="564">
        <v>1</v>
      </c>
    </row>
    <row r="902" spans="1:18" ht="15" customHeight="1" x14ac:dyDescent="0.25">
      <c r="A902" s="553">
        <v>10</v>
      </c>
      <c r="B902" s="553">
        <v>3</v>
      </c>
      <c r="C902" s="553">
        <v>2</v>
      </c>
      <c r="D902" s="553">
        <v>2</v>
      </c>
      <c r="E902" s="553">
        <v>1</v>
      </c>
      <c r="F902" s="553">
        <v>2</v>
      </c>
      <c r="G902" s="553" t="s">
        <v>484</v>
      </c>
      <c r="H902" s="553">
        <v>1313.01</v>
      </c>
      <c r="I902" s="553">
        <v>0</v>
      </c>
      <c r="J902" s="553">
        <v>49</v>
      </c>
      <c r="K902" s="553">
        <v>45</v>
      </c>
      <c r="L902" s="553">
        <v>4</v>
      </c>
      <c r="M902" s="505" t="s">
        <v>312</v>
      </c>
      <c r="N902" s="500">
        <v>43047562350000</v>
      </c>
      <c r="O902" s="553" t="s">
        <v>1517</v>
      </c>
      <c r="P902" s="650" t="s">
        <v>1521</v>
      </c>
      <c r="Q902" s="564" t="s">
        <v>583</v>
      </c>
      <c r="R902" s="564">
        <v>1</v>
      </c>
    </row>
    <row r="903" spans="1:18" ht="15" customHeight="1" x14ac:dyDescent="0.25">
      <c r="A903" s="553">
        <v>10</v>
      </c>
      <c r="B903" s="553">
        <v>3</v>
      </c>
      <c r="C903" s="553">
        <v>2</v>
      </c>
      <c r="D903" s="553">
        <v>2</v>
      </c>
      <c r="E903" s="553">
        <v>1</v>
      </c>
      <c r="F903" s="553">
        <v>2</v>
      </c>
      <c r="G903" s="553" t="s">
        <v>486</v>
      </c>
      <c r="H903" s="553">
        <v>1045.9730917464531</v>
      </c>
      <c r="I903" s="553">
        <v>1</v>
      </c>
      <c r="J903" s="553">
        <v>19</v>
      </c>
      <c r="K903" s="553">
        <v>12</v>
      </c>
      <c r="L903" s="553">
        <v>4</v>
      </c>
      <c r="M903" s="505" t="s">
        <v>312</v>
      </c>
      <c r="N903" s="500">
        <v>43047562350000</v>
      </c>
      <c r="O903" s="553" t="s">
        <v>1517</v>
      </c>
      <c r="P903" s="650" t="s">
        <v>1522</v>
      </c>
      <c r="Q903" s="564" t="s">
        <v>583</v>
      </c>
      <c r="R903" s="564">
        <v>1</v>
      </c>
    </row>
    <row r="904" spans="1:18" ht="15" customHeight="1" x14ac:dyDescent="0.25">
      <c r="A904" s="553">
        <v>10</v>
      </c>
      <c r="B904" s="553">
        <v>3</v>
      </c>
      <c r="C904" s="553">
        <v>2</v>
      </c>
      <c r="D904" s="553">
        <v>2</v>
      </c>
      <c r="E904" s="553">
        <v>1</v>
      </c>
      <c r="F904" s="553">
        <v>2</v>
      </c>
      <c r="G904" s="502" t="s">
        <v>488</v>
      </c>
      <c r="H904" s="553">
        <v>1045.9730917464531</v>
      </c>
      <c r="I904" s="553">
        <v>1</v>
      </c>
      <c r="J904" s="553">
        <v>19</v>
      </c>
      <c r="K904" s="553">
        <v>12</v>
      </c>
      <c r="L904" s="553">
        <v>4</v>
      </c>
      <c r="M904" s="505" t="s">
        <v>312</v>
      </c>
      <c r="N904" s="500">
        <v>43047562350000</v>
      </c>
      <c r="O904" s="553" t="s">
        <v>1517</v>
      </c>
      <c r="P904" s="650" t="s">
        <v>1523</v>
      </c>
      <c r="Q904" s="564" t="s">
        <v>583</v>
      </c>
      <c r="R904" s="564">
        <v>1</v>
      </c>
    </row>
    <row r="905" spans="1:18" ht="15" customHeight="1" x14ac:dyDescent="0.25">
      <c r="A905" s="553">
        <v>10</v>
      </c>
      <c r="B905" s="553">
        <v>3</v>
      </c>
      <c r="C905" s="553">
        <v>2</v>
      </c>
      <c r="D905" s="553">
        <v>2</v>
      </c>
      <c r="E905" s="553">
        <v>1</v>
      </c>
      <c r="F905" s="553">
        <v>2</v>
      </c>
      <c r="G905" s="553" t="s">
        <v>490</v>
      </c>
      <c r="H905" s="553">
        <v>1045.9730917464531</v>
      </c>
      <c r="I905" s="553">
        <v>1</v>
      </c>
      <c r="J905" s="553">
        <v>19</v>
      </c>
      <c r="K905" s="553">
        <v>12</v>
      </c>
      <c r="L905" s="553">
        <v>4</v>
      </c>
      <c r="M905" s="505" t="s">
        <v>312</v>
      </c>
      <c r="N905" s="500">
        <v>43047562350000</v>
      </c>
      <c r="O905" s="553" t="s">
        <v>1517</v>
      </c>
      <c r="P905" s="650" t="s">
        <v>1524</v>
      </c>
      <c r="Q905" s="564" t="s">
        <v>583</v>
      </c>
      <c r="R905" s="564">
        <v>1</v>
      </c>
    </row>
    <row r="906" spans="1:18" ht="15" customHeight="1" x14ac:dyDescent="0.25">
      <c r="A906" s="553">
        <v>10</v>
      </c>
      <c r="B906" s="553">
        <v>3</v>
      </c>
      <c r="C906" s="553">
        <v>2</v>
      </c>
      <c r="D906" s="553">
        <v>2</v>
      </c>
      <c r="E906" s="553">
        <v>1</v>
      </c>
      <c r="F906" s="553">
        <v>2</v>
      </c>
      <c r="G906" s="553" t="s">
        <v>493</v>
      </c>
      <c r="H906" s="553">
        <v>2103.79</v>
      </c>
      <c r="I906" s="553">
        <v>1</v>
      </c>
      <c r="J906" s="553">
        <v>19</v>
      </c>
      <c r="K906" s="553">
        <v>12</v>
      </c>
      <c r="L906" s="553">
        <v>4</v>
      </c>
      <c r="M906" s="505" t="s">
        <v>312</v>
      </c>
      <c r="N906" s="500">
        <v>43047562350000</v>
      </c>
      <c r="O906" s="553" t="s">
        <v>1517</v>
      </c>
      <c r="P906" s="650" t="s">
        <v>1525</v>
      </c>
      <c r="Q906" s="564" t="s">
        <v>583</v>
      </c>
      <c r="R906" s="564">
        <v>1</v>
      </c>
    </row>
    <row r="907" spans="1:18" ht="15" customHeight="1" x14ac:dyDescent="0.25">
      <c r="A907" s="553">
        <v>10</v>
      </c>
      <c r="B907" s="553">
        <v>3</v>
      </c>
      <c r="C907" s="553">
        <v>2</v>
      </c>
      <c r="D907" s="553">
        <v>2</v>
      </c>
      <c r="E907" s="553">
        <v>1</v>
      </c>
      <c r="F907" s="553">
        <v>2</v>
      </c>
      <c r="G907" s="553" t="s">
        <v>474</v>
      </c>
      <c r="H907" s="553">
        <v>1323.19</v>
      </c>
      <c r="I907" s="553">
        <v>87</v>
      </c>
      <c r="J907" s="553">
        <v>2</v>
      </c>
      <c r="K907" s="553">
        <v>40</v>
      </c>
      <c r="L907" s="553">
        <v>3</v>
      </c>
      <c r="M907" s="505" t="s">
        <v>312</v>
      </c>
      <c r="N907" s="500">
        <v>43047562350000</v>
      </c>
      <c r="O907" s="553" t="s">
        <v>1517</v>
      </c>
      <c r="P907" s="650" t="s">
        <v>1526</v>
      </c>
      <c r="Q907" s="564" t="s">
        <v>583</v>
      </c>
      <c r="R907" s="564">
        <v>1</v>
      </c>
    </row>
    <row r="908" spans="1:18" ht="15" customHeight="1" x14ac:dyDescent="0.25">
      <c r="A908" s="553">
        <v>10</v>
      </c>
      <c r="B908" s="553">
        <v>3</v>
      </c>
      <c r="C908" s="553">
        <v>2</v>
      </c>
      <c r="D908" s="553">
        <v>2</v>
      </c>
      <c r="E908" s="553">
        <v>1</v>
      </c>
      <c r="F908" s="553">
        <v>2</v>
      </c>
      <c r="G908" s="502" t="s">
        <v>477</v>
      </c>
      <c r="H908" s="553">
        <v>1323.42</v>
      </c>
      <c r="I908" s="553">
        <v>87</v>
      </c>
      <c r="J908" s="553">
        <v>2</v>
      </c>
      <c r="K908" s="553">
        <v>47</v>
      </c>
      <c r="L908" s="553">
        <v>2</v>
      </c>
      <c r="M908" s="505" t="s">
        <v>312</v>
      </c>
      <c r="N908" s="500">
        <v>43047562350000</v>
      </c>
      <c r="O908" s="553" t="s">
        <v>1517</v>
      </c>
      <c r="P908" s="650" t="s">
        <v>1527</v>
      </c>
      <c r="Q908" s="564" t="s">
        <v>583</v>
      </c>
      <c r="R908" s="564">
        <v>1</v>
      </c>
    </row>
    <row r="909" spans="1:18" ht="15" customHeight="1" x14ac:dyDescent="0.25">
      <c r="A909" s="553">
        <v>10</v>
      </c>
      <c r="B909" s="553">
        <v>3</v>
      </c>
      <c r="C909" s="553">
        <v>2</v>
      </c>
      <c r="D909" s="553">
        <v>2</v>
      </c>
      <c r="E909" s="553">
        <v>1</v>
      </c>
      <c r="F909" s="553">
        <v>2</v>
      </c>
      <c r="G909" s="553" t="s">
        <v>479</v>
      </c>
      <c r="H909" s="553">
        <v>1306.54</v>
      </c>
      <c r="I909" s="553">
        <v>87</v>
      </c>
      <c r="J909" s="553">
        <v>3</v>
      </c>
      <c r="K909" s="553">
        <v>15</v>
      </c>
      <c r="L909" s="553">
        <v>2</v>
      </c>
      <c r="M909" s="505" t="s">
        <v>312</v>
      </c>
      <c r="N909" s="500">
        <v>43047562350000</v>
      </c>
      <c r="O909" s="553" t="s">
        <v>1517</v>
      </c>
      <c r="P909" s="650" t="s">
        <v>1528</v>
      </c>
      <c r="Q909" s="564" t="s">
        <v>583</v>
      </c>
      <c r="R909" s="564">
        <v>1</v>
      </c>
    </row>
    <row r="910" spans="1:18" ht="15" customHeight="1" x14ac:dyDescent="0.25">
      <c r="A910" s="553">
        <v>10</v>
      </c>
      <c r="B910" s="553">
        <v>3</v>
      </c>
      <c r="C910" s="553">
        <v>2</v>
      </c>
      <c r="D910" s="553">
        <v>2</v>
      </c>
      <c r="E910" s="553">
        <v>1</v>
      </c>
      <c r="F910" s="553">
        <v>2</v>
      </c>
      <c r="G910" s="553" t="s">
        <v>485</v>
      </c>
      <c r="H910" s="553">
        <v>1326.85</v>
      </c>
      <c r="I910" s="553">
        <v>87</v>
      </c>
      <c r="J910" s="553">
        <v>2</v>
      </c>
      <c r="K910" s="553">
        <v>30</v>
      </c>
      <c r="L910" s="553">
        <v>2</v>
      </c>
      <c r="M910" s="505" t="s">
        <v>312</v>
      </c>
      <c r="N910" s="500">
        <v>43047562350000</v>
      </c>
      <c r="O910" s="553" t="s">
        <v>1517</v>
      </c>
      <c r="P910" s="650" t="s">
        <v>1529</v>
      </c>
      <c r="Q910" s="564" t="s">
        <v>583</v>
      </c>
      <c r="R910" s="564">
        <v>1</v>
      </c>
    </row>
    <row r="911" spans="1:18" ht="15" customHeight="1" x14ac:dyDescent="0.25">
      <c r="A911" s="553">
        <v>10</v>
      </c>
      <c r="B911" s="553">
        <v>3</v>
      </c>
      <c r="C911" s="553">
        <v>2</v>
      </c>
      <c r="D911" s="553">
        <v>2</v>
      </c>
      <c r="E911" s="553">
        <v>1</v>
      </c>
      <c r="F911" s="553">
        <v>2</v>
      </c>
      <c r="G911" s="553" t="s">
        <v>487</v>
      </c>
      <c r="H911" s="553">
        <v>1330.97</v>
      </c>
      <c r="I911" s="553">
        <v>88</v>
      </c>
      <c r="J911" s="553">
        <v>42</v>
      </c>
      <c r="K911" s="553">
        <v>8</v>
      </c>
      <c r="L911" s="553">
        <v>3</v>
      </c>
      <c r="M911" s="505" t="s">
        <v>312</v>
      </c>
      <c r="N911" s="500">
        <v>43047562350000</v>
      </c>
      <c r="O911" s="553" t="s">
        <v>1517</v>
      </c>
      <c r="P911" s="650" t="s">
        <v>1530</v>
      </c>
      <c r="Q911" s="564" t="s">
        <v>583</v>
      </c>
      <c r="R911" s="564">
        <v>1</v>
      </c>
    </row>
    <row r="912" spans="1:18" ht="15" customHeight="1" x14ac:dyDescent="0.25">
      <c r="A912" s="553">
        <v>10</v>
      </c>
      <c r="B912" s="553">
        <v>3</v>
      </c>
      <c r="C912" s="553">
        <v>2</v>
      </c>
      <c r="D912" s="553">
        <v>2</v>
      </c>
      <c r="E912" s="553">
        <v>1</v>
      </c>
      <c r="F912" s="553">
        <v>2</v>
      </c>
      <c r="G912" s="502" t="s">
        <v>489</v>
      </c>
      <c r="H912" s="553">
        <v>1330.47</v>
      </c>
      <c r="I912" s="553">
        <v>88</v>
      </c>
      <c r="J912" s="553">
        <v>32</v>
      </c>
      <c r="K912" s="553">
        <v>17</v>
      </c>
      <c r="L912" s="553">
        <v>3</v>
      </c>
      <c r="M912" s="554" t="s">
        <v>312</v>
      </c>
      <c r="N912" s="500">
        <v>43047562350000</v>
      </c>
      <c r="O912" s="553" t="s">
        <v>1517</v>
      </c>
      <c r="P912" s="650" t="s">
        <v>1531</v>
      </c>
      <c r="Q912" s="564" t="s">
        <v>583</v>
      </c>
      <c r="R912" s="564">
        <v>1</v>
      </c>
    </row>
    <row r="913" spans="1:18" ht="15" customHeight="1" x14ac:dyDescent="0.25">
      <c r="A913" s="553">
        <v>10</v>
      </c>
      <c r="B913" s="553">
        <v>3</v>
      </c>
      <c r="C913" s="553">
        <v>2</v>
      </c>
      <c r="D913" s="553">
        <v>2</v>
      </c>
      <c r="E913" s="553">
        <v>1</v>
      </c>
      <c r="F913" s="553">
        <v>2</v>
      </c>
      <c r="G913" s="553" t="s">
        <v>491</v>
      </c>
      <c r="H913" s="553">
        <v>1328.11</v>
      </c>
      <c r="I913" s="553">
        <v>88</v>
      </c>
      <c r="J913" s="553">
        <v>4</v>
      </c>
      <c r="K913" s="553">
        <v>57</v>
      </c>
      <c r="L913" s="553">
        <v>3</v>
      </c>
      <c r="M913" s="554" t="s">
        <v>312</v>
      </c>
      <c r="N913" s="500">
        <v>43047562350000</v>
      </c>
      <c r="O913" s="553" t="s">
        <v>1517</v>
      </c>
      <c r="P913" s="650" t="s">
        <v>1532</v>
      </c>
      <c r="Q913" s="564" t="s">
        <v>583</v>
      </c>
      <c r="R913" s="564">
        <v>1</v>
      </c>
    </row>
    <row r="914" spans="1:18" ht="15" customHeight="1" x14ac:dyDescent="0.25">
      <c r="A914" s="553">
        <v>10</v>
      </c>
      <c r="B914" s="553">
        <v>3</v>
      </c>
      <c r="C914" s="553">
        <v>2</v>
      </c>
      <c r="D914" s="553">
        <v>2</v>
      </c>
      <c r="E914" s="553">
        <v>1</v>
      </c>
      <c r="F914" s="553">
        <v>2</v>
      </c>
      <c r="G914" s="553" t="s">
        <v>494</v>
      </c>
      <c r="H914" s="553">
        <v>1328.11</v>
      </c>
      <c r="I914" s="553">
        <v>88</v>
      </c>
      <c r="J914" s="553">
        <v>4</v>
      </c>
      <c r="K914" s="553">
        <v>57</v>
      </c>
      <c r="L914" s="553">
        <v>3</v>
      </c>
      <c r="M914" s="554" t="s">
        <v>312</v>
      </c>
      <c r="N914" s="500">
        <v>43047562350000</v>
      </c>
      <c r="O914" s="553" t="s">
        <v>1517</v>
      </c>
      <c r="P914" s="650" t="s">
        <v>1533</v>
      </c>
      <c r="Q914" s="564" t="s">
        <v>583</v>
      </c>
      <c r="R914" s="564">
        <v>1</v>
      </c>
    </row>
    <row r="915" spans="1:18" ht="15" customHeight="1" x14ac:dyDescent="0.25">
      <c r="A915" s="564">
        <v>10</v>
      </c>
      <c r="B915" s="564">
        <v>3</v>
      </c>
      <c r="C915" s="564">
        <v>2</v>
      </c>
      <c r="D915" s="564">
        <v>1</v>
      </c>
      <c r="E915" s="564">
        <v>1</v>
      </c>
      <c r="F915" s="564">
        <v>2</v>
      </c>
      <c r="G915" s="564" t="s">
        <v>473</v>
      </c>
      <c r="H915" s="564">
        <v>1319.7</v>
      </c>
      <c r="I915" s="564">
        <v>0</v>
      </c>
      <c r="J915" s="564">
        <v>28</v>
      </c>
      <c r="K915" s="564">
        <v>13</v>
      </c>
      <c r="L915" s="564">
        <v>2</v>
      </c>
      <c r="M915" s="561" t="s">
        <v>137</v>
      </c>
      <c r="N915" s="651">
        <v>4304756724</v>
      </c>
      <c r="O915" s="564" t="s">
        <v>819</v>
      </c>
      <c r="P915" s="564" t="s">
        <v>1534</v>
      </c>
      <c r="Q915" s="564"/>
      <c r="R915" s="564">
        <v>2</v>
      </c>
    </row>
    <row r="916" spans="1:18" ht="15" customHeight="1" x14ac:dyDescent="0.25">
      <c r="A916" s="564">
        <v>10</v>
      </c>
      <c r="B916" s="564">
        <v>3</v>
      </c>
      <c r="C916" s="564">
        <v>2</v>
      </c>
      <c r="D916" s="564">
        <v>1</v>
      </c>
      <c r="E916" s="564">
        <v>1</v>
      </c>
      <c r="F916" s="564">
        <v>2</v>
      </c>
      <c r="G916" s="521" t="s">
        <v>476</v>
      </c>
      <c r="H916" s="564">
        <v>1319.7</v>
      </c>
      <c r="I916" s="564">
        <v>0</v>
      </c>
      <c r="J916" s="564">
        <v>28</v>
      </c>
      <c r="K916" s="564">
        <v>13</v>
      </c>
      <c r="L916" s="564">
        <v>2</v>
      </c>
      <c r="M916" s="561" t="s">
        <v>137</v>
      </c>
      <c r="N916" s="651">
        <v>4304756724</v>
      </c>
      <c r="O916" s="564" t="s">
        <v>819</v>
      </c>
      <c r="P916" s="564" t="s">
        <v>1535</v>
      </c>
      <c r="Q916" s="564"/>
      <c r="R916" s="564">
        <v>2</v>
      </c>
    </row>
    <row r="917" spans="1:18" ht="15" customHeight="1" x14ac:dyDescent="0.25">
      <c r="A917" s="564">
        <v>10</v>
      </c>
      <c r="B917" s="564">
        <v>3</v>
      </c>
      <c r="C917" s="564">
        <v>2</v>
      </c>
      <c r="D917" s="564">
        <v>1</v>
      </c>
      <c r="E917" s="564">
        <v>1</v>
      </c>
      <c r="F917" s="564">
        <v>2</v>
      </c>
      <c r="G917" s="564" t="s">
        <v>478</v>
      </c>
      <c r="H917" s="564">
        <v>1324.1849999999999</v>
      </c>
      <c r="I917" s="564">
        <v>0</v>
      </c>
      <c r="J917" s="564">
        <v>29</v>
      </c>
      <c r="K917" s="564">
        <v>13</v>
      </c>
      <c r="L917" s="564">
        <v>2</v>
      </c>
      <c r="M917" s="561" t="s">
        <v>137</v>
      </c>
      <c r="N917" s="651">
        <v>4304756724</v>
      </c>
      <c r="O917" s="564" t="s">
        <v>819</v>
      </c>
      <c r="P917" s="564" t="s">
        <v>1536</v>
      </c>
      <c r="Q917" s="564"/>
      <c r="R917" s="564">
        <v>2</v>
      </c>
    </row>
    <row r="918" spans="1:18" ht="15" customHeight="1" x14ac:dyDescent="0.25">
      <c r="A918" s="564">
        <v>10</v>
      </c>
      <c r="B918" s="564">
        <v>3</v>
      </c>
      <c r="C918" s="564">
        <v>2</v>
      </c>
      <c r="D918" s="564">
        <v>1</v>
      </c>
      <c r="E918" s="564">
        <v>1</v>
      </c>
      <c r="F918" s="564">
        <v>2</v>
      </c>
      <c r="G918" s="564" t="s">
        <v>484</v>
      </c>
      <c r="H918" s="564">
        <v>1324.1849999999999</v>
      </c>
      <c r="I918" s="564">
        <v>0</v>
      </c>
      <c r="J918" s="564">
        <v>29</v>
      </c>
      <c r="K918" s="564">
        <v>13</v>
      </c>
      <c r="L918" s="564">
        <v>2</v>
      </c>
      <c r="M918" s="561" t="s">
        <v>137</v>
      </c>
      <c r="N918" s="651">
        <v>4304756724</v>
      </c>
      <c r="O918" s="564" t="s">
        <v>819</v>
      </c>
      <c r="P918" s="564" t="s">
        <v>1537</v>
      </c>
      <c r="Q918" s="564"/>
      <c r="R918" s="564">
        <v>2</v>
      </c>
    </row>
    <row r="919" spans="1:18" ht="15" customHeight="1" x14ac:dyDescent="0.25">
      <c r="A919" s="564">
        <v>10</v>
      </c>
      <c r="B919" s="564">
        <v>3</v>
      </c>
      <c r="C919" s="564">
        <v>2</v>
      </c>
      <c r="D919" s="564">
        <v>1</v>
      </c>
      <c r="E919" s="564">
        <v>1</v>
      </c>
      <c r="F919" s="564">
        <v>2</v>
      </c>
      <c r="G919" s="564" t="s">
        <v>486</v>
      </c>
      <c r="H919" s="564">
        <v>1325.23</v>
      </c>
      <c r="I919" s="564">
        <v>0</v>
      </c>
      <c r="J919" s="564">
        <v>21</v>
      </c>
      <c r="K919" s="564">
        <v>42</v>
      </c>
      <c r="L919" s="564">
        <v>2</v>
      </c>
      <c r="M919" s="561" t="s">
        <v>137</v>
      </c>
      <c r="N919" s="651">
        <v>4304756724</v>
      </c>
      <c r="O919" s="564" t="s">
        <v>819</v>
      </c>
      <c r="P919" s="564" t="s">
        <v>1538</v>
      </c>
      <c r="Q919" s="564"/>
      <c r="R919" s="564">
        <v>2</v>
      </c>
    </row>
    <row r="920" spans="1:18" ht="15" customHeight="1" x14ac:dyDescent="0.25">
      <c r="A920" s="564">
        <v>10</v>
      </c>
      <c r="B920" s="564">
        <v>3</v>
      </c>
      <c r="C920" s="564">
        <v>2</v>
      </c>
      <c r="D920" s="564">
        <v>1</v>
      </c>
      <c r="E920" s="564">
        <v>1</v>
      </c>
      <c r="F920" s="564">
        <v>2</v>
      </c>
      <c r="G920" s="521" t="s">
        <v>488</v>
      </c>
      <c r="H920" s="564">
        <v>1325.23</v>
      </c>
      <c r="I920" s="564">
        <v>0</v>
      </c>
      <c r="J920" s="564">
        <v>21</v>
      </c>
      <c r="K920" s="564">
        <v>42</v>
      </c>
      <c r="L920" s="564">
        <v>2</v>
      </c>
      <c r="M920" s="561" t="s">
        <v>137</v>
      </c>
      <c r="N920" s="651">
        <v>4304756724</v>
      </c>
      <c r="O920" s="564" t="s">
        <v>819</v>
      </c>
      <c r="P920" s="564" t="s">
        <v>1539</v>
      </c>
      <c r="Q920" s="564"/>
      <c r="R920" s="564">
        <v>2</v>
      </c>
    </row>
    <row r="921" spans="1:18" ht="15" customHeight="1" x14ac:dyDescent="0.25">
      <c r="A921" s="564">
        <v>10</v>
      </c>
      <c r="B921" s="564">
        <v>3</v>
      </c>
      <c r="C921" s="564">
        <v>2</v>
      </c>
      <c r="D921" s="564">
        <v>1</v>
      </c>
      <c r="E921" s="564">
        <v>1</v>
      </c>
      <c r="F921" s="564">
        <v>2</v>
      </c>
      <c r="G921" s="564" t="s">
        <v>490</v>
      </c>
      <c r="H921" s="564">
        <v>1326.34</v>
      </c>
      <c r="I921" s="564">
        <v>0</v>
      </c>
      <c r="J921" s="564">
        <v>20</v>
      </c>
      <c r="K921" s="564">
        <v>14</v>
      </c>
      <c r="L921" s="564">
        <v>2</v>
      </c>
      <c r="M921" s="561" t="s">
        <v>137</v>
      </c>
      <c r="N921" s="651">
        <v>4304756724</v>
      </c>
      <c r="O921" s="564" t="s">
        <v>819</v>
      </c>
      <c r="P921" s="564" t="s">
        <v>1540</v>
      </c>
      <c r="Q921" s="564"/>
      <c r="R921" s="564">
        <v>2</v>
      </c>
    </row>
    <row r="922" spans="1:18" ht="15" customHeight="1" x14ac:dyDescent="0.25">
      <c r="A922" s="564">
        <v>10</v>
      </c>
      <c r="B922" s="564">
        <v>3</v>
      </c>
      <c r="C922" s="564">
        <v>2</v>
      </c>
      <c r="D922" s="564">
        <v>1</v>
      </c>
      <c r="E922" s="564">
        <v>1</v>
      </c>
      <c r="F922" s="564">
        <v>2</v>
      </c>
      <c r="G922" s="564" t="s">
        <v>493</v>
      </c>
      <c r="H922" s="564">
        <v>1326.01</v>
      </c>
      <c r="I922" s="564">
        <v>0</v>
      </c>
      <c r="J922" s="564">
        <v>20</v>
      </c>
      <c r="K922" s="564">
        <v>36</v>
      </c>
      <c r="L922" s="564">
        <v>2</v>
      </c>
      <c r="M922" s="561" t="s">
        <v>137</v>
      </c>
      <c r="N922" s="651">
        <v>4304756724</v>
      </c>
      <c r="O922" s="564" t="s">
        <v>819</v>
      </c>
      <c r="P922" s="564" t="s">
        <v>1541</v>
      </c>
      <c r="Q922" s="564"/>
      <c r="R922" s="564">
        <v>2</v>
      </c>
    </row>
    <row r="923" spans="1:18" ht="15" customHeight="1" x14ac:dyDescent="0.25">
      <c r="A923" s="564">
        <v>10</v>
      </c>
      <c r="B923" s="564">
        <v>3</v>
      </c>
      <c r="C923" s="564">
        <v>2</v>
      </c>
      <c r="D923" s="564">
        <v>1</v>
      </c>
      <c r="E923" s="564">
        <v>1</v>
      </c>
      <c r="F923" s="564">
        <v>2</v>
      </c>
      <c r="G923" s="564" t="s">
        <v>474</v>
      </c>
      <c r="H923" s="564">
        <v>1320.95</v>
      </c>
      <c r="I923" s="564">
        <v>89</v>
      </c>
      <c r="J923" s="564">
        <v>43</v>
      </c>
      <c r="K923" s="564">
        <v>23</v>
      </c>
      <c r="L923" s="564">
        <v>2</v>
      </c>
      <c r="M923" s="561" t="s">
        <v>137</v>
      </c>
      <c r="N923" s="651">
        <v>4304756724</v>
      </c>
      <c r="O923" s="564" t="s">
        <v>819</v>
      </c>
      <c r="P923" s="564" t="s">
        <v>1542</v>
      </c>
      <c r="Q923" s="564"/>
      <c r="R923" s="564">
        <v>2</v>
      </c>
    </row>
    <row r="924" spans="1:18" ht="15" customHeight="1" x14ac:dyDescent="0.25">
      <c r="A924" s="564">
        <v>10</v>
      </c>
      <c r="B924" s="564">
        <v>3</v>
      </c>
      <c r="C924" s="564">
        <v>2</v>
      </c>
      <c r="D924" s="564">
        <v>1</v>
      </c>
      <c r="E924" s="564">
        <v>1</v>
      </c>
      <c r="F924" s="564">
        <v>2</v>
      </c>
      <c r="G924" s="521" t="s">
        <v>477</v>
      </c>
      <c r="H924" s="564">
        <v>1320.9</v>
      </c>
      <c r="I924" s="564">
        <v>89</v>
      </c>
      <c r="J924" s="564">
        <v>42</v>
      </c>
      <c r="K924" s="564">
        <v>59</v>
      </c>
      <c r="L924" s="564">
        <v>2</v>
      </c>
      <c r="M924" s="561" t="s">
        <v>137</v>
      </c>
      <c r="N924" s="651">
        <v>4304756724</v>
      </c>
      <c r="O924" s="564" t="s">
        <v>819</v>
      </c>
      <c r="P924" s="564" t="s">
        <v>1543</v>
      </c>
      <c r="Q924" s="564"/>
      <c r="R924" s="564">
        <v>2</v>
      </c>
    </row>
    <row r="925" spans="1:18" ht="15" customHeight="1" x14ac:dyDescent="0.25">
      <c r="A925" s="564">
        <v>10</v>
      </c>
      <c r="B925" s="564">
        <v>3</v>
      </c>
      <c r="C925" s="564">
        <v>2</v>
      </c>
      <c r="D925" s="564">
        <v>1</v>
      </c>
      <c r="E925" s="564">
        <v>1</v>
      </c>
      <c r="F925" s="564">
        <v>2</v>
      </c>
      <c r="G925" s="564" t="s">
        <v>479</v>
      </c>
      <c r="H925" s="564">
        <v>1319.07</v>
      </c>
      <c r="I925" s="564">
        <v>89</v>
      </c>
      <c r="J925" s="564">
        <v>51</v>
      </c>
      <c r="K925" s="564">
        <v>38</v>
      </c>
      <c r="L925" s="564">
        <v>1</v>
      </c>
      <c r="M925" s="561" t="s">
        <v>137</v>
      </c>
      <c r="N925" s="651">
        <v>4304756724</v>
      </c>
      <c r="O925" s="564" t="s">
        <v>819</v>
      </c>
      <c r="P925" s="564" t="s">
        <v>1544</v>
      </c>
      <c r="Q925" s="564"/>
      <c r="R925" s="564">
        <v>2</v>
      </c>
    </row>
    <row r="926" spans="1:18" ht="15" customHeight="1" x14ac:dyDescent="0.25">
      <c r="A926" s="564">
        <v>10</v>
      </c>
      <c r="B926" s="564">
        <v>3</v>
      </c>
      <c r="C926" s="564">
        <v>2</v>
      </c>
      <c r="D926" s="564">
        <v>1</v>
      </c>
      <c r="E926" s="564">
        <v>1</v>
      </c>
      <c r="F926" s="564">
        <v>2</v>
      </c>
      <c r="G926" s="564" t="s">
        <v>485</v>
      </c>
      <c r="H926" s="564">
        <v>1319.89</v>
      </c>
      <c r="I926" s="564">
        <v>89</v>
      </c>
      <c r="J926" s="564">
        <v>50</v>
      </c>
      <c r="K926" s="564">
        <v>25</v>
      </c>
      <c r="L926" s="564">
        <v>1</v>
      </c>
      <c r="M926" s="561" t="s">
        <v>137</v>
      </c>
      <c r="N926" s="651">
        <v>4304756724</v>
      </c>
      <c r="O926" s="564" t="s">
        <v>819</v>
      </c>
      <c r="P926" s="564" t="s">
        <v>1545</v>
      </c>
      <c r="Q926" s="564"/>
      <c r="R926" s="564">
        <v>2</v>
      </c>
    </row>
    <row r="927" spans="1:18" ht="15" customHeight="1" x14ac:dyDescent="0.25">
      <c r="A927" s="564">
        <v>10</v>
      </c>
      <c r="B927" s="564">
        <v>3</v>
      </c>
      <c r="C927" s="564">
        <v>2</v>
      </c>
      <c r="D927" s="564">
        <v>1</v>
      </c>
      <c r="E927" s="564">
        <v>1</v>
      </c>
      <c r="F927" s="564">
        <v>2</v>
      </c>
      <c r="G927" s="564" t="s">
        <v>487</v>
      </c>
      <c r="H927" s="564">
        <v>1323</v>
      </c>
      <c r="I927" s="564">
        <v>89</v>
      </c>
      <c r="J927" s="564">
        <v>47</v>
      </c>
      <c r="K927" s="564">
        <v>38</v>
      </c>
      <c r="L927" s="564">
        <v>2</v>
      </c>
      <c r="M927" s="561" t="s">
        <v>137</v>
      </c>
      <c r="N927" s="651">
        <v>4304756724</v>
      </c>
      <c r="O927" s="564" t="s">
        <v>819</v>
      </c>
      <c r="P927" s="564" t="s">
        <v>1546</v>
      </c>
      <c r="Q927" s="564"/>
      <c r="R927" s="564">
        <v>2</v>
      </c>
    </row>
    <row r="928" spans="1:18" ht="15" customHeight="1" x14ac:dyDescent="0.25">
      <c r="A928" s="564">
        <v>10</v>
      </c>
      <c r="B928" s="564">
        <v>3</v>
      </c>
      <c r="C928" s="564">
        <v>2</v>
      </c>
      <c r="D928" s="564">
        <v>1</v>
      </c>
      <c r="E928" s="564">
        <v>1</v>
      </c>
      <c r="F928" s="564">
        <v>2</v>
      </c>
      <c r="G928" s="521" t="s">
        <v>489</v>
      </c>
      <c r="H928" s="564">
        <v>1315.46</v>
      </c>
      <c r="I928" s="564">
        <v>89</v>
      </c>
      <c r="J928" s="564">
        <v>35</v>
      </c>
      <c r="K928" s="564">
        <v>33</v>
      </c>
      <c r="L928" s="564">
        <v>1</v>
      </c>
      <c r="M928" s="561" t="s">
        <v>137</v>
      </c>
      <c r="N928" s="651">
        <v>4304756724</v>
      </c>
      <c r="O928" s="564" t="s">
        <v>819</v>
      </c>
      <c r="P928" s="564" t="s">
        <v>1547</v>
      </c>
      <c r="Q928" s="564"/>
      <c r="R928" s="564">
        <v>2</v>
      </c>
    </row>
    <row r="929" spans="1:18" ht="15" customHeight="1" x14ac:dyDescent="0.25">
      <c r="A929" s="564">
        <v>10</v>
      </c>
      <c r="B929" s="564">
        <v>3</v>
      </c>
      <c r="C929" s="564">
        <v>2</v>
      </c>
      <c r="D929" s="564">
        <v>1</v>
      </c>
      <c r="E929" s="564">
        <v>1</v>
      </c>
      <c r="F929" s="564">
        <v>2</v>
      </c>
      <c r="G929" s="564" t="s">
        <v>491</v>
      </c>
      <c r="H929" s="564">
        <v>1326.71</v>
      </c>
      <c r="I929" s="564">
        <v>89</v>
      </c>
      <c r="J929" s="564">
        <v>5</v>
      </c>
      <c r="K929" s="564">
        <v>28</v>
      </c>
      <c r="L929" s="564">
        <v>1</v>
      </c>
      <c r="M929" s="561" t="s">
        <v>137</v>
      </c>
      <c r="N929" s="651">
        <v>4304756724</v>
      </c>
      <c r="O929" s="564" t="s">
        <v>819</v>
      </c>
      <c r="P929" s="564" t="s">
        <v>1548</v>
      </c>
      <c r="Q929" s="564"/>
      <c r="R929" s="564">
        <v>2</v>
      </c>
    </row>
    <row r="930" spans="1:18" ht="15" customHeight="1" x14ac:dyDescent="0.25">
      <c r="A930" s="564">
        <v>10</v>
      </c>
      <c r="B930" s="564">
        <v>3</v>
      </c>
      <c r="C930" s="564">
        <v>2</v>
      </c>
      <c r="D930" s="564">
        <v>1</v>
      </c>
      <c r="E930" s="564">
        <v>1</v>
      </c>
      <c r="F930" s="564">
        <v>2</v>
      </c>
      <c r="G930" s="564" t="s">
        <v>494</v>
      </c>
      <c r="H930" s="564">
        <v>1327.61</v>
      </c>
      <c r="I930" s="564">
        <v>89</v>
      </c>
      <c r="J930" s="564">
        <v>17</v>
      </c>
      <c r="K930" s="564">
        <v>10</v>
      </c>
      <c r="L930" s="564">
        <v>2</v>
      </c>
      <c r="M930" s="561" t="s">
        <v>137</v>
      </c>
      <c r="N930" s="651">
        <v>4304756724</v>
      </c>
      <c r="O930" s="564" t="s">
        <v>819</v>
      </c>
      <c r="P930" s="564" t="s">
        <v>1549</v>
      </c>
      <c r="Q930" s="564"/>
      <c r="R930" s="564">
        <v>2</v>
      </c>
    </row>
    <row r="931" spans="1:18" ht="15" customHeight="1" x14ac:dyDescent="0.25">
      <c r="A931" s="553">
        <v>11</v>
      </c>
      <c r="B931" s="553">
        <v>2</v>
      </c>
      <c r="C931" s="553">
        <v>2</v>
      </c>
      <c r="D931" s="553">
        <v>3</v>
      </c>
      <c r="E931" s="553">
        <v>2</v>
      </c>
      <c r="F931" s="553">
        <v>2</v>
      </c>
      <c r="G931" s="553" t="s">
        <v>473</v>
      </c>
      <c r="H931" s="553">
        <v>1301.23</v>
      </c>
      <c r="I931" s="553">
        <v>0</v>
      </c>
      <c r="J931" s="553">
        <v>6</v>
      </c>
      <c r="K931" s="553">
        <v>3</v>
      </c>
      <c r="L931" s="553">
        <v>2</v>
      </c>
      <c r="M931" s="505" t="s">
        <v>137</v>
      </c>
      <c r="N931" s="500">
        <v>43013538130000</v>
      </c>
      <c r="O931" s="508" t="s">
        <v>1550</v>
      </c>
      <c r="P931" s="650" t="s">
        <v>1551</v>
      </c>
      <c r="Q931" s="564" t="s">
        <v>583</v>
      </c>
      <c r="R931" s="564">
        <v>1</v>
      </c>
    </row>
    <row r="932" spans="1:18" ht="15" customHeight="1" x14ac:dyDescent="0.25">
      <c r="A932" s="553">
        <v>11</v>
      </c>
      <c r="B932" s="553">
        <v>2</v>
      </c>
      <c r="C932" s="553">
        <v>2</v>
      </c>
      <c r="D932" s="553">
        <v>3</v>
      </c>
      <c r="E932" s="553">
        <v>2</v>
      </c>
      <c r="F932" s="553">
        <v>2</v>
      </c>
      <c r="G932" s="502" t="s">
        <v>476</v>
      </c>
      <c r="H932" s="553">
        <v>1301.25</v>
      </c>
      <c r="I932" s="553">
        <v>0</v>
      </c>
      <c r="J932" s="553">
        <v>6</v>
      </c>
      <c r="K932" s="553">
        <v>17</v>
      </c>
      <c r="L932" s="553">
        <v>2</v>
      </c>
      <c r="M932" s="505" t="s">
        <v>137</v>
      </c>
      <c r="N932" s="500">
        <v>43013538130000</v>
      </c>
      <c r="O932" s="508" t="s">
        <v>1550</v>
      </c>
      <c r="P932" s="650" t="s">
        <v>1552</v>
      </c>
      <c r="Q932" s="564" t="s">
        <v>583</v>
      </c>
      <c r="R932" s="564">
        <v>1</v>
      </c>
    </row>
    <row r="933" spans="1:18" ht="15" customHeight="1" x14ac:dyDescent="0.25">
      <c r="A933" s="553">
        <v>11</v>
      </c>
      <c r="B933" s="553">
        <v>2</v>
      </c>
      <c r="C933" s="553">
        <v>2</v>
      </c>
      <c r="D933" s="553">
        <v>3</v>
      </c>
      <c r="E933" s="553">
        <v>2</v>
      </c>
      <c r="F933" s="553">
        <v>2</v>
      </c>
      <c r="G933" s="553" t="s">
        <v>478</v>
      </c>
      <c r="H933" s="553">
        <v>1316.88</v>
      </c>
      <c r="I933" s="553">
        <v>0</v>
      </c>
      <c r="J933" s="553">
        <v>5</v>
      </c>
      <c r="K933" s="553">
        <v>1</v>
      </c>
      <c r="L933" s="553">
        <v>2</v>
      </c>
      <c r="M933" s="505" t="s">
        <v>137</v>
      </c>
      <c r="N933" s="500">
        <v>43013538130000</v>
      </c>
      <c r="O933" s="508" t="s">
        <v>1550</v>
      </c>
      <c r="P933" s="650" t="s">
        <v>1553</v>
      </c>
      <c r="Q933" s="564" t="s">
        <v>583</v>
      </c>
      <c r="R933" s="564">
        <v>1</v>
      </c>
    </row>
    <row r="934" spans="1:18" ht="15" customHeight="1" x14ac:dyDescent="0.25">
      <c r="A934" s="553">
        <v>11</v>
      </c>
      <c r="B934" s="553">
        <v>2</v>
      </c>
      <c r="C934" s="553">
        <v>2</v>
      </c>
      <c r="D934" s="553">
        <v>3</v>
      </c>
      <c r="E934" s="553">
        <v>2</v>
      </c>
      <c r="F934" s="553">
        <v>2</v>
      </c>
      <c r="G934" s="553" t="s">
        <v>484</v>
      </c>
      <c r="H934" s="553">
        <v>1313.87</v>
      </c>
      <c r="I934" s="553">
        <v>0</v>
      </c>
      <c r="J934" s="553">
        <v>5</v>
      </c>
      <c r="K934" s="553">
        <v>15</v>
      </c>
      <c r="L934" s="553">
        <v>2</v>
      </c>
      <c r="M934" s="505" t="s">
        <v>137</v>
      </c>
      <c r="N934" s="500">
        <v>43013538130000</v>
      </c>
      <c r="O934" s="508" t="s">
        <v>1550</v>
      </c>
      <c r="P934" s="650" t="s">
        <v>1554</v>
      </c>
      <c r="Q934" s="564" t="s">
        <v>583</v>
      </c>
      <c r="R934" s="564">
        <v>1</v>
      </c>
    </row>
    <row r="935" spans="1:18" ht="15" customHeight="1" x14ac:dyDescent="0.25">
      <c r="A935" s="553">
        <v>11</v>
      </c>
      <c r="B935" s="553">
        <v>2</v>
      </c>
      <c r="C935" s="553">
        <v>2</v>
      </c>
      <c r="D935" s="553">
        <v>3</v>
      </c>
      <c r="E935" s="553">
        <v>2</v>
      </c>
      <c r="F935" s="553">
        <v>2</v>
      </c>
      <c r="G935" s="553" t="s">
        <v>486</v>
      </c>
      <c r="H935" s="553">
        <v>1270.77</v>
      </c>
      <c r="I935" s="553">
        <v>0</v>
      </c>
      <c r="J935" s="553">
        <v>26</v>
      </c>
      <c r="K935" s="553">
        <v>3</v>
      </c>
      <c r="L935" s="553">
        <v>4</v>
      </c>
      <c r="M935" s="505" t="s">
        <v>137</v>
      </c>
      <c r="N935" s="500">
        <v>43013538130000</v>
      </c>
      <c r="O935" s="508" t="s">
        <v>1550</v>
      </c>
      <c r="P935" s="650" t="s">
        <v>1555</v>
      </c>
      <c r="Q935" s="564" t="s">
        <v>583</v>
      </c>
      <c r="R935" s="564">
        <v>1</v>
      </c>
    </row>
    <row r="936" spans="1:18" ht="15" customHeight="1" x14ac:dyDescent="0.25">
      <c r="A936" s="553">
        <v>11</v>
      </c>
      <c r="B936" s="553">
        <v>2</v>
      </c>
      <c r="C936" s="553">
        <v>2</v>
      </c>
      <c r="D936" s="553">
        <v>3</v>
      </c>
      <c r="E936" s="553">
        <v>2</v>
      </c>
      <c r="F936" s="553">
        <v>2</v>
      </c>
      <c r="G936" s="502" t="s">
        <v>488</v>
      </c>
      <c r="H936" s="553">
        <v>1318.27</v>
      </c>
      <c r="I936" s="553">
        <v>0</v>
      </c>
      <c r="J936" s="553">
        <v>26</v>
      </c>
      <c r="K936" s="553">
        <v>21</v>
      </c>
      <c r="L936" s="553">
        <v>4</v>
      </c>
      <c r="M936" s="505" t="s">
        <v>137</v>
      </c>
      <c r="N936" s="500">
        <v>43013538130000</v>
      </c>
      <c r="O936" s="508" t="s">
        <v>1550</v>
      </c>
      <c r="P936" s="650" t="s">
        <v>1556</v>
      </c>
      <c r="Q936" s="564" t="s">
        <v>583</v>
      </c>
      <c r="R936" s="564">
        <v>1</v>
      </c>
    </row>
    <row r="937" spans="1:18" ht="15" customHeight="1" x14ac:dyDescent="0.25">
      <c r="A937" s="553">
        <v>11</v>
      </c>
      <c r="B937" s="553">
        <v>2</v>
      </c>
      <c r="C937" s="553">
        <v>2</v>
      </c>
      <c r="D937" s="553">
        <v>3</v>
      </c>
      <c r="E937" s="553">
        <v>2</v>
      </c>
      <c r="F937" s="553">
        <v>2</v>
      </c>
      <c r="G937" s="553" t="s">
        <v>490</v>
      </c>
      <c r="H937" s="553">
        <v>1313.31</v>
      </c>
      <c r="I937" s="553">
        <v>0</v>
      </c>
      <c r="J937" s="553">
        <v>12</v>
      </c>
      <c r="K937" s="553">
        <v>33</v>
      </c>
      <c r="L937" s="553">
        <v>2</v>
      </c>
      <c r="M937" s="505" t="s">
        <v>137</v>
      </c>
      <c r="N937" s="500">
        <v>43013538130000</v>
      </c>
      <c r="O937" s="508" t="s">
        <v>1550</v>
      </c>
      <c r="P937" s="650" t="s">
        <v>1557</v>
      </c>
      <c r="Q937" s="564" t="s">
        <v>583</v>
      </c>
      <c r="R937" s="564">
        <v>1</v>
      </c>
    </row>
    <row r="938" spans="1:18" ht="15" customHeight="1" x14ac:dyDescent="0.25">
      <c r="A938" s="553">
        <v>11</v>
      </c>
      <c r="B938" s="553">
        <v>2</v>
      </c>
      <c r="C938" s="553">
        <v>2</v>
      </c>
      <c r="D938" s="553">
        <v>3</v>
      </c>
      <c r="E938" s="553">
        <v>2</v>
      </c>
      <c r="F938" s="553">
        <v>2</v>
      </c>
      <c r="G938" s="553" t="s">
        <v>493</v>
      </c>
      <c r="H938" s="553">
        <v>1313.65</v>
      </c>
      <c r="I938" s="553">
        <v>0</v>
      </c>
      <c r="J938" s="553">
        <v>12</v>
      </c>
      <c r="K938" s="553">
        <v>47</v>
      </c>
      <c r="L938" s="553">
        <v>2</v>
      </c>
      <c r="M938" s="505" t="s">
        <v>137</v>
      </c>
      <c r="N938" s="500">
        <v>43013538130000</v>
      </c>
      <c r="O938" s="508" t="s">
        <v>1550</v>
      </c>
      <c r="P938" s="650" t="s">
        <v>1558</v>
      </c>
      <c r="Q938" s="564" t="s">
        <v>583</v>
      </c>
      <c r="R938" s="564">
        <v>1</v>
      </c>
    </row>
    <row r="939" spans="1:18" ht="15" customHeight="1" x14ac:dyDescent="0.25">
      <c r="A939" s="553">
        <v>11</v>
      </c>
      <c r="B939" s="553">
        <v>2</v>
      </c>
      <c r="C939" s="553">
        <v>2</v>
      </c>
      <c r="D939" s="553">
        <v>3</v>
      </c>
      <c r="E939" s="553">
        <v>2</v>
      </c>
      <c r="F939" s="553">
        <v>2</v>
      </c>
      <c r="G939" s="553" t="s">
        <v>474</v>
      </c>
      <c r="H939" s="553">
        <v>1316.335</v>
      </c>
      <c r="I939" s="553">
        <v>59</v>
      </c>
      <c r="J939" s="553">
        <v>57</v>
      </c>
      <c r="K939" s="553">
        <v>16</v>
      </c>
      <c r="L939" s="553">
        <v>4</v>
      </c>
      <c r="M939" s="505" t="s">
        <v>137</v>
      </c>
      <c r="N939" s="500">
        <v>43013538130000</v>
      </c>
      <c r="O939" s="508" t="s">
        <v>1550</v>
      </c>
      <c r="P939" s="650" t="s">
        <v>1559</v>
      </c>
      <c r="Q939" s="564" t="s">
        <v>583</v>
      </c>
      <c r="R939" s="564">
        <v>1</v>
      </c>
    </row>
    <row r="940" spans="1:18" ht="15" customHeight="1" x14ac:dyDescent="0.25">
      <c r="A940" s="553">
        <v>11</v>
      </c>
      <c r="B940" s="553">
        <v>2</v>
      </c>
      <c r="C940" s="553">
        <v>2</v>
      </c>
      <c r="D940" s="553">
        <v>3</v>
      </c>
      <c r="E940" s="553">
        <v>2</v>
      </c>
      <c r="F940" s="553">
        <v>2</v>
      </c>
      <c r="G940" s="502" t="s">
        <v>477</v>
      </c>
      <c r="H940" s="553">
        <v>1316.335</v>
      </c>
      <c r="I940" s="553">
        <v>59</v>
      </c>
      <c r="J940" s="553">
        <v>57</v>
      </c>
      <c r="K940" s="553">
        <v>16</v>
      </c>
      <c r="L940" s="553">
        <v>4</v>
      </c>
      <c r="M940" s="505" t="s">
        <v>137</v>
      </c>
      <c r="N940" s="500">
        <v>43013538130000</v>
      </c>
      <c r="O940" s="508" t="s">
        <v>1550</v>
      </c>
      <c r="P940" s="650" t="s">
        <v>1560</v>
      </c>
      <c r="Q940" s="564" t="s">
        <v>583</v>
      </c>
      <c r="R940" s="564">
        <v>1</v>
      </c>
    </row>
    <row r="941" spans="1:18" ht="15" customHeight="1" x14ac:dyDescent="0.25">
      <c r="A941" s="553">
        <v>11</v>
      </c>
      <c r="B941" s="553">
        <v>2</v>
      </c>
      <c r="C941" s="553">
        <v>2</v>
      </c>
      <c r="D941" s="553">
        <v>3</v>
      </c>
      <c r="E941" s="553">
        <v>2</v>
      </c>
      <c r="F941" s="553">
        <v>2</v>
      </c>
      <c r="G941" s="553" t="s">
        <v>479</v>
      </c>
      <c r="H941" s="553">
        <v>1316.335</v>
      </c>
      <c r="I941" s="553">
        <v>59</v>
      </c>
      <c r="J941" s="553">
        <v>57</v>
      </c>
      <c r="K941" s="553">
        <v>16</v>
      </c>
      <c r="L941" s="553">
        <v>4</v>
      </c>
      <c r="M941" s="505" t="s">
        <v>137</v>
      </c>
      <c r="N941" s="500">
        <v>43013538130000</v>
      </c>
      <c r="O941" s="508" t="s">
        <v>1550</v>
      </c>
      <c r="P941" s="650" t="s">
        <v>1561</v>
      </c>
      <c r="Q941" s="564" t="s">
        <v>583</v>
      </c>
      <c r="R941" s="564">
        <v>1</v>
      </c>
    </row>
    <row r="942" spans="1:18" ht="15" customHeight="1" x14ac:dyDescent="0.25">
      <c r="A942" s="553">
        <v>11</v>
      </c>
      <c r="B942" s="553">
        <v>2</v>
      </c>
      <c r="C942" s="553">
        <v>2</v>
      </c>
      <c r="D942" s="553">
        <v>3</v>
      </c>
      <c r="E942" s="553">
        <v>2</v>
      </c>
      <c r="F942" s="553">
        <v>2</v>
      </c>
      <c r="G942" s="553" t="s">
        <v>485</v>
      </c>
      <c r="H942" s="553">
        <v>1316.335</v>
      </c>
      <c r="I942" s="553">
        <v>59</v>
      </c>
      <c r="J942" s="553">
        <v>57</v>
      </c>
      <c r="K942" s="553">
        <v>16</v>
      </c>
      <c r="L942" s="553">
        <v>4</v>
      </c>
      <c r="M942" s="505" t="s">
        <v>137</v>
      </c>
      <c r="N942" s="500">
        <v>43013538130000</v>
      </c>
      <c r="O942" s="508" t="s">
        <v>1550</v>
      </c>
      <c r="P942" s="650" t="s">
        <v>1562</v>
      </c>
      <c r="Q942" s="564" t="s">
        <v>583</v>
      </c>
      <c r="R942" s="564">
        <v>1</v>
      </c>
    </row>
    <row r="943" spans="1:18" ht="15" customHeight="1" x14ac:dyDescent="0.25">
      <c r="A943" s="553">
        <v>11</v>
      </c>
      <c r="B943" s="553">
        <v>2</v>
      </c>
      <c r="C943" s="553">
        <v>2</v>
      </c>
      <c r="D943" s="553">
        <v>3</v>
      </c>
      <c r="E943" s="553">
        <v>2</v>
      </c>
      <c r="F943" s="553">
        <v>2</v>
      </c>
      <c r="G943" s="553" t="s">
        <v>487</v>
      </c>
      <c r="H943" s="553">
        <v>1321.0025000000001</v>
      </c>
      <c r="I943" s="553">
        <v>89</v>
      </c>
      <c r="J943" s="553">
        <v>49</v>
      </c>
      <c r="K943" s="553">
        <v>43</v>
      </c>
      <c r="L943" s="553">
        <v>3</v>
      </c>
      <c r="M943" s="505" t="s">
        <v>137</v>
      </c>
      <c r="N943" s="500">
        <v>43013538130000</v>
      </c>
      <c r="O943" s="508" t="s">
        <v>1550</v>
      </c>
      <c r="P943" s="650" t="s">
        <v>1563</v>
      </c>
      <c r="Q943" s="564" t="s">
        <v>583</v>
      </c>
      <c r="R943" s="564">
        <v>1</v>
      </c>
    </row>
    <row r="944" spans="1:18" ht="15" customHeight="1" x14ac:dyDescent="0.25">
      <c r="A944" s="553">
        <v>11</v>
      </c>
      <c r="B944" s="553">
        <v>2</v>
      </c>
      <c r="C944" s="553">
        <v>2</v>
      </c>
      <c r="D944" s="553">
        <v>3</v>
      </c>
      <c r="E944" s="553">
        <v>2</v>
      </c>
      <c r="F944" s="553">
        <v>2</v>
      </c>
      <c r="G944" s="502" t="s">
        <v>489</v>
      </c>
      <c r="H944" s="553">
        <v>1321.0025000000001</v>
      </c>
      <c r="I944" s="553">
        <v>89</v>
      </c>
      <c r="J944" s="553">
        <v>49</v>
      </c>
      <c r="K944" s="553">
        <v>43</v>
      </c>
      <c r="L944" s="553">
        <v>3</v>
      </c>
      <c r="M944" s="505" t="s">
        <v>137</v>
      </c>
      <c r="N944" s="500">
        <v>43013538130000</v>
      </c>
      <c r="O944" s="553" t="s">
        <v>1550</v>
      </c>
      <c r="P944" s="650" t="s">
        <v>1564</v>
      </c>
      <c r="Q944" s="564" t="s">
        <v>583</v>
      </c>
      <c r="R944" s="564">
        <v>1</v>
      </c>
    </row>
    <row r="945" spans="1:18" ht="15" customHeight="1" x14ac:dyDescent="0.25">
      <c r="A945" s="553">
        <v>11</v>
      </c>
      <c r="B945" s="553">
        <v>2</v>
      </c>
      <c r="C945" s="553">
        <v>2</v>
      </c>
      <c r="D945" s="553">
        <v>3</v>
      </c>
      <c r="E945" s="553">
        <v>2</v>
      </c>
      <c r="F945" s="553">
        <v>2</v>
      </c>
      <c r="G945" s="553" t="s">
        <v>491</v>
      </c>
      <c r="H945" s="553">
        <v>1321.0025000000001</v>
      </c>
      <c r="I945" s="553">
        <v>89</v>
      </c>
      <c r="J945" s="553">
        <v>49</v>
      </c>
      <c r="K945" s="553">
        <v>43</v>
      </c>
      <c r="L945" s="553">
        <v>3</v>
      </c>
      <c r="M945" s="505" t="s">
        <v>137</v>
      </c>
      <c r="N945" s="500">
        <v>43013538130000</v>
      </c>
      <c r="O945" s="553" t="s">
        <v>1550</v>
      </c>
      <c r="P945" s="650" t="s">
        <v>1565</v>
      </c>
      <c r="Q945" s="564" t="s">
        <v>583</v>
      </c>
      <c r="R945" s="564">
        <v>1</v>
      </c>
    </row>
    <row r="946" spans="1:18" ht="15" customHeight="1" x14ac:dyDescent="0.25">
      <c r="A946" s="553">
        <v>11</v>
      </c>
      <c r="B946" s="553">
        <v>2</v>
      </c>
      <c r="C946" s="553">
        <v>2</v>
      </c>
      <c r="D946" s="553">
        <v>3</v>
      </c>
      <c r="E946" s="553">
        <v>2</v>
      </c>
      <c r="F946" s="553">
        <v>2</v>
      </c>
      <c r="G946" s="553" t="s">
        <v>494</v>
      </c>
      <c r="H946" s="553">
        <v>1321.0025000000001</v>
      </c>
      <c r="I946" s="553">
        <v>89</v>
      </c>
      <c r="J946" s="553">
        <v>49</v>
      </c>
      <c r="K946" s="553">
        <v>43</v>
      </c>
      <c r="L946" s="553">
        <v>3</v>
      </c>
      <c r="M946" s="505" t="s">
        <v>137</v>
      </c>
      <c r="N946" s="500">
        <v>43013538130000</v>
      </c>
      <c r="O946" s="553" t="s">
        <v>1550</v>
      </c>
      <c r="P946" s="650" t="s">
        <v>1566</v>
      </c>
      <c r="Q946" s="564" t="s">
        <v>583</v>
      </c>
      <c r="R946" s="564">
        <v>1</v>
      </c>
    </row>
    <row r="947" spans="1:18" ht="15" customHeight="1" x14ac:dyDescent="0.25">
      <c r="A947" s="564">
        <v>11</v>
      </c>
      <c r="B947" s="564">
        <v>2</v>
      </c>
      <c r="C947" s="564">
        <v>2</v>
      </c>
      <c r="D947" s="564">
        <v>2</v>
      </c>
      <c r="E947" s="564">
        <v>2</v>
      </c>
      <c r="F947" s="564">
        <v>2</v>
      </c>
      <c r="G947" s="553" t="s">
        <v>473</v>
      </c>
      <c r="H947" s="564">
        <v>1319.56</v>
      </c>
      <c r="I947" s="564">
        <v>0</v>
      </c>
      <c r="J947" s="564">
        <v>3</v>
      </c>
      <c r="K947" s="564">
        <v>23</v>
      </c>
      <c r="L947" s="564">
        <v>4</v>
      </c>
      <c r="M947" s="561" t="s">
        <v>137</v>
      </c>
      <c r="N947" s="520">
        <v>4301353982</v>
      </c>
      <c r="O947" s="564" t="s">
        <v>668</v>
      </c>
      <c r="P947" s="522" t="s">
        <v>1567</v>
      </c>
      <c r="Q947" s="564" t="s">
        <v>670</v>
      </c>
      <c r="R947" s="564">
        <v>2</v>
      </c>
    </row>
    <row r="948" spans="1:18" ht="15" customHeight="1" x14ac:dyDescent="0.25">
      <c r="A948" s="564">
        <v>11</v>
      </c>
      <c r="B948" s="564">
        <v>2</v>
      </c>
      <c r="C948" s="564">
        <v>2</v>
      </c>
      <c r="D948" s="564">
        <v>2</v>
      </c>
      <c r="E948" s="564">
        <v>2</v>
      </c>
      <c r="F948" s="564">
        <v>2</v>
      </c>
      <c r="G948" s="502" t="s">
        <v>476</v>
      </c>
      <c r="H948" s="564">
        <v>1319.56</v>
      </c>
      <c r="I948" s="564">
        <v>0</v>
      </c>
      <c r="J948" s="564">
        <v>3</v>
      </c>
      <c r="K948" s="564">
        <v>23</v>
      </c>
      <c r="L948" s="564">
        <v>4</v>
      </c>
      <c r="M948" s="561" t="s">
        <v>137</v>
      </c>
      <c r="N948" s="520">
        <v>4301353982</v>
      </c>
      <c r="O948" s="564" t="s">
        <v>668</v>
      </c>
      <c r="P948" s="522" t="s">
        <v>1568</v>
      </c>
      <c r="Q948" s="564" t="s">
        <v>670</v>
      </c>
      <c r="R948" s="564">
        <v>2</v>
      </c>
    </row>
    <row r="949" spans="1:18" ht="15" customHeight="1" x14ac:dyDescent="0.25">
      <c r="A949" s="564">
        <v>11</v>
      </c>
      <c r="B949" s="564">
        <v>2</v>
      </c>
      <c r="C949" s="564">
        <v>2</v>
      </c>
      <c r="D949" s="564">
        <v>2</v>
      </c>
      <c r="E949" s="564">
        <v>2</v>
      </c>
      <c r="F949" s="564">
        <v>2</v>
      </c>
      <c r="G949" s="553" t="s">
        <v>478</v>
      </c>
      <c r="H949" s="564">
        <v>1331.9</v>
      </c>
      <c r="I949" s="564">
        <v>0</v>
      </c>
      <c r="J949" s="564">
        <v>2</v>
      </c>
      <c r="K949" s="564">
        <v>16</v>
      </c>
      <c r="L949" s="564">
        <v>2</v>
      </c>
      <c r="M949" s="561" t="s">
        <v>137</v>
      </c>
      <c r="N949" s="520">
        <v>4301353982</v>
      </c>
      <c r="O949" s="564" t="s">
        <v>668</v>
      </c>
      <c r="P949" s="522" t="s">
        <v>1569</v>
      </c>
      <c r="Q949" s="564" t="s">
        <v>670</v>
      </c>
      <c r="R949" s="564">
        <v>2</v>
      </c>
    </row>
    <row r="950" spans="1:18" ht="15" customHeight="1" x14ac:dyDescent="0.25">
      <c r="A950" s="564">
        <v>11</v>
      </c>
      <c r="B950" s="564">
        <v>2</v>
      </c>
      <c r="C950" s="564">
        <v>2</v>
      </c>
      <c r="D950" s="564">
        <v>2</v>
      </c>
      <c r="E950" s="564">
        <v>2</v>
      </c>
      <c r="F950" s="564">
        <v>2</v>
      </c>
      <c r="G950" s="553" t="s">
        <v>484</v>
      </c>
      <c r="H950" s="564">
        <v>1331.9</v>
      </c>
      <c r="I950" s="564">
        <v>0</v>
      </c>
      <c r="J950" s="564">
        <v>2</v>
      </c>
      <c r="K950" s="564">
        <v>16</v>
      </c>
      <c r="L950" s="564">
        <v>2</v>
      </c>
      <c r="M950" s="561" t="s">
        <v>137</v>
      </c>
      <c r="N950" s="520">
        <v>4301353982</v>
      </c>
      <c r="O950" s="564" t="s">
        <v>668</v>
      </c>
      <c r="P950" s="522" t="s">
        <v>1570</v>
      </c>
      <c r="Q950" s="564" t="s">
        <v>670</v>
      </c>
      <c r="R950" s="564">
        <v>2</v>
      </c>
    </row>
    <row r="951" spans="1:18" ht="15" customHeight="1" x14ac:dyDescent="0.25">
      <c r="A951" s="564">
        <v>11</v>
      </c>
      <c r="B951" s="564">
        <v>2</v>
      </c>
      <c r="C951" s="564">
        <v>2</v>
      </c>
      <c r="D951" s="564">
        <v>2</v>
      </c>
      <c r="E951" s="564">
        <v>2</v>
      </c>
      <c r="F951" s="564">
        <v>2</v>
      </c>
      <c r="G951" s="553" t="s">
        <v>486</v>
      </c>
      <c r="H951" s="564">
        <v>1302.2650000000001</v>
      </c>
      <c r="I951" s="564">
        <v>0</v>
      </c>
      <c r="J951" s="564">
        <v>3</v>
      </c>
      <c r="K951" s="564">
        <v>17</v>
      </c>
      <c r="L951" s="564">
        <v>4</v>
      </c>
      <c r="M951" s="561" t="s">
        <v>137</v>
      </c>
      <c r="N951" s="520">
        <v>4301353982</v>
      </c>
      <c r="O951" s="564" t="s">
        <v>668</v>
      </c>
      <c r="P951" s="522" t="s">
        <v>1571</v>
      </c>
      <c r="Q951" s="564" t="s">
        <v>670</v>
      </c>
      <c r="R951" s="564">
        <v>2</v>
      </c>
    </row>
    <row r="952" spans="1:18" ht="15" customHeight="1" x14ac:dyDescent="0.25">
      <c r="A952" s="564">
        <v>11</v>
      </c>
      <c r="B952" s="564">
        <v>2</v>
      </c>
      <c r="C952" s="564">
        <v>2</v>
      </c>
      <c r="D952" s="564">
        <v>2</v>
      </c>
      <c r="E952" s="564">
        <v>2</v>
      </c>
      <c r="F952" s="564">
        <v>2</v>
      </c>
      <c r="G952" s="502" t="s">
        <v>488</v>
      </c>
      <c r="H952" s="564">
        <v>1302.2650000000001</v>
      </c>
      <c r="I952" s="564">
        <v>0</v>
      </c>
      <c r="J952" s="564">
        <v>3</v>
      </c>
      <c r="K952" s="564">
        <v>17</v>
      </c>
      <c r="L952" s="564">
        <v>4</v>
      </c>
      <c r="M952" s="561" t="s">
        <v>137</v>
      </c>
      <c r="N952" s="520">
        <v>4301353982</v>
      </c>
      <c r="O952" s="564" t="s">
        <v>668</v>
      </c>
      <c r="P952" s="522" t="s">
        <v>1572</v>
      </c>
      <c r="Q952" s="564" t="s">
        <v>670</v>
      </c>
      <c r="R952" s="564">
        <v>2</v>
      </c>
    </row>
    <row r="953" spans="1:18" ht="15" customHeight="1" x14ac:dyDescent="0.25">
      <c r="A953" s="564">
        <v>11</v>
      </c>
      <c r="B953" s="564">
        <v>2</v>
      </c>
      <c r="C953" s="564">
        <v>2</v>
      </c>
      <c r="D953" s="564">
        <v>2</v>
      </c>
      <c r="E953" s="564">
        <v>2</v>
      </c>
      <c r="F953" s="564">
        <v>2</v>
      </c>
      <c r="G953" s="553" t="s">
        <v>490</v>
      </c>
      <c r="H953" s="564">
        <v>1302.2650000000001</v>
      </c>
      <c r="I953" s="564">
        <v>0</v>
      </c>
      <c r="J953" s="564">
        <v>3</v>
      </c>
      <c r="K953" s="564">
        <v>17</v>
      </c>
      <c r="L953" s="564">
        <v>4</v>
      </c>
      <c r="M953" s="561" t="s">
        <v>137</v>
      </c>
      <c r="N953" s="520">
        <v>4301353982</v>
      </c>
      <c r="O953" s="564" t="s">
        <v>668</v>
      </c>
      <c r="P953" s="522" t="s">
        <v>1573</v>
      </c>
      <c r="Q953" s="564" t="s">
        <v>670</v>
      </c>
      <c r="R953" s="564">
        <v>2</v>
      </c>
    </row>
    <row r="954" spans="1:18" ht="15" customHeight="1" x14ac:dyDescent="0.25">
      <c r="A954" s="564">
        <v>11</v>
      </c>
      <c r="B954" s="564">
        <v>2</v>
      </c>
      <c r="C954" s="564">
        <v>2</v>
      </c>
      <c r="D954" s="564">
        <v>2</v>
      </c>
      <c r="E954" s="564">
        <v>2</v>
      </c>
      <c r="F954" s="564">
        <v>2</v>
      </c>
      <c r="G954" s="553" t="s">
        <v>493</v>
      </c>
      <c r="H954" s="564">
        <v>1371.175</v>
      </c>
      <c r="I954" s="564">
        <v>0</v>
      </c>
      <c r="J954" s="564">
        <v>3</v>
      </c>
      <c r="K954" s="564">
        <v>17</v>
      </c>
      <c r="L954" s="564">
        <v>4</v>
      </c>
      <c r="M954" s="561" t="s">
        <v>137</v>
      </c>
      <c r="N954" s="520">
        <v>4301353982</v>
      </c>
      <c r="O954" s="564" t="s">
        <v>668</v>
      </c>
      <c r="P954" s="522" t="s">
        <v>1574</v>
      </c>
      <c r="Q954" s="564" t="s">
        <v>670</v>
      </c>
      <c r="R954" s="564">
        <v>2</v>
      </c>
    </row>
    <row r="955" spans="1:18" ht="15" customHeight="1" x14ac:dyDescent="0.25">
      <c r="A955" s="564">
        <v>11</v>
      </c>
      <c r="B955" s="564">
        <v>2</v>
      </c>
      <c r="C955" s="564">
        <v>2</v>
      </c>
      <c r="D955" s="564">
        <v>2</v>
      </c>
      <c r="E955" s="564">
        <v>2</v>
      </c>
      <c r="F955" s="564">
        <v>2</v>
      </c>
      <c r="G955" s="553" t="s">
        <v>474</v>
      </c>
      <c r="H955" s="564">
        <v>1322</v>
      </c>
      <c r="I955" s="564">
        <v>89</v>
      </c>
      <c r="J955" s="564">
        <v>48</v>
      </c>
      <c r="K955" s="564">
        <v>22</v>
      </c>
      <c r="L955" s="564">
        <v>3</v>
      </c>
      <c r="M955" s="561" t="s">
        <v>137</v>
      </c>
      <c r="N955" s="520">
        <v>4301353982</v>
      </c>
      <c r="O955" s="564" t="s">
        <v>668</v>
      </c>
      <c r="P955" s="522" t="s">
        <v>1575</v>
      </c>
      <c r="Q955" s="564" t="s">
        <v>670</v>
      </c>
      <c r="R955" s="564">
        <v>2</v>
      </c>
    </row>
    <row r="956" spans="1:18" ht="15" customHeight="1" x14ac:dyDescent="0.25">
      <c r="A956" s="564">
        <v>11</v>
      </c>
      <c r="B956" s="564">
        <v>2</v>
      </c>
      <c r="C956" s="564">
        <v>2</v>
      </c>
      <c r="D956" s="564">
        <v>2</v>
      </c>
      <c r="E956" s="564">
        <v>2</v>
      </c>
      <c r="F956" s="564">
        <v>2</v>
      </c>
      <c r="G956" s="502" t="s">
        <v>477</v>
      </c>
      <c r="H956" s="564">
        <v>1322</v>
      </c>
      <c r="I956" s="564">
        <v>89</v>
      </c>
      <c r="J956" s="564">
        <v>48</v>
      </c>
      <c r="K956" s="564">
        <v>22</v>
      </c>
      <c r="L956" s="564">
        <v>3</v>
      </c>
      <c r="M956" s="561" t="s">
        <v>137</v>
      </c>
      <c r="N956" s="520">
        <v>4301353982</v>
      </c>
      <c r="O956" s="564" t="s">
        <v>668</v>
      </c>
      <c r="P956" s="522" t="s">
        <v>1576</v>
      </c>
      <c r="Q956" s="564" t="s">
        <v>670</v>
      </c>
      <c r="R956" s="564">
        <v>2</v>
      </c>
    </row>
    <row r="957" spans="1:18" ht="15" customHeight="1" x14ac:dyDescent="0.25">
      <c r="A957" s="564">
        <v>11</v>
      </c>
      <c r="B957" s="564">
        <v>2</v>
      </c>
      <c r="C957" s="564">
        <v>2</v>
      </c>
      <c r="D957" s="564">
        <v>2</v>
      </c>
      <c r="E957" s="564">
        <v>2</v>
      </c>
      <c r="F957" s="564">
        <v>2</v>
      </c>
      <c r="G957" s="553" t="s">
        <v>479</v>
      </c>
      <c r="H957" s="564">
        <v>1320.25</v>
      </c>
      <c r="I957" s="564">
        <v>89</v>
      </c>
      <c r="J957" s="564">
        <v>48</v>
      </c>
      <c r="K957" s="564">
        <v>8</v>
      </c>
      <c r="L957" s="564">
        <v>4</v>
      </c>
      <c r="M957" s="561" t="s">
        <v>137</v>
      </c>
      <c r="N957" s="520">
        <v>4301353982</v>
      </c>
      <c r="O957" s="564" t="s">
        <v>668</v>
      </c>
      <c r="P957" s="522" t="s">
        <v>1577</v>
      </c>
      <c r="Q957" s="564" t="s">
        <v>670</v>
      </c>
      <c r="R957" s="564">
        <v>2</v>
      </c>
    </row>
    <row r="958" spans="1:18" ht="15" customHeight="1" x14ac:dyDescent="0.25">
      <c r="A958" s="564">
        <v>11</v>
      </c>
      <c r="B958" s="564">
        <v>2</v>
      </c>
      <c r="C958" s="564">
        <v>2</v>
      </c>
      <c r="D958" s="564">
        <v>2</v>
      </c>
      <c r="E958" s="564">
        <v>2</v>
      </c>
      <c r="F958" s="564">
        <v>2</v>
      </c>
      <c r="G958" s="553" t="s">
        <v>485</v>
      </c>
      <c r="H958" s="564">
        <v>1320.25</v>
      </c>
      <c r="I958" s="564">
        <v>89</v>
      </c>
      <c r="J958" s="564">
        <v>48</v>
      </c>
      <c r="K958" s="564">
        <v>8</v>
      </c>
      <c r="L958" s="564">
        <v>4</v>
      </c>
      <c r="M958" s="561" t="s">
        <v>137</v>
      </c>
      <c r="N958" s="520">
        <v>4301353982</v>
      </c>
      <c r="O958" s="564" t="s">
        <v>668</v>
      </c>
      <c r="P958" s="522" t="s">
        <v>1578</v>
      </c>
      <c r="Q958" s="564" t="s">
        <v>670</v>
      </c>
      <c r="R958" s="564">
        <v>2</v>
      </c>
    </row>
    <row r="959" spans="1:18" ht="15" customHeight="1" x14ac:dyDescent="0.25">
      <c r="A959" s="564">
        <v>11</v>
      </c>
      <c r="B959" s="564">
        <v>2</v>
      </c>
      <c r="C959" s="564">
        <v>2</v>
      </c>
      <c r="D959" s="564">
        <v>2</v>
      </c>
      <c r="E959" s="564">
        <v>2</v>
      </c>
      <c r="F959" s="564">
        <v>2</v>
      </c>
      <c r="G959" s="553" t="s">
        <v>487</v>
      </c>
      <c r="H959" s="564">
        <v>1323.2750000000001</v>
      </c>
      <c r="I959" s="564">
        <v>89</v>
      </c>
      <c r="J959" s="564">
        <v>42</v>
      </c>
      <c r="K959" s="564">
        <v>42</v>
      </c>
      <c r="L959" s="564">
        <v>3</v>
      </c>
      <c r="M959" s="561" t="s">
        <v>137</v>
      </c>
      <c r="N959" s="520">
        <v>4301353982</v>
      </c>
      <c r="O959" s="564" t="s">
        <v>668</v>
      </c>
      <c r="P959" s="522" t="s">
        <v>1579</v>
      </c>
      <c r="Q959" s="564" t="s">
        <v>670</v>
      </c>
      <c r="R959" s="564">
        <v>2</v>
      </c>
    </row>
    <row r="960" spans="1:18" ht="15" customHeight="1" x14ac:dyDescent="0.25">
      <c r="A960" s="564">
        <v>11</v>
      </c>
      <c r="B960" s="564">
        <v>2</v>
      </c>
      <c r="C960" s="564">
        <v>2</v>
      </c>
      <c r="D960" s="564">
        <v>2</v>
      </c>
      <c r="E960" s="564">
        <v>2</v>
      </c>
      <c r="F960" s="564">
        <v>2</v>
      </c>
      <c r="G960" s="502" t="s">
        <v>489</v>
      </c>
      <c r="H960" s="564">
        <v>1323.2750000000001</v>
      </c>
      <c r="I960" s="564">
        <v>89</v>
      </c>
      <c r="J960" s="564">
        <v>42</v>
      </c>
      <c r="K960" s="564">
        <v>42</v>
      </c>
      <c r="L960" s="564">
        <v>3</v>
      </c>
      <c r="M960" s="561" t="s">
        <v>137</v>
      </c>
      <c r="N960" s="520">
        <v>4301353982</v>
      </c>
      <c r="O960" s="564" t="s">
        <v>668</v>
      </c>
      <c r="P960" s="522" t="s">
        <v>1580</v>
      </c>
      <c r="Q960" s="564" t="s">
        <v>670</v>
      </c>
      <c r="R960" s="564">
        <v>2</v>
      </c>
    </row>
    <row r="961" spans="1:18" ht="15" customHeight="1" x14ac:dyDescent="0.25">
      <c r="A961" s="564">
        <v>11</v>
      </c>
      <c r="B961" s="564">
        <v>2</v>
      </c>
      <c r="C961" s="564">
        <v>2</v>
      </c>
      <c r="D961" s="564">
        <v>2</v>
      </c>
      <c r="E961" s="564">
        <v>2</v>
      </c>
      <c r="F961" s="564">
        <v>2</v>
      </c>
      <c r="G961" s="553" t="s">
        <v>491</v>
      </c>
      <c r="H961" s="564">
        <v>1321.145</v>
      </c>
      <c r="I961" s="564">
        <v>89</v>
      </c>
      <c r="J961" s="564">
        <v>45</v>
      </c>
      <c r="K961" s="564">
        <v>6</v>
      </c>
      <c r="L961" s="564">
        <v>2</v>
      </c>
      <c r="M961" s="561" t="s">
        <v>137</v>
      </c>
      <c r="N961" s="520">
        <v>4301353982</v>
      </c>
      <c r="O961" s="564" t="s">
        <v>668</v>
      </c>
      <c r="P961" s="522" t="s">
        <v>1581</v>
      </c>
      <c r="Q961" s="564" t="s">
        <v>670</v>
      </c>
      <c r="R961" s="564">
        <v>2</v>
      </c>
    </row>
    <row r="962" spans="1:18" ht="15" customHeight="1" x14ac:dyDescent="0.25">
      <c r="A962" s="564">
        <v>11</v>
      </c>
      <c r="B962" s="564">
        <v>2</v>
      </c>
      <c r="C962" s="564">
        <v>2</v>
      </c>
      <c r="D962" s="564">
        <v>2</v>
      </c>
      <c r="E962" s="564">
        <v>2</v>
      </c>
      <c r="F962" s="564">
        <v>2</v>
      </c>
      <c r="G962" s="553" t="s">
        <v>494</v>
      </c>
      <c r="H962" s="564">
        <v>1321.145</v>
      </c>
      <c r="I962" s="564">
        <v>89</v>
      </c>
      <c r="J962" s="564">
        <v>45</v>
      </c>
      <c r="K962" s="564">
        <v>6</v>
      </c>
      <c r="L962" s="564">
        <v>2</v>
      </c>
      <c r="M962" s="561" t="s">
        <v>137</v>
      </c>
      <c r="N962" s="520">
        <v>4301353982</v>
      </c>
      <c r="O962" s="564" t="s">
        <v>668</v>
      </c>
      <c r="P962" s="522" t="s">
        <v>1582</v>
      </c>
      <c r="Q962" s="564" t="s">
        <v>670</v>
      </c>
      <c r="R962" s="564">
        <v>2</v>
      </c>
    </row>
    <row r="963" spans="1:18" s="497" customFormat="1" ht="15" customHeight="1" x14ac:dyDescent="0.25">
      <c r="A963" s="564">
        <v>11</v>
      </c>
      <c r="B963" s="564">
        <v>3</v>
      </c>
      <c r="C963" s="564">
        <v>2</v>
      </c>
      <c r="D963" s="564">
        <v>1</v>
      </c>
      <c r="E963" s="564">
        <v>2</v>
      </c>
      <c r="F963" s="564">
        <v>2</v>
      </c>
      <c r="G963" s="564" t="s">
        <v>473</v>
      </c>
      <c r="H963" s="564">
        <v>1319.79</v>
      </c>
      <c r="I963" s="564">
        <v>1</v>
      </c>
      <c r="J963" s="564">
        <v>4</v>
      </c>
      <c r="K963" s="564">
        <v>49</v>
      </c>
      <c r="L963" s="564">
        <v>4</v>
      </c>
      <c r="M963" s="561" t="s">
        <v>137</v>
      </c>
      <c r="N963" s="651">
        <v>4304755886</v>
      </c>
      <c r="O963" s="564" t="s">
        <v>752</v>
      </c>
      <c r="P963" s="564" t="s">
        <v>1583</v>
      </c>
      <c r="Q963" s="564"/>
      <c r="R963" s="564">
        <v>1</v>
      </c>
    </row>
    <row r="964" spans="1:18" s="497" customFormat="1" ht="15" customHeight="1" x14ac:dyDescent="0.25">
      <c r="A964" s="564">
        <v>11</v>
      </c>
      <c r="B964" s="564">
        <v>3</v>
      </c>
      <c r="C964" s="564">
        <v>2</v>
      </c>
      <c r="D964" s="564">
        <v>1</v>
      </c>
      <c r="E964" s="564">
        <v>2</v>
      </c>
      <c r="F964" s="564">
        <v>2</v>
      </c>
      <c r="G964" s="521" t="s">
        <v>476</v>
      </c>
      <c r="H964" s="564">
        <v>1319.79</v>
      </c>
      <c r="I964" s="564">
        <v>1</v>
      </c>
      <c r="J964" s="564">
        <v>4</v>
      </c>
      <c r="K964" s="564">
        <v>49</v>
      </c>
      <c r="L964" s="564">
        <v>4</v>
      </c>
      <c r="M964" s="561" t="s">
        <v>137</v>
      </c>
      <c r="N964" s="651">
        <v>4304755886</v>
      </c>
      <c r="O964" s="564" t="s">
        <v>752</v>
      </c>
      <c r="P964" s="564" t="s">
        <v>1584</v>
      </c>
      <c r="Q964" s="564"/>
      <c r="R964" s="564">
        <v>1</v>
      </c>
    </row>
    <row r="965" spans="1:18" s="497" customFormat="1" ht="15" customHeight="1" x14ac:dyDescent="0.25">
      <c r="A965" s="564">
        <v>11</v>
      </c>
      <c r="B965" s="564">
        <v>3</v>
      </c>
      <c r="C965" s="564">
        <v>2</v>
      </c>
      <c r="D965" s="564">
        <v>1</v>
      </c>
      <c r="E965" s="564">
        <v>2</v>
      </c>
      <c r="F965" s="564">
        <v>2</v>
      </c>
      <c r="G965" s="564" t="s">
        <v>478</v>
      </c>
      <c r="H965" s="564">
        <v>1319.8</v>
      </c>
      <c r="I965" s="564">
        <v>1</v>
      </c>
      <c r="J965" s="564">
        <v>4</v>
      </c>
      <c r="K965" s="564">
        <v>40</v>
      </c>
      <c r="L965" s="564">
        <v>4</v>
      </c>
      <c r="M965" s="561" t="s">
        <v>137</v>
      </c>
      <c r="N965" s="651">
        <v>4304755886</v>
      </c>
      <c r="O965" s="564" t="s">
        <v>752</v>
      </c>
      <c r="P965" s="564" t="s">
        <v>1585</v>
      </c>
      <c r="Q965" s="564"/>
      <c r="R965" s="564">
        <v>1</v>
      </c>
    </row>
    <row r="966" spans="1:18" s="497" customFormat="1" ht="15" customHeight="1" x14ac:dyDescent="0.25">
      <c r="A966" s="564">
        <v>11</v>
      </c>
      <c r="B966" s="564">
        <v>3</v>
      </c>
      <c r="C966" s="564">
        <v>2</v>
      </c>
      <c r="D966" s="564">
        <v>1</v>
      </c>
      <c r="E966" s="564">
        <v>2</v>
      </c>
      <c r="F966" s="564">
        <v>2</v>
      </c>
      <c r="G966" s="564" t="s">
        <v>484</v>
      </c>
      <c r="H966" s="564">
        <v>1319.8</v>
      </c>
      <c r="I966" s="564">
        <v>1</v>
      </c>
      <c r="J966" s="564">
        <v>4</v>
      </c>
      <c r="K966" s="564">
        <v>40</v>
      </c>
      <c r="L966" s="564">
        <v>4</v>
      </c>
      <c r="M966" s="561" t="s">
        <v>137</v>
      </c>
      <c r="N966" s="651">
        <v>4304755886</v>
      </c>
      <c r="O966" s="564" t="s">
        <v>752</v>
      </c>
      <c r="P966" s="564" t="s">
        <v>1586</v>
      </c>
      <c r="Q966" s="564"/>
      <c r="R966" s="564">
        <v>1</v>
      </c>
    </row>
    <row r="967" spans="1:18" s="497" customFormat="1" ht="15" customHeight="1" x14ac:dyDescent="0.25">
      <c r="A967" s="564">
        <v>11</v>
      </c>
      <c r="B967" s="564">
        <v>3</v>
      </c>
      <c r="C967" s="564">
        <v>2</v>
      </c>
      <c r="D967" s="564">
        <v>1</v>
      </c>
      <c r="E967" s="564">
        <v>2</v>
      </c>
      <c r="F967" s="564">
        <v>2</v>
      </c>
      <c r="G967" s="564" t="s">
        <v>486</v>
      </c>
      <c r="H967" s="564">
        <v>1319.57</v>
      </c>
      <c r="I967" s="564">
        <v>0</v>
      </c>
      <c r="J967" s="564">
        <v>55</v>
      </c>
      <c r="K967" s="564">
        <v>9</v>
      </c>
      <c r="L967" s="564">
        <v>4</v>
      </c>
      <c r="M967" s="561" t="s">
        <v>137</v>
      </c>
      <c r="N967" s="651">
        <v>4304755886</v>
      </c>
      <c r="O967" s="564" t="s">
        <v>752</v>
      </c>
      <c r="P967" s="564" t="s">
        <v>1587</v>
      </c>
      <c r="Q967" s="564"/>
      <c r="R967" s="564">
        <v>1</v>
      </c>
    </row>
    <row r="968" spans="1:18" s="497" customFormat="1" ht="15" customHeight="1" x14ac:dyDescent="0.25">
      <c r="A968" s="564">
        <v>11</v>
      </c>
      <c r="B968" s="564">
        <v>3</v>
      </c>
      <c r="C968" s="564">
        <v>2</v>
      </c>
      <c r="D968" s="564">
        <v>1</v>
      </c>
      <c r="E968" s="564">
        <v>2</v>
      </c>
      <c r="F968" s="564">
        <v>2</v>
      </c>
      <c r="G968" s="521" t="s">
        <v>488</v>
      </c>
      <c r="H968" s="564">
        <v>1319.57</v>
      </c>
      <c r="I968" s="564">
        <v>0</v>
      </c>
      <c r="J968" s="564">
        <v>55</v>
      </c>
      <c r="K968" s="564">
        <v>9</v>
      </c>
      <c r="L968" s="564">
        <v>4</v>
      </c>
      <c r="M968" s="561" t="s">
        <v>137</v>
      </c>
      <c r="N968" s="651">
        <v>4304755886</v>
      </c>
      <c r="O968" s="564" t="s">
        <v>752</v>
      </c>
      <c r="P968" s="564" t="s">
        <v>1588</v>
      </c>
      <c r="Q968" s="564"/>
      <c r="R968" s="564">
        <v>1</v>
      </c>
    </row>
    <row r="969" spans="1:18" s="497" customFormat="1" ht="15" customHeight="1" x14ac:dyDescent="0.25">
      <c r="A969" s="564">
        <v>11</v>
      </c>
      <c r="B969" s="564">
        <v>3</v>
      </c>
      <c r="C969" s="564">
        <v>2</v>
      </c>
      <c r="D969" s="564">
        <v>1</v>
      </c>
      <c r="E969" s="564">
        <v>2</v>
      </c>
      <c r="F969" s="564">
        <v>2</v>
      </c>
      <c r="G969" s="564" t="s">
        <v>490</v>
      </c>
      <c r="H969" s="564">
        <v>1320.21</v>
      </c>
      <c r="I969" s="564">
        <v>0</v>
      </c>
      <c r="J969" s="564">
        <v>59</v>
      </c>
      <c r="K969" s="564">
        <v>35</v>
      </c>
      <c r="L969" s="564">
        <v>4</v>
      </c>
      <c r="M969" s="561" t="s">
        <v>137</v>
      </c>
      <c r="N969" s="651">
        <v>4304755886</v>
      </c>
      <c r="O969" s="564" t="s">
        <v>752</v>
      </c>
      <c r="P969" s="564" t="s">
        <v>1589</v>
      </c>
      <c r="Q969" s="564"/>
      <c r="R969" s="564">
        <v>1</v>
      </c>
    </row>
    <row r="970" spans="1:18" s="497" customFormat="1" ht="15" customHeight="1" x14ac:dyDescent="0.25">
      <c r="A970" s="564">
        <v>11</v>
      </c>
      <c r="B970" s="564">
        <v>3</v>
      </c>
      <c r="C970" s="564">
        <v>2</v>
      </c>
      <c r="D970" s="564">
        <v>1</v>
      </c>
      <c r="E970" s="564">
        <v>2</v>
      </c>
      <c r="F970" s="564">
        <v>2</v>
      </c>
      <c r="G970" s="564" t="s">
        <v>493</v>
      </c>
      <c r="H970" s="564">
        <v>1319.6</v>
      </c>
      <c r="I970" s="564">
        <v>0</v>
      </c>
      <c r="J970" s="564">
        <v>51</v>
      </c>
      <c r="K970" s="564">
        <v>56</v>
      </c>
      <c r="L970" s="564">
        <v>4</v>
      </c>
      <c r="M970" s="561" t="s">
        <v>137</v>
      </c>
      <c r="N970" s="651">
        <v>4304755886</v>
      </c>
      <c r="O970" s="564" t="s">
        <v>752</v>
      </c>
      <c r="P970" s="564" t="s">
        <v>1590</v>
      </c>
      <c r="Q970" s="564"/>
      <c r="R970" s="564">
        <v>1</v>
      </c>
    </row>
    <row r="971" spans="1:18" s="497" customFormat="1" ht="15" customHeight="1" x14ac:dyDescent="0.25">
      <c r="A971" s="564">
        <v>11</v>
      </c>
      <c r="B971" s="564">
        <v>3</v>
      </c>
      <c r="C971" s="564">
        <v>2</v>
      </c>
      <c r="D971" s="564">
        <v>1</v>
      </c>
      <c r="E971" s="564">
        <v>2</v>
      </c>
      <c r="F971" s="564">
        <v>2</v>
      </c>
      <c r="G971" s="564" t="s">
        <v>474</v>
      </c>
      <c r="H971" s="564">
        <v>1323.39</v>
      </c>
      <c r="I971" s="564">
        <v>88</v>
      </c>
      <c r="J971" s="564">
        <v>54</v>
      </c>
      <c r="K971" s="564">
        <v>12</v>
      </c>
      <c r="L971" s="564">
        <v>3</v>
      </c>
      <c r="M971" s="561" t="s">
        <v>137</v>
      </c>
      <c r="N971" s="651">
        <v>4304755886</v>
      </c>
      <c r="O971" s="564" t="s">
        <v>752</v>
      </c>
      <c r="P971" s="564" t="s">
        <v>1591</v>
      </c>
      <c r="Q971" s="564"/>
      <c r="R971" s="564">
        <v>1</v>
      </c>
    </row>
    <row r="972" spans="1:18" s="497" customFormat="1" ht="15" customHeight="1" x14ac:dyDescent="0.25">
      <c r="A972" s="564">
        <v>11</v>
      </c>
      <c r="B972" s="564">
        <v>3</v>
      </c>
      <c r="C972" s="564">
        <v>2</v>
      </c>
      <c r="D972" s="564">
        <v>1</v>
      </c>
      <c r="E972" s="564">
        <v>2</v>
      </c>
      <c r="F972" s="564">
        <v>2</v>
      </c>
      <c r="G972" s="521" t="s">
        <v>477</v>
      </c>
      <c r="H972" s="564">
        <v>1323.39</v>
      </c>
      <c r="I972" s="564">
        <v>88</v>
      </c>
      <c r="J972" s="564">
        <v>54</v>
      </c>
      <c r="K972" s="564">
        <v>12</v>
      </c>
      <c r="L972" s="564">
        <v>3</v>
      </c>
      <c r="M972" s="561" t="s">
        <v>137</v>
      </c>
      <c r="N972" s="651">
        <v>4304755886</v>
      </c>
      <c r="O972" s="564" t="s">
        <v>752</v>
      </c>
      <c r="P972" s="564" t="s">
        <v>1592</v>
      </c>
      <c r="Q972" s="564"/>
      <c r="R972" s="564">
        <v>1</v>
      </c>
    </row>
    <row r="973" spans="1:18" s="497" customFormat="1" ht="15" customHeight="1" x14ac:dyDescent="0.25">
      <c r="A973" s="564">
        <v>11</v>
      </c>
      <c r="B973" s="564">
        <v>3</v>
      </c>
      <c r="C973" s="564">
        <v>2</v>
      </c>
      <c r="D973" s="564">
        <v>1</v>
      </c>
      <c r="E973" s="564">
        <v>2</v>
      </c>
      <c r="F973" s="564">
        <v>2</v>
      </c>
      <c r="G973" s="564" t="s">
        <v>479</v>
      </c>
      <c r="H973" s="564">
        <v>1323.39</v>
      </c>
      <c r="I973" s="564">
        <v>88</v>
      </c>
      <c r="J973" s="564">
        <v>54</v>
      </c>
      <c r="K973" s="564">
        <v>12</v>
      </c>
      <c r="L973" s="564">
        <v>3</v>
      </c>
      <c r="M973" s="561" t="s">
        <v>137</v>
      </c>
      <c r="N973" s="651">
        <v>4304755886</v>
      </c>
      <c r="O973" s="564" t="s">
        <v>752</v>
      </c>
      <c r="P973" s="564" t="s">
        <v>1593</v>
      </c>
      <c r="Q973" s="564"/>
      <c r="R973" s="564">
        <v>1</v>
      </c>
    </row>
    <row r="974" spans="1:18" s="497" customFormat="1" ht="15" customHeight="1" x14ac:dyDescent="0.25">
      <c r="A974" s="564">
        <v>11</v>
      </c>
      <c r="B974" s="564">
        <v>3</v>
      </c>
      <c r="C974" s="564">
        <v>2</v>
      </c>
      <c r="D974" s="564">
        <v>1</v>
      </c>
      <c r="E974" s="564">
        <v>2</v>
      </c>
      <c r="F974" s="564">
        <v>2</v>
      </c>
      <c r="G974" s="564" t="s">
        <v>485</v>
      </c>
      <c r="H974" s="564">
        <v>1323.39</v>
      </c>
      <c r="I974" s="564">
        <v>88</v>
      </c>
      <c r="J974" s="564">
        <v>54</v>
      </c>
      <c r="K974" s="564">
        <v>12</v>
      </c>
      <c r="L974" s="564">
        <v>3</v>
      </c>
      <c r="M974" s="561" t="s">
        <v>137</v>
      </c>
      <c r="N974" s="651">
        <v>4304755886</v>
      </c>
      <c r="O974" s="564" t="s">
        <v>752</v>
      </c>
      <c r="P974" s="564" t="s">
        <v>1594</v>
      </c>
      <c r="Q974" s="564"/>
      <c r="R974" s="564">
        <v>1</v>
      </c>
    </row>
    <row r="975" spans="1:18" s="497" customFormat="1" ht="15" customHeight="1" x14ac:dyDescent="0.25">
      <c r="A975" s="564">
        <v>11</v>
      </c>
      <c r="B975" s="564">
        <v>3</v>
      </c>
      <c r="C975" s="564">
        <v>2</v>
      </c>
      <c r="D975" s="564">
        <v>1</v>
      </c>
      <c r="E975" s="564">
        <v>2</v>
      </c>
      <c r="F975" s="564">
        <v>2</v>
      </c>
      <c r="G975" s="564" t="s">
        <v>487</v>
      </c>
      <c r="H975" s="564">
        <v>1319.81</v>
      </c>
      <c r="I975" s="564">
        <v>88</v>
      </c>
      <c r="J975" s="564">
        <v>53</v>
      </c>
      <c r="K975" s="564">
        <v>54</v>
      </c>
      <c r="L975" s="564">
        <v>3</v>
      </c>
      <c r="M975" s="561" t="s">
        <v>137</v>
      </c>
      <c r="N975" s="651">
        <v>4304755886</v>
      </c>
      <c r="O975" s="564" t="s">
        <v>752</v>
      </c>
      <c r="P975" s="564" t="s">
        <v>1595</v>
      </c>
      <c r="Q975" s="564"/>
      <c r="R975" s="564">
        <v>1</v>
      </c>
    </row>
    <row r="976" spans="1:18" s="497" customFormat="1" ht="15" customHeight="1" x14ac:dyDescent="0.25">
      <c r="A976" s="564">
        <v>11</v>
      </c>
      <c r="B976" s="564">
        <v>3</v>
      </c>
      <c r="C976" s="564">
        <v>2</v>
      </c>
      <c r="D976" s="564">
        <v>1</v>
      </c>
      <c r="E976" s="564">
        <v>2</v>
      </c>
      <c r="F976" s="564">
        <v>2</v>
      </c>
      <c r="G976" s="521" t="s">
        <v>489</v>
      </c>
      <c r="H976" s="564">
        <v>1319.81</v>
      </c>
      <c r="I976" s="564">
        <v>88</v>
      </c>
      <c r="J976" s="564">
        <v>53</v>
      </c>
      <c r="K976" s="564">
        <v>54</v>
      </c>
      <c r="L976" s="564">
        <v>3</v>
      </c>
      <c r="M976" s="561" t="s">
        <v>137</v>
      </c>
      <c r="N976" s="651">
        <v>4304755886</v>
      </c>
      <c r="O976" s="564" t="s">
        <v>752</v>
      </c>
      <c r="P976" s="564" t="s">
        <v>1596</v>
      </c>
      <c r="Q976" s="564"/>
      <c r="R976" s="564">
        <v>1</v>
      </c>
    </row>
    <row r="977" spans="1:18" s="497" customFormat="1" ht="15" customHeight="1" x14ac:dyDescent="0.25">
      <c r="A977" s="564">
        <v>11</v>
      </c>
      <c r="B977" s="564">
        <v>3</v>
      </c>
      <c r="C977" s="564">
        <v>2</v>
      </c>
      <c r="D977" s="564">
        <v>1</v>
      </c>
      <c r="E977" s="564">
        <v>2</v>
      </c>
      <c r="F977" s="564">
        <v>2</v>
      </c>
      <c r="G977" s="564" t="s">
        <v>491</v>
      </c>
      <c r="H977" s="564">
        <v>1319.835</v>
      </c>
      <c r="I977" s="564">
        <v>88</v>
      </c>
      <c r="J977" s="564">
        <v>53</v>
      </c>
      <c r="K977" s="564">
        <v>28</v>
      </c>
      <c r="L977" s="564">
        <v>3</v>
      </c>
      <c r="M977" s="561" t="s">
        <v>137</v>
      </c>
      <c r="N977" s="651">
        <v>4304755886</v>
      </c>
      <c r="O977" s="564" t="s">
        <v>752</v>
      </c>
      <c r="P977" s="564" t="s">
        <v>1597</v>
      </c>
      <c r="Q977" s="564"/>
      <c r="R977" s="564">
        <v>1</v>
      </c>
    </row>
    <row r="978" spans="1:18" s="497" customFormat="1" ht="15" customHeight="1" x14ac:dyDescent="0.25">
      <c r="A978" s="564">
        <v>11</v>
      </c>
      <c r="B978" s="564">
        <v>3</v>
      </c>
      <c r="C978" s="564">
        <v>2</v>
      </c>
      <c r="D978" s="564">
        <v>1</v>
      </c>
      <c r="E978" s="564">
        <v>2</v>
      </c>
      <c r="F978" s="564">
        <v>2</v>
      </c>
      <c r="G978" s="564" t="s">
        <v>494</v>
      </c>
      <c r="H978" s="564">
        <v>1319.835</v>
      </c>
      <c r="I978" s="564">
        <v>88</v>
      </c>
      <c r="J978" s="564">
        <v>53</v>
      </c>
      <c r="K978" s="564">
        <v>28</v>
      </c>
      <c r="L978" s="564">
        <v>3</v>
      </c>
      <c r="M978" s="561" t="s">
        <v>137</v>
      </c>
      <c r="N978" s="651">
        <v>4304755886</v>
      </c>
      <c r="O978" s="564" t="s">
        <v>752</v>
      </c>
      <c r="P978" s="564" t="s">
        <v>1598</v>
      </c>
      <c r="Q978" s="564"/>
      <c r="R978" s="564">
        <v>1</v>
      </c>
    </row>
    <row r="979" spans="1:18" ht="15" customHeight="1" x14ac:dyDescent="0.25">
      <c r="A979" s="564">
        <v>11</v>
      </c>
      <c r="B979" s="564">
        <v>4</v>
      </c>
      <c r="C979" s="564">
        <v>2</v>
      </c>
      <c r="D979" s="564">
        <v>1</v>
      </c>
      <c r="E979" s="564">
        <v>2</v>
      </c>
      <c r="F979" s="564">
        <v>2</v>
      </c>
      <c r="G979" s="564" t="s">
        <v>473</v>
      </c>
      <c r="H979" s="564">
        <v>1326.2149999999999</v>
      </c>
      <c r="I979" s="564">
        <v>0</v>
      </c>
      <c r="J979" s="564">
        <v>6</v>
      </c>
      <c r="K979" s="564">
        <v>40</v>
      </c>
      <c r="L979" s="564">
        <v>3</v>
      </c>
      <c r="M979" s="561" t="s">
        <v>137</v>
      </c>
      <c r="N979" s="520">
        <v>4304756737</v>
      </c>
      <c r="O979" s="564" t="s">
        <v>769</v>
      </c>
      <c r="P979" s="564" t="s">
        <v>1599</v>
      </c>
      <c r="Q979" s="564"/>
      <c r="R979" s="564">
        <v>2</v>
      </c>
    </row>
    <row r="980" spans="1:18" ht="15" customHeight="1" x14ac:dyDescent="0.25">
      <c r="A980" s="564">
        <v>11</v>
      </c>
      <c r="B980" s="564">
        <v>4</v>
      </c>
      <c r="C980" s="564">
        <v>2</v>
      </c>
      <c r="D980" s="564">
        <v>1</v>
      </c>
      <c r="E980" s="564">
        <v>2</v>
      </c>
      <c r="F980" s="564">
        <v>2</v>
      </c>
      <c r="G980" s="521" t="s">
        <v>476</v>
      </c>
      <c r="H980" s="564">
        <v>1326.2149999999999</v>
      </c>
      <c r="I980" s="564">
        <v>0</v>
      </c>
      <c r="J980" s="564">
        <v>6</v>
      </c>
      <c r="K980" s="564">
        <v>40</v>
      </c>
      <c r="L980" s="564">
        <v>3</v>
      </c>
      <c r="M980" s="561" t="s">
        <v>137</v>
      </c>
      <c r="N980" s="651">
        <v>4304756737</v>
      </c>
      <c r="O980" s="564" t="s">
        <v>769</v>
      </c>
      <c r="P980" s="564" t="s">
        <v>1600</v>
      </c>
      <c r="Q980" s="564"/>
      <c r="R980" s="564">
        <v>2</v>
      </c>
    </row>
    <row r="981" spans="1:18" ht="15" customHeight="1" x14ac:dyDescent="0.25">
      <c r="A981" s="564">
        <v>11</v>
      </c>
      <c r="B981" s="564">
        <v>4</v>
      </c>
      <c r="C981" s="564">
        <v>2</v>
      </c>
      <c r="D981" s="564">
        <v>1</v>
      </c>
      <c r="E981" s="564">
        <v>2</v>
      </c>
      <c r="F981" s="564">
        <v>2</v>
      </c>
      <c r="G981" s="564" t="s">
        <v>478</v>
      </c>
      <c r="H981" s="564">
        <v>1317.625</v>
      </c>
      <c r="I981" s="564">
        <v>0</v>
      </c>
      <c r="J981" s="564">
        <v>9</v>
      </c>
      <c r="K981" s="564">
        <v>0</v>
      </c>
      <c r="L981" s="564">
        <v>3</v>
      </c>
      <c r="M981" s="561" t="s">
        <v>137</v>
      </c>
      <c r="N981" s="651">
        <v>4304756737</v>
      </c>
      <c r="O981" s="564" t="s">
        <v>769</v>
      </c>
      <c r="P981" s="564" t="s">
        <v>1601</v>
      </c>
      <c r="Q981" s="564"/>
      <c r="R981" s="564">
        <v>2</v>
      </c>
    </row>
    <row r="982" spans="1:18" ht="15" customHeight="1" x14ac:dyDescent="0.25">
      <c r="A982" s="564">
        <v>11</v>
      </c>
      <c r="B982" s="564">
        <v>4</v>
      </c>
      <c r="C982" s="564">
        <v>2</v>
      </c>
      <c r="D982" s="564">
        <v>1</v>
      </c>
      <c r="E982" s="564">
        <v>2</v>
      </c>
      <c r="F982" s="564">
        <v>2</v>
      </c>
      <c r="G982" s="564" t="s">
        <v>484</v>
      </c>
      <c r="H982" s="564">
        <v>1317.625</v>
      </c>
      <c r="I982" s="564">
        <v>0</v>
      </c>
      <c r="J982" s="564">
        <v>9</v>
      </c>
      <c r="K982" s="564">
        <v>0</v>
      </c>
      <c r="L982" s="564">
        <v>3</v>
      </c>
      <c r="M982" s="561" t="s">
        <v>137</v>
      </c>
      <c r="N982" s="651">
        <v>4304756737</v>
      </c>
      <c r="O982" s="564" t="s">
        <v>769</v>
      </c>
      <c r="P982" s="564" t="s">
        <v>1602</v>
      </c>
      <c r="Q982" s="564"/>
      <c r="R982" s="564">
        <v>2</v>
      </c>
    </row>
    <row r="983" spans="1:18" ht="15" customHeight="1" x14ac:dyDescent="0.25">
      <c r="A983" s="564">
        <v>11</v>
      </c>
      <c r="B983" s="564">
        <v>4</v>
      </c>
      <c r="C983" s="564">
        <v>2</v>
      </c>
      <c r="D983" s="564">
        <v>1</v>
      </c>
      <c r="E983" s="564">
        <v>2</v>
      </c>
      <c r="F983" s="564">
        <v>2</v>
      </c>
      <c r="G983" s="564" t="s">
        <v>486</v>
      </c>
      <c r="H983" s="564">
        <v>1329.22</v>
      </c>
      <c r="I983" s="564">
        <v>0</v>
      </c>
      <c r="J983" s="564">
        <v>17</v>
      </c>
      <c r="K983" s="564">
        <v>27</v>
      </c>
      <c r="L983" s="564">
        <v>3</v>
      </c>
      <c r="M983" s="561" t="s">
        <v>137</v>
      </c>
      <c r="N983" s="651">
        <v>4304756737</v>
      </c>
      <c r="O983" s="564" t="s">
        <v>769</v>
      </c>
      <c r="P983" s="564" t="s">
        <v>1603</v>
      </c>
      <c r="Q983" s="564"/>
      <c r="R983" s="564">
        <v>2</v>
      </c>
    </row>
    <row r="984" spans="1:18" ht="15" customHeight="1" x14ac:dyDescent="0.25">
      <c r="A984" s="564">
        <v>11</v>
      </c>
      <c r="B984" s="564">
        <v>4</v>
      </c>
      <c r="C984" s="564">
        <v>2</v>
      </c>
      <c r="D984" s="564">
        <v>1</v>
      </c>
      <c r="E984" s="564">
        <v>2</v>
      </c>
      <c r="F984" s="564">
        <v>2</v>
      </c>
      <c r="G984" s="521" t="s">
        <v>488</v>
      </c>
      <c r="H984" s="564">
        <v>1329.22</v>
      </c>
      <c r="I984" s="564">
        <v>0</v>
      </c>
      <c r="J984" s="564">
        <v>17</v>
      </c>
      <c r="K984" s="564">
        <v>27</v>
      </c>
      <c r="L984" s="564">
        <v>3</v>
      </c>
      <c r="M984" s="561" t="s">
        <v>137</v>
      </c>
      <c r="N984" s="651">
        <v>4304756737</v>
      </c>
      <c r="O984" s="564" t="s">
        <v>769</v>
      </c>
      <c r="P984" s="564" t="s">
        <v>1604</v>
      </c>
      <c r="Q984" s="564"/>
      <c r="R984" s="564">
        <v>2</v>
      </c>
    </row>
    <row r="985" spans="1:18" ht="15" customHeight="1" x14ac:dyDescent="0.25">
      <c r="A985" s="564">
        <v>11</v>
      </c>
      <c r="B985" s="564">
        <v>4</v>
      </c>
      <c r="C985" s="564">
        <v>2</v>
      </c>
      <c r="D985" s="564">
        <v>1</v>
      </c>
      <c r="E985" s="564">
        <v>2</v>
      </c>
      <c r="F985" s="564">
        <v>2</v>
      </c>
      <c r="G985" s="564" t="s">
        <v>490</v>
      </c>
      <c r="H985" s="564">
        <v>1319.7950000000001</v>
      </c>
      <c r="I985" s="564">
        <v>0</v>
      </c>
      <c r="J985" s="564">
        <v>0</v>
      </c>
      <c r="K985" s="564">
        <v>22</v>
      </c>
      <c r="L985" s="564">
        <v>3</v>
      </c>
      <c r="M985" s="561" t="s">
        <v>137</v>
      </c>
      <c r="N985" s="651">
        <v>4304756737</v>
      </c>
      <c r="O985" s="564" t="s">
        <v>769</v>
      </c>
      <c r="P985" s="564" t="s">
        <v>1605</v>
      </c>
      <c r="Q985" s="564"/>
      <c r="R985" s="564">
        <v>2</v>
      </c>
    </row>
    <row r="986" spans="1:18" ht="15" customHeight="1" x14ac:dyDescent="0.25">
      <c r="A986" s="564">
        <v>11</v>
      </c>
      <c r="B986" s="564">
        <v>4</v>
      </c>
      <c r="C986" s="564">
        <v>2</v>
      </c>
      <c r="D986" s="564">
        <v>1</v>
      </c>
      <c r="E986" s="564">
        <v>2</v>
      </c>
      <c r="F986" s="564">
        <v>2</v>
      </c>
      <c r="G986" s="564" t="s">
        <v>493</v>
      </c>
      <c r="H986" s="564">
        <v>1319.7950000000001</v>
      </c>
      <c r="I986" s="564">
        <v>0</v>
      </c>
      <c r="J986" s="564">
        <v>0</v>
      </c>
      <c r="K986" s="564">
        <v>22</v>
      </c>
      <c r="L986" s="564">
        <v>3</v>
      </c>
      <c r="M986" s="561" t="s">
        <v>137</v>
      </c>
      <c r="N986" s="651">
        <v>4304756737</v>
      </c>
      <c r="O986" s="564" t="s">
        <v>769</v>
      </c>
      <c r="P986" s="564" t="s">
        <v>1606</v>
      </c>
      <c r="Q986" s="564"/>
      <c r="R986" s="564">
        <v>2</v>
      </c>
    </row>
    <row r="987" spans="1:18" ht="15" customHeight="1" x14ac:dyDescent="0.25">
      <c r="A987" s="564">
        <v>11</v>
      </c>
      <c r="B987" s="564">
        <v>4</v>
      </c>
      <c r="C987" s="564">
        <v>2</v>
      </c>
      <c r="D987" s="564">
        <v>1</v>
      </c>
      <c r="E987" s="564">
        <v>2</v>
      </c>
      <c r="F987" s="564">
        <v>2</v>
      </c>
      <c r="G987" s="564" t="s">
        <v>474</v>
      </c>
      <c r="H987" s="564">
        <v>1320.53</v>
      </c>
      <c r="I987" s="564">
        <v>89</v>
      </c>
      <c r="J987" s="564">
        <v>40</v>
      </c>
      <c r="K987" s="564">
        <v>45</v>
      </c>
      <c r="L987" s="564">
        <v>4</v>
      </c>
      <c r="M987" s="561" t="s">
        <v>137</v>
      </c>
      <c r="N987" s="651">
        <v>4304756737</v>
      </c>
      <c r="O987" s="564" t="s">
        <v>769</v>
      </c>
      <c r="P987" s="564" t="s">
        <v>1607</v>
      </c>
      <c r="Q987" s="564"/>
      <c r="R987" s="564">
        <v>2</v>
      </c>
    </row>
    <row r="988" spans="1:18" ht="15" customHeight="1" x14ac:dyDescent="0.25">
      <c r="A988" s="564">
        <v>11</v>
      </c>
      <c r="B988" s="564">
        <v>4</v>
      </c>
      <c r="C988" s="564">
        <v>2</v>
      </c>
      <c r="D988" s="564">
        <v>1</v>
      </c>
      <c r="E988" s="564">
        <v>2</v>
      </c>
      <c r="F988" s="564">
        <v>2</v>
      </c>
      <c r="G988" s="521" t="s">
        <v>477</v>
      </c>
      <c r="H988" s="564">
        <v>1320.53</v>
      </c>
      <c r="I988" s="564">
        <v>89</v>
      </c>
      <c r="J988" s="564">
        <v>40</v>
      </c>
      <c r="K988" s="564">
        <v>45</v>
      </c>
      <c r="L988" s="564">
        <v>4</v>
      </c>
      <c r="M988" s="561" t="s">
        <v>137</v>
      </c>
      <c r="N988" s="651">
        <v>4304756737</v>
      </c>
      <c r="O988" s="564" t="s">
        <v>769</v>
      </c>
      <c r="P988" s="564" t="s">
        <v>1608</v>
      </c>
      <c r="Q988" s="564"/>
      <c r="R988" s="564">
        <v>2</v>
      </c>
    </row>
    <row r="989" spans="1:18" ht="15" customHeight="1" x14ac:dyDescent="0.25">
      <c r="A989" s="564">
        <v>11</v>
      </c>
      <c r="B989" s="564">
        <v>4</v>
      </c>
      <c r="C989" s="564">
        <v>2</v>
      </c>
      <c r="D989" s="564">
        <v>1</v>
      </c>
      <c r="E989" s="564">
        <v>2</v>
      </c>
      <c r="F989" s="564">
        <v>2</v>
      </c>
      <c r="G989" s="564" t="s">
        <v>479</v>
      </c>
      <c r="H989" s="564">
        <v>1325.99</v>
      </c>
      <c r="I989" s="564">
        <v>89</v>
      </c>
      <c r="J989" s="564">
        <v>35</v>
      </c>
      <c r="K989" s="564">
        <v>10</v>
      </c>
      <c r="L989" s="564">
        <v>3</v>
      </c>
      <c r="M989" s="561" t="s">
        <v>137</v>
      </c>
      <c r="N989" s="651">
        <v>4304756737</v>
      </c>
      <c r="O989" s="564" t="s">
        <v>769</v>
      </c>
      <c r="P989" s="564" t="s">
        <v>1609</v>
      </c>
      <c r="Q989" s="564"/>
      <c r="R989" s="564">
        <v>2</v>
      </c>
    </row>
    <row r="990" spans="1:18" ht="15" customHeight="1" x14ac:dyDescent="0.25">
      <c r="A990" s="564">
        <v>11</v>
      </c>
      <c r="B990" s="564">
        <v>4</v>
      </c>
      <c r="C990" s="564">
        <v>2</v>
      </c>
      <c r="D990" s="564">
        <v>1</v>
      </c>
      <c r="E990" s="564">
        <v>2</v>
      </c>
      <c r="F990" s="564">
        <v>2</v>
      </c>
      <c r="G990" s="564" t="s">
        <v>485</v>
      </c>
      <c r="H990" s="564">
        <v>1325.99</v>
      </c>
      <c r="I990" s="564">
        <v>89</v>
      </c>
      <c r="J990" s="564">
        <v>35</v>
      </c>
      <c r="K990" s="564">
        <v>10</v>
      </c>
      <c r="L990" s="564">
        <v>3</v>
      </c>
      <c r="M990" s="561" t="s">
        <v>137</v>
      </c>
      <c r="N990" s="651">
        <v>4304756737</v>
      </c>
      <c r="O990" s="564" t="s">
        <v>769</v>
      </c>
      <c r="P990" s="564" t="s">
        <v>1610</v>
      </c>
      <c r="Q990" s="564"/>
      <c r="R990" s="564">
        <v>2</v>
      </c>
    </row>
    <row r="991" spans="1:18" ht="15" customHeight="1" x14ac:dyDescent="0.25">
      <c r="A991" s="564">
        <v>11</v>
      </c>
      <c r="B991" s="564">
        <v>4</v>
      </c>
      <c r="C991" s="564">
        <v>2</v>
      </c>
      <c r="D991" s="564">
        <v>1</v>
      </c>
      <c r="E991" s="564">
        <v>2</v>
      </c>
      <c r="F991" s="564">
        <v>2</v>
      </c>
      <c r="G991" s="564" t="s">
        <v>487</v>
      </c>
      <c r="H991" s="564">
        <v>1326.2950000000001</v>
      </c>
      <c r="I991" s="564">
        <v>89</v>
      </c>
      <c r="J991" s="564">
        <v>54</v>
      </c>
      <c r="K991" s="564">
        <v>25</v>
      </c>
      <c r="L991" s="564">
        <v>1</v>
      </c>
      <c r="M991" s="561" t="s">
        <v>137</v>
      </c>
      <c r="N991" s="651">
        <v>4304756737</v>
      </c>
      <c r="O991" s="564" t="s">
        <v>769</v>
      </c>
      <c r="P991" s="564" t="s">
        <v>1611</v>
      </c>
      <c r="Q991" s="564"/>
      <c r="R991" s="564">
        <v>2</v>
      </c>
    </row>
    <row r="992" spans="1:18" ht="15" customHeight="1" x14ac:dyDescent="0.25">
      <c r="A992" s="564">
        <v>11</v>
      </c>
      <c r="B992" s="564">
        <v>4</v>
      </c>
      <c r="C992" s="564">
        <v>2</v>
      </c>
      <c r="D992" s="564">
        <v>1</v>
      </c>
      <c r="E992" s="564">
        <v>2</v>
      </c>
      <c r="F992" s="564">
        <v>2</v>
      </c>
      <c r="G992" s="521" t="s">
        <v>489</v>
      </c>
      <c r="H992" s="564">
        <v>1326.2950000000001</v>
      </c>
      <c r="I992" s="564">
        <v>89</v>
      </c>
      <c r="J992" s="564">
        <v>54</v>
      </c>
      <c r="K992" s="564">
        <v>25</v>
      </c>
      <c r="L992" s="564">
        <v>1</v>
      </c>
      <c r="M992" s="561" t="s">
        <v>137</v>
      </c>
      <c r="N992" s="651">
        <v>4304756737</v>
      </c>
      <c r="O992" s="564" t="s">
        <v>769</v>
      </c>
      <c r="P992" s="564" t="s">
        <v>1612</v>
      </c>
      <c r="Q992" s="564"/>
      <c r="R992" s="564">
        <v>2</v>
      </c>
    </row>
    <row r="993" spans="1:18" ht="15" customHeight="1" x14ac:dyDescent="0.25">
      <c r="A993" s="564">
        <v>11</v>
      </c>
      <c r="B993" s="564">
        <v>4</v>
      </c>
      <c r="C993" s="564">
        <v>2</v>
      </c>
      <c r="D993" s="564">
        <v>1</v>
      </c>
      <c r="E993" s="564">
        <v>2</v>
      </c>
      <c r="F993" s="564">
        <v>2</v>
      </c>
      <c r="G993" s="564" t="s">
        <v>491</v>
      </c>
      <c r="H993" s="564">
        <v>1319.3</v>
      </c>
      <c r="I993" s="564">
        <v>89</v>
      </c>
      <c r="J993" s="564">
        <v>57</v>
      </c>
      <c r="K993" s="564">
        <v>50</v>
      </c>
      <c r="L993" s="564">
        <v>4</v>
      </c>
      <c r="M993" s="561" t="s">
        <v>137</v>
      </c>
      <c r="N993" s="651">
        <v>4304756737</v>
      </c>
      <c r="O993" s="564" t="s">
        <v>769</v>
      </c>
      <c r="P993" s="564" t="s">
        <v>1613</v>
      </c>
      <c r="Q993" s="564"/>
      <c r="R993" s="564">
        <v>2</v>
      </c>
    </row>
    <row r="994" spans="1:18" ht="15" customHeight="1" x14ac:dyDescent="0.25">
      <c r="A994" s="564">
        <v>11</v>
      </c>
      <c r="B994" s="564">
        <v>4</v>
      </c>
      <c r="C994" s="564">
        <v>2</v>
      </c>
      <c r="D994" s="564">
        <v>1</v>
      </c>
      <c r="E994" s="564">
        <v>2</v>
      </c>
      <c r="F994" s="564">
        <v>2</v>
      </c>
      <c r="G994" s="564" t="s">
        <v>494</v>
      </c>
      <c r="H994" s="564">
        <v>1319.3</v>
      </c>
      <c r="I994" s="564">
        <v>89</v>
      </c>
      <c r="J994" s="564">
        <v>57</v>
      </c>
      <c r="K994" s="564">
        <v>50</v>
      </c>
      <c r="L994" s="564">
        <v>4</v>
      </c>
      <c r="M994" s="561" t="s">
        <v>137</v>
      </c>
      <c r="N994" s="651">
        <v>4304756737</v>
      </c>
      <c r="O994" s="564" t="s">
        <v>769</v>
      </c>
      <c r="P994" s="564" t="s">
        <v>1614</v>
      </c>
      <c r="Q994" s="564"/>
      <c r="R994" s="564">
        <v>2</v>
      </c>
    </row>
    <row r="995" spans="1:18" ht="15" customHeight="1" x14ac:dyDescent="0.25">
      <c r="A995" s="553">
        <v>12</v>
      </c>
      <c r="B995" s="553">
        <v>9</v>
      </c>
      <c r="C995" s="553">
        <v>2</v>
      </c>
      <c r="D995" s="553">
        <v>19</v>
      </c>
      <c r="E995" s="553">
        <v>1</v>
      </c>
      <c r="F995" s="553">
        <v>1</v>
      </c>
      <c r="G995" s="553" t="s">
        <v>473</v>
      </c>
      <c r="H995" s="553">
        <v>1320</v>
      </c>
      <c r="I995" s="553">
        <v>1</v>
      </c>
      <c r="J995" s="553">
        <v>6</v>
      </c>
      <c r="K995" s="553">
        <v>43</v>
      </c>
      <c r="L995" s="553">
        <v>4</v>
      </c>
      <c r="M995" s="505" t="s">
        <v>137</v>
      </c>
      <c r="N995" s="500">
        <v>43047561700000</v>
      </c>
      <c r="O995" s="553" t="s">
        <v>1615</v>
      </c>
      <c r="P995" s="650" t="s">
        <v>1616</v>
      </c>
      <c r="Q995" s="564" t="s">
        <v>583</v>
      </c>
      <c r="R995" s="564">
        <v>1</v>
      </c>
    </row>
    <row r="996" spans="1:18" ht="15" customHeight="1" x14ac:dyDescent="0.25">
      <c r="A996" s="553">
        <v>12</v>
      </c>
      <c r="B996" s="553">
        <v>9</v>
      </c>
      <c r="C996" s="553">
        <v>2</v>
      </c>
      <c r="D996" s="553">
        <v>19</v>
      </c>
      <c r="E996" s="553">
        <v>1</v>
      </c>
      <c r="F996" s="553">
        <v>1</v>
      </c>
      <c r="G996" s="502" t="s">
        <v>476</v>
      </c>
      <c r="H996" s="553">
        <v>1320</v>
      </c>
      <c r="I996" s="553">
        <v>1</v>
      </c>
      <c r="J996" s="553">
        <v>6</v>
      </c>
      <c r="K996" s="553">
        <v>43</v>
      </c>
      <c r="L996" s="553">
        <v>4</v>
      </c>
      <c r="M996" s="505" t="s">
        <v>137</v>
      </c>
      <c r="N996" s="500">
        <v>43047561700000</v>
      </c>
      <c r="O996" s="553" t="s">
        <v>1615</v>
      </c>
      <c r="P996" s="650" t="s">
        <v>1617</v>
      </c>
      <c r="Q996" s="564" t="s">
        <v>583</v>
      </c>
      <c r="R996" s="564">
        <v>1</v>
      </c>
    </row>
    <row r="997" spans="1:18" ht="15" customHeight="1" x14ac:dyDescent="0.25">
      <c r="A997" s="553">
        <v>12</v>
      </c>
      <c r="B997" s="553">
        <v>9</v>
      </c>
      <c r="C997" s="553">
        <v>2</v>
      </c>
      <c r="D997" s="553">
        <v>19</v>
      </c>
      <c r="E997" s="553">
        <v>1</v>
      </c>
      <c r="F997" s="553">
        <v>1</v>
      </c>
      <c r="G997" s="553" t="s">
        <v>478</v>
      </c>
      <c r="H997" s="553">
        <v>1320</v>
      </c>
      <c r="I997" s="553">
        <v>1</v>
      </c>
      <c r="J997" s="553">
        <v>6</v>
      </c>
      <c r="K997" s="553">
        <v>43</v>
      </c>
      <c r="L997" s="553">
        <v>4</v>
      </c>
      <c r="M997" s="505" t="s">
        <v>137</v>
      </c>
      <c r="N997" s="500">
        <v>43047561700000</v>
      </c>
      <c r="O997" s="553" t="s">
        <v>1615</v>
      </c>
      <c r="P997" s="650" t="s">
        <v>1618</v>
      </c>
      <c r="Q997" s="564" t="s">
        <v>583</v>
      </c>
      <c r="R997" s="564">
        <v>1</v>
      </c>
    </row>
    <row r="998" spans="1:18" ht="15" customHeight="1" x14ac:dyDescent="0.25">
      <c r="A998" s="553">
        <v>12</v>
      </c>
      <c r="B998" s="553">
        <v>9</v>
      </c>
      <c r="C998" s="553">
        <v>2</v>
      </c>
      <c r="D998" s="553">
        <v>19</v>
      </c>
      <c r="E998" s="553">
        <v>1</v>
      </c>
      <c r="F998" s="553">
        <v>1</v>
      </c>
      <c r="G998" s="553" t="s">
        <v>484</v>
      </c>
      <c r="H998" s="553">
        <v>1320</v>
      </c>
      <c r="I998" s="553">
        <v>1</v>
      </c>
      <c r="J998" s="553">
        <v>6</v>
      </c>
      <c r="K998" s="553">
        <v>43</v>
      </c>
      <c r="L998" s="553">
        <v>4</v>
      </c>
      <c r="M998" s="505" t="s">
        <v>137</v>
      </c>
      <c r="N998" s="500">
        <v>43047561700000</v>
      </c>
      <c r="O998" s="553" t="s">
        <v>1615</v>
      </c>
      <c r="P998" s="650" t="s">
        <v>1619</v>
      </c>
      <c r="Q998" s="564" t="s">
        <v>583</v>
      </c>
      <c r="R998" s="564">
        <v>1</v>
      </c>
    </row>
    <row r="999" spans="1:18" ht="15" customHeight="1" x14ac:dyDescent="0.25">
      <c r="A999" s="553">
        <v>12</v>
      </c>
      <c r="B999" s="553">
        <v>9</v>
      </c>
      <c r="C999" s="553">
        <v>2</v>
      </c>
      <c r="D999" s="553">
        <v>19</v>
      </c>
      <c r="E999" s="553">
        <v>1</v>
      </c>
      <c r="F999" s="553">
        <v>1</v>
      </c>
      <c r="G999" s="553" t="s">
        <v>486</v>
      </c>
      <c r="H999" s="553">
        <v>1320.2850000000001</v>
      </c>
      <c r="I999" s="553">
        <v>0</v>
      </c>
      <c r="J999" s="553">
        <v>12</v>
      </c>
      <c r="K999" s="553">
        <v>8</v>
      </c>
      <c r="L999" s="553">
        <v>2</v>
      </c>
      <c r="M999" s="505" t="s">
        <v>137</v>
      </c>
      <c r="N999" s="500">
        <v>43047561700000</v>
      </c>
      <c r="O999" s="553" t="s">
        <v>1615</v>
      </c>
      <c r="P999" s="650" t="s">
        <v>1620</v>
      </c>
      <c r="Q999" s="564" t="s">
        <v>583</v>
      </c>
      <c r="R999" s="564">
        <v>1</v>
      </c>
    </row>
    <row r="1000" spans="1:18" ht="15" customHeight="1" x14ac:dyDescent="0.25">
      <c r="A1000" s="553">
        <v>12</v>
      </c>
      <c r="B1000" s="553">
        <v>9</v>
      </c>
      <c r="C1000" s="553">
        <v>2</v>
      </c>
      <c r="D1000" s="553">
        <v>19</v>
      </c>
      <c r="E1000" s="553">
        <v>1</v>
      </c>
      <c r="F1000" s="553">
        <v>1</v>
      </c>
      <c r="G1000" s="502" t="s">
        <v>488</v>
      </c>
      <c r="H1000" s="553">
        <v>1320.2850000000001</v>
      </c>
      <c r="I1000" s="553">
        <v>0</v>
      </c>
      <c r="J1000" s="553">
        <v>12</v>
      </c>
      <c r="K1000" s="553">
        <v>8</v>
      </c>
      <c r="L1000" s="553">
        <v>2</v>
      </c>
      <c r="M1000" s="505" t="s">
        <v>137</v>
      </c>
      <c r="N1000" s="500">
        <v>43047561700000</v>
      </c>
      <c r="O1000" s="553" t="s">
        <v>1615</v>
      </c>
      <c r="P1000" s="650" t="s">
        <v>1621</v>
      </c>
      <c r="Q1000" s="564" t="s">
        <v>583</v>
      </c>
      <c r="R1000" s="564">
        <v>1</v>
      </c>
    </row>
    <row r="1001" spans="1:18" ht="15" customHeight="1" x14ac:dyDescent="0.25">
      <c r="A1001" s="553">
        <v>12</v>
      </c>
      <c r="B1001" s="553">
        <v>9</v>
      </c>
      <c r="C1001" s="553">
        <v>2</v>
      </c>
      <c r="D1001" s="553">
        <v>19</v>
      </c>
      <c r="E1001" s="553">
        <v>1</v>
      </c>
      <c r="F1001" s="553">
        <v>1</v>
      </c>
      <c r="G1001" s="553" t="s">
        <v>490</v>
      </c>
      <c r="H1001" s="553">
        <v>1327.52</v>
      </c>
      <c r="I1001" s="553">
        <v>0</v>
      </c>
      <c r="J1001" s="553">
        <v>26</v>
      </c>
      <c r="K1001" s="553">
        <v>29</v>
      </c>
      <c r="L1001" s="553">
        <v>4</v>
      </c>
      <c r="M1001" s="505" t="s">
        <v>137</v>
      </c>
      <c r="N1001" s="500">
        <v>43047561700000</v>
      </c>
      <c r="O1001" s="553" t="s">
        <v>1615</v>
      </c>
      <c r="P1001" s="650" t="s">
        <v>1622</v>
      </c>
      <c r="Q1001" s="564" t="s">
        <v>583</v>
      </c>
      <c r="R1001" s="564">
        <v>1</v>
      </c>
    </row>
    <row r="1002" spans="1:18" ht="15" customHeight="1" x14ac:dyDescent="0.25">
      <c r="A1002" s="553">
        <v>12</v>
      </c>
      <c r="B1002" s="553">
        <v>9</v>
      </c>
      <c r="C1002" s="553">
        <v>2</v>
      </c>
      <c r="D1002" s="553">
        <v>19</v>
      </c>
      <c r="E1002" s="553">
        <v>1</v>
      </c>
      <c r="F1002" s="553">
        <v>1</v>
      </c>
      <c r="G1002" s="553" t="s">
        <v>493</v>
      </c>
      <c r="H1002" s="553">
        <v>1327.52</v>
      </c>
      <c r="I1002" s="553">
        <v>0</v>
      </c>
      <c r="J1002" s="553">
        <v>26</v>
      </c>
      <c r="K1002" s="553">
        <v>29</v>
      </c>
      <c r="L1002" s="553">
        <v>4</v>
      </c>
      <c r="M1002" s="505" t="s">
        <v>137</v>
      </c>
      <c r="N1002" s="500">
        <v>43047561700000</v>
      </c>
      <c r="O1002" s="553" t="s">
        <v>1615</v>
      </c>
      <c r="P1002" s="650" t="s">
        <v>1623</v>
      </c>
      <c r="Q1002" s="564" t="s">
        <v>583</v>
      </c>
      <c r="R1002" s="564">
        <v>1</v>
      </c>
    </row>
    <row r="1003" spans="1:18" ht="15" customHeight="1" x14ac:dyDescent="0.25">
      <c r="A1003" s="553">
        <v>12</v>
      </c>
      <c r="B1003" s="553">
        <v>9</v>
      </c>
      <c r="C1003" s="553">
        <v>2</v>
      </c>
      <c r="D1003" s="553">
        <v>19</v>
      </c>
      <c r="E1003" s="553">
        <v>1</v>
      </c>
      <c r="F1003" s="553">
        <v>1</v>
      </c>
      <c r="G1003" s="553" t="s">
        <v>474</v>
      </c>
      <c r="H1003" s="553">
        <v>1196.25</v>
      </c>
      <c r="I1003" s="553">
        <v>90</v>
      </c>
      <c r="J1003" s="553">
        <v>0</v>
      </c>
      <c r="K1003" s="553">
        <v>0</v>
      </c>
      <c r="L1003" s="553">
        <v>4</v>
      </c>
      <c r="M1003" s="505" t="s">
        <v>137</v>
      </c>
      <c r="N1003" s="500">
        <v>43047561700000</v>
      </c>
      <c r="O1003" s="553" t="s">
        <v>1615</v>
      </c>
      <c r="P1003" s="650" t="s">
        <v>1624</v>
      </c>
      <c r="Q1003" s="564" t="s">
        <v>583</v>
      </c>
      <c r="R1003" s="564">
        <v>1</v>
      </c>
    </row>
    <row r="1004" spans="1:18" ht="15" customHeight="1" x14ac:dyDescent="0.25">
      <c r="A1004" s="553">
        <v>12</v>
      </c>
      <c r="B1004" s="553">
        <v>9</v>
      </c>
      <c r="C1004" s="553">
        <v>2</v>
      </c>
      <c r="D1004" s="553">
        <v>19</v>
      </c>
      <c r="E1004" s="553">
        <v>1</v>
      </c>
      <c r="F1004" s="553">
        <v>1</v>
      </c>
      <c r="G1004" s="502" t="s">
        <v>477</v>
      </c>
      <c r="H1004" s="553">
        <v>1196.25</v>
      </c>
      <c r="I1004" s="553">
        <v>90</v>
      </c>
      <c r="J1004" s="553">
        <v>0</v>
      </c>
      <c r="K1004" s="553">
        <v>0</v>
      </c>
      <c r="L1004" s="553">
        <v>4</v>
      </c>
      <c r="M1004" s="505" t="s">
        <v>137</v>
      </c>
      <c r="N1004" s="500">
        <v>43047561700000</v>
      </c>
      <c r="O1004" s="553" t="s">
        <v>1615</v>
      </c>
      <c r="P1004" s="650" t="s">
        <v>1625</v>
      </c>
      <c r="Q1004" s="564" t="s">
        <v>583</v>
      </c>
      <c r="R1004" s="564">
        <v>1</v>
      </c>
    </row>
    <row r="1005" spans="1:18" ht="15" customHeight="1" x14ac:dyDescent="0.25">
      <c r="A1005" s="553">
        <v>12</v>
      </c>
      <c r="B1005" s="553">
        <v>9</v>
      </c>
      <c r="C1005" s="553">
        <v>2</v>
      </c>
      <c r="D1005" s="553">
        <v>19</v>
      </c>
      <c r="E1005" s="553">
        <v>1</v>
      </c>
      <c r="F1005" s="553">
        <v>1</v>
      </c>
      <c r="G1005" s="553" t="s">
        <v>479</v>
      </c>
      <c r="H1005" s="553">
        <v>1196.25</v>
      </c>
      <c r="I1005" s="553">
        <v>90</v>
      </c>
      <c r="J1005" s="553">
        <v>0</v>
      </c>
      <c r="K1005" s="553">
        <v>0</v>
      </c>
      <c r="L1005" s="553">
        <v>4</v>
      </c>
      <c r="M1005" s="505" t="s">
        <v>137</v>
      </c>
      <c r="N1005" s="500">
        <v>43047561700000</v>
      </c>
      <c r="O1005" s="553" t="s">
        <v>1615</v>
      </c>
      <c r="P1005" s="650" t="s">
        <v>1626</v>
      </c>
      <c r="Q1005" s="564" t="s">
        <v>583</v>
      </c>
      <c r="R1005" s="564">
        <v>1</v>
      </c>
    </row>
    <row r="1006" spans="1:18" ht="15" customHeight="1" x14ac:dyDescent="0.25">
      <c r="A1006" s="553">
        <v>12</v>
      </c>
      <c r="B1006" s="553">
        <v>9</v>
      </c>
      <c r="C1006" s="553">
        <v>2</v>
      </c>
      <c r="D1006" s="553">
        <v>19</v>
      </c>
      <c r="E1006" s="553">
        <v>1</v>
      </c>
      <c r="F1006" s="553">
        <v>1</v>
      </c>
      <c r="G1006" s="553" t="s">
        <v>485</v>
      </c>
      <c r="H1006" s="553">
        <v>1196.25</v>
      </c>
      <c r="I1006" s="553">
        <v>90</v>
      </c>
      <c r="J1006" s="553">
        <v>0</v>
      </c>
      <c r="K1006" s="553">
        <v>0</v>
      </c>
      <c r="L1006" s="553">
        <v>4</v>
      </c>
      <c r="M1006" s="505" t="s">
        <v>137</v>
      </c>
      <c r="N1006" s="500">
        <v>43047561700000</v>
      </c>
      <c r="O1006" s="553" t="s">
        <v>1615</v>
      </c>
      <c r="P1006" s="650" t="s">
        <v>1627</v>
      </c>
      <c r="Q1006" s="564" t="s">
        <v>583</v>
      </c>
      <c r="R1006" s="564">
        <v>1</v>
      </c>
    </row>
    <row r="1007" spans="1:18" ht="15" customHeight="1" x14ac:dyDescent="0.25">
      <c r="A1007" s="553">
        <v>12</v>
      </c>
      <c r="B1007" s="553">
        <v>9</v>
      </c>
      <c r="C1007" s="553">
        <v>2</v>
      </c>
      <c r="D1007" s="553">
        <v>19</v>
      </c>
      <c r="E1007" s="553">
        <v>1</v>
      </c>
      <c r="F1007" s="553">
        <v>1</v>
      </c>
      <c r="G1007" s="553" t="s">
        <v>487</v>
      </c>
      <c r="H1007" s="553">
        <v>1204.99</v>
      </c>
      <c r="I1007" s="553">
        <v>88</v>
      </c>
      <c r="J1007" s="553">
        <v>12</v>
      </c>
      <c r="K1007" s="553">
        <v>32</v>
      </c>
      <c r="L1007" s="553">
        <v>2</v>
      </c>
      <c r="M1007" s="505" t="s">
        <v>137</v>
      </c>
      <c r="N1007" s="500">
        <v>43047561700000</v>
      </c>
      <c r="O1007" s="553" t="s">
        <v>1615</v>
      </c>
      <c r="P1007" s="650" t="s">
        <v>1628</v>
      </c>
      <c r="Q1007" s="564" t="s">
        <v>583</v>
      </c>
      <c r="R1007" s="564">
        <v>1</v>
      </c>
    </row>
    <row r="1008" spans="1:18" ht="15" customHeight="1" x14ac:dyDescent="0.25">
      <c r="A1008" s="553">
        <v>12</v>
      </c>
      <c r="B1008" s="553">
        <v>9</v>
      </c>
      <c r="C1008" s="553">
        <v>2</v>
      </c>
      <c r="D1008" s="553">
        <v>19</v>
      </c>
      <c r="E1008" s="553">
        <v>1</v>
      </c>
      <c r="F1008" s="553">
        <v>1</v>
      </c>
      <c r="G1008" s="502" t="s">
        <v>489</v>
      </c>
      <c r="H1008" s="553">
        <v>1273.1400000000001</v>
      </c>
      <c r="I1008" s="553">
        <v>90</v>
      </c>
      <c r="J1008" s="553">
        <v>0</v>
      </c>
      <c r="K1008" s="553">
        <v>0</v>
      </c>
      <c r="L1008" s="553">
        <v>4</v>
      </c>
      <c r="M1008" s="505" t="s">
        <v>137</v>
      </c>
      <c r="N1008" s="500">
        <v>43047561700000</v>
      </c>
      <c r="O1008" s="553" t="s">
        <v>1615</v>
      </c>
      <c r="P1008" s="650" t="s">
        <v>1629</v>
      </c>
      <c r="Q1008" s="564" t="s">
        <v>583</v>
      </c>
      <c r="R1008" s="564">
        <v>1</v>
      </c>
    </row>
    <row r="1009" spans="1:18" ht="15" customHeight="1" x14ac:dyDescent="0.25">
      <c r="A1009" s="553">
        <v>12</v>
      </c>
      <c r="B1009" s="553">
        <v>9</v>
      </c>
      <c r="C1009" s="553">
        <v>2</v>
      </c>
      <c r="D1009" s="553">
        <v>19</v>
      </c>
      <c r="E1009" s="553">
        <v>1</v>
      </c>
      <c r="F1009" s="553">
        <v>1</v>
      </c>
      <c r="G1009" s="553" t="s">
        <v>491</v>
      </c>
      <c r="H1009" s="553">
        <v>1330.2049999999999</v>
      </c>
      <c r="I1009" s="553">
        <v>89</v>
      </c>
      <c r="J1009" s="553">
        <v>31</v>
      </c>
      <c r="K1009" s="553">
        <v>25</v>
      </c>
      <c r="L1009" s="553">
        <v>2</v>
      </c>
      <c r="M1009" s="505" t="s">
        <v>137</v>
      </c>
      <c r="N1009" s="500">
        <v>43047561700000</v>
      </c>
      <c r="O1009" s="553" t="s">
        <v>1615</v>
      </c>
      <c r="P1009" s="650" t="s">
        <v>1630</v>
      </c>
      <c r="Q1009" s="564" t="s">
        <v>583</v>
      </c>
      <c r="R1009" s="564">
        <v>1</v>
      </c>
    </row>
    <row r="1010" spans="1:18" ht="15" customHeight="1" x14ac:dyDescent="0.25">
      <c r="A1010" s="553">
        <v>12</v>
      </c>
      <c r="B1010" s="553">
        <v>9</v>
      </c>
      <c r="C1010" s="553">
        <v>2</v>
      </c>
      <c r="D1010" s="553">
        <v>19</v>
      </c>
      <c r="E1010" s="553">
        <v>1</v>
      </c>
      <c r="F1010" s="553">
        <v>1</v>
      </c>
      <c r="G1010" s="553" t="s">
        <v>494</v>
      </c>
      <c r="H1010" s="553">
        <v>1330.2049999999999</v>
      </c>
      <c r="I1010" s="553">
        <v>89</v>
      </c>
      <c r="J1010" s="553">
        <v>31</v>
      </c>
      <c r="K1010" s="553">
        <v>25</v>
      </c>
      <c r="L1010" s="553">
        <v>2</v>
      </c>
      <c r="M1010" s="505" t="s">
        <v>137</v>
      </c>
      <c r="N1010" s="500">
        <v>43047561700000</v>
      </c>
      <c r="O1010" s="553" t="s">
        <v>1615</v>
      </c>
      <c r="P1010" s="650" t="s">
        <v>1631</v>
      </c>
      <c r="Q1010" s="564" t="s">
        <v>583</v>
      </c>
      <c r="R1010" s="564">
        <v>1</v>
      </c>
    </row>
    <row r="1011" spans="1:18" ht="15" customHeight="1" x14ac:dyDescent="0.25">
      <c r="A1011" s="553">
        <v>12</v>
      </c>
      <c r="B1011" s="553">
        <v>2</v>
      </c>
      <c r="C1011" s="553">
        <v>2</v>
      </c>
      <c r="D1011" s="553">
        <v>3</v>
      </c>
      <c r="E1011" s="553">
        <v>2</v>
      </c>
      <c r="F1011" s="553">
        <v>2</v>
      </c>
      <c r="G1011" s="553" t="s">
        <v>473</v>
      </c>
      <c r="H1011" s="553">
        <v>1270.77</v>
      </c>
      <c r="I1011" s="553">
        <v>0</v>
      </c>
      <c r="J1011" s="553">
        <v>26</v>
      </c>
      <c r="K1011" s="553">
        <v>3</v>
      </c>
      <c r="L1011" s="553">
        <v>4</v>
      </c>
      <c r="M1011" s="505" t="s">
        <v>137</v>
      </c>
      <c r="N1011" s="500">
        <v>43013538810000</v>
      </c>
      <c r="O1011" s="553" t="s">
        <v>1632</v>
      </c>
      <c r="P1011" s="650" t="s">
        <v>1633</v>
      </c>
      <c r="Q1011" s="564" t="s">
        <v>583</v>
      </c>
      <c r="R1011" s="564">
        <v>2</v>
      </c>
    </row>
    <row r="1012" spans="1:18" ht="15" customHeight="1" x14ac:dyDescent="0.25">
      <c r="A1012" s="553">
        <v>12</v>
      </c>
      <c r="B1012" s="553">
        <v>2</v>
      </c>
      <c r="C1012" s="553">
        <v>2</v>
      </c>
      <c r="D1012" s="553">
        <v>3</v>
      </c>
      <c r="E1012" s="553">
        <v>2</v>
      </c>
      <c r="F1012" s="553">
        <v>2</v>
      </c>
      <c r="G1012" s="502" t="s">
        <v>476</v>
      </c>
      <c r="H1012" s="553">
        <v>1318.27</v>
      </c>
      <c r="I1012" s="553">
        <v>0</v>
      </c>
      <c r="J1012" s="553">
        <v>26</v>
      </c>
      <c r="K1012" s="553">
        <v>21</v>
      </c>
      <c r="L1012" s="553">
        <v>4</v>
      </c>
      <c r="M1012" s="505" t="s">
        <v>137</v>
      </c>
      <c r="N1012" s="500">
        <v>43013538810000</v>
      </c>
      <c r="O1012" s="553" t="s">
        <v>1632</v>
      </c>
      <c r="P1012" s="650" t="s">
        <v>1634</v>
      </c>
      <c r="Q1012" s="564" t="s">
        <v>583</v>
      </c>
      <c r="R1012" s="564">
        <v>2</v>
      </c>
    </row>
    <row r="1013" spans="1:18" ht="15" customHeight="1" x14ac:dyDescent="0.25">
      <c r="A1013" s="553">
        <v>12</v>
      </c>
      <c r="B1013" s="553">
        <v>2</v>
      </c>
      <c r="C1013" s="553">
        <v>2</v>
      </c>
      <c r="D1013" s="553">
        <v>3</v>
      </c>
      <c r="E1013" s="553">
        <v>2</v>
      </c>
      <c r="F1013" s="553">
        <v>2</v>
      </c>
      <c r="G1013" s="553" t="s">
        <v>478</v>
      </c>
      <c r="H1013" s="553">
        <v>1313.61</v>
      </c>
      <c r="I1013" s="553">
        <v>0</v>
      </c>
      <c r="J1013" s="553">
        <v>12</v>
      </c>
      <c r="K1013" s="553">
        <v>33</v>
      </c>
      <c r="L1013" s="553">
        <v>2</v>
      </c>
      <c r="M1013" s="505" t="s">
        <v>137</v>
      </c>
      <c r="N1013" s="500">
        <v>43013538810000</v>
      </c>
      <c r="O1013" s="553" t="s">
        <v>1632</v>
      </c>
      <c r="P1013" s="650" t="s">
        <v>1635</v>
      </c>
      <c r="Q1013" s="564" t="s">
        <v>583</v>
      </c>
      <c r="R1013" s="564">
        <v>2</v>
      </c>
    </row>
    <row r="1014" spans="1:18" ht="15" customHeight="1" x14ac:dyDescent="0.25">
      <c r="A1014" s="553">
        <v>12</v>
      </c>
      <c r="B1014" s="553">
        <v>2</v>
      </c>
      <c r="C1014" s="553">
        <v>2</v>
      </c>
      <c r="D1014" s="553">
        <v>3</v>
      </c>
      <c r="E1014" s="553">
        <v>2</v>
      </c>
      <c r="F1014" s="553">
        <v>2</v>
      </c>
      <c r="G1014" s="553" t="s">
        <v>484</v>
      </c>
      <c r="H1014" s="553">
        <v>1313.65</v>
      </c>
      <c r="I1014" s="553">
        <v>0</v>
      </c>
      <c r="J1014" s="553">
        <v>12</v>
      </c>
      <c r="K1014" s="553">
        <v>47</v>
      </c>
      <c r="L1014" s="553">
        <v>2</v>
      </c>
      <c r="M1014" s="505" t="s">
        <v>137</v>
      </c>
      <c r="N1014" s="500">
        <v>43013538810000</v>
      </c>
      <c r="O1014" s="553" t="s">
        <v>1632</v>
      </c>
      <c r="P1014" s="650" t="s">
        <v>1636</v>
      </c>
      <c r="Q1014" s="564" t="s">
        <v>583</v>
      </c>
      <c r="R1014" s="564">
        <v>2</v>
      </c>
    </row>
    <row r="1015" spans="1:18" ht="15" customHeight="1" x14ac:dyDescent="0.25">
      <c r="A1015" s="553">
        <v>12</v>
      </c>
      <c r="B1015" s="553">
        <v>2</v>
      </c>
      <c r="C1015" s="553">
        <v>2</v>
      </c>
      <c r="D1015" s="553">
        <v>3</v>
      </c>
      <c r="E1015" s="553">
        <v>2</v>
      </c>
      <c r="F1015" s="553">
        <v>2</v>
      </c>
      <c r="G1015" s="553" t="s">
        <v>486</v>
      </c>
      <c r="H1015" s="553">
        <v>1333.97</v>
      </c>
      <c r="I1015" s="553">
        <v>0</v>
      </c>
      <c r="J1015" s="553">
        <v>25</v>
      </c>
      <c r="K1015" s="553">
        <v>49</v>
      </c>
      <c r="L1015" s="553">
        <v>4</v>
      </c>
      <c r="M1015" s="505" t="s">
        <v>137</v>
      </c>
      <c r="N1015" s="500">
        <v>43013538810000</v>
      </c>
      <c r="O1015" s="553" t="s">
        <v>1632</v>
      </c>
      <c r="P1015" s="650" t="s">
        <v>1637</v>
      </c>
      <c r="Q1015" s="564" t="s">
        <v>583</v>
      </c>
      <c r="R1015" s="564">
        <v>2</v>
      </c>
    </row>
    <row r="1016" spans="1:18" ht="15" customHeight="1" x14ac:dyDescent="0.25">
      <c r="A1016" s="553">
        <v>12</v>
      </c>
      <c r="B1016" s="553">
        <v>2</v>
      </c>
      <c r="C1016" s="553">
        <v>2</v>
      </c>
      <c r="D1016" s="553">
        <v>3</v>
      </c>
      <c r="E1016" s="553">
        <v>2</v>
      </c>
      <c r="F1016" s="553">
        <v>2</v>
      </c>
      <c r="G1016" s="502" t="s">
        <v>488</v>
      </c>
      <c r="H1016" s="553">
        <v>1323.74</v>
      </c>
      <c r="I1016" s="553">
        <v>0</v>
      </c>
      <c r="J1016" s="553">
        <v>57</v>
      </c>
      <c r="K1016" s="553">
        <v>54</v>
      </c>
      <c r="L1016" s="553">
        <v>2</v>
      </c>
      <c r="M1016" s="505" t="s">
        <v>137</v>
      </c>
      <c r="N1016" s="500">
        <v>43013538810000</v>
      </c>
      <c r="O1016" s="553" t="s">
        <v>1632</v>
      </c>
      <c r="P1016" s="650" t="s">
        <v>1638</v>
      </c>
      <c r="Q1016" s="564" t="s">
        <v>583</v>
      </c>
      <c r="R1016" s="564">
        <v>2</v>
      </c>
    </row>
    <row r="1017" spans="1:18" ht="15" customHeight="1" x14ac:dyDescent="0.25">
      <c r="A1017" s="553">
        <v>12</v>
      </c>
      <c r="B1017" s="553">
        <v>2</v>
      </c>
      <c r="C1017" s="553">
        <v>2</v>
      </c>
      <c r="D1017" s="553">
        <v>3</v>
      </c>
      <c r="E1017" s="553">
        <v>2</v>
      </c>
      <c r="F1017" s="553">
        <v>2</v>
      </c>
      <c r="G1017" s="553" t="s">
        <v>490</v>
      </c>
      <c r="H1017" s="553">
        <v>1312.92</v>
      </c>
      <c r="I1017" s="553">
        <v>0</v>
      </c>
      <c r="J1017" s="553">
        <v>30</v>
      </c>
      <c r="K1017" s="553">
        <v>49</v>
      </c>
      <c r="L1017" s="553">
        <v>2</v>
      </c>
      <c r="M1017" s="505" t="s">
        <v>137</v>
      </c>
      <c r="N1017" s="500">
        <v>43013538810000</v>
      </c>
      <c r="O1017" s="553" t="s">
        <v>1632</v>
      </c>
      <c r="P1017" s="650" t="s">
        <v>1639</v>
      </c>
      <c r="Q1017" s="564" t="s">
        <v>583</v>
      </c>
      <c r="R1017" s="564">
        <v>2</v>
      </c>
    </row>
    <row r="1018" spans="1:18" ht="15" customHeight="1" x14ac:dyDescent="0.25">
      <c r="A1018" s="553">
        <v>12</v>
      </c>
      <c r="B1018" s="553">
        <v>2</v>
      </c>
      <c r="C1018" s="553">
        <v>2</v>
      </c>
      <c r="D1018" s="553">
        <v>3</v>
      </c>
      <c r="E1018" s="553">
        <v>2</v>
      </c>
      <c r="F1018" s="553">
        <v>2</v>
      </c>
      <c r="G1018" s="553" t="s">
        <v>493</v>
      </c>
      <c r="H1018" s="553">
        <v>1312.92</v>
      </c>
      <c r="I1018" s="553">
        <v>0</v>
      </c>
      <c r="J1018" s="553">
        <v>30</v>
      </c>
      <c r="K1018" s="553">
        <v>49</v>
      </c>
      <c r="L1018" s="553">
        <v>2</v>
      </c>
      <c r="M1018" s="505" t="s">
        <v>137</v>
      </c>
      <c r="N1018" s="500">
        <v>43013538810000</v>
      </c>
      <c r="O1018" s="553" t="s">
        <v>1632</v>
      </c>
      <c r="P1018" s="650" t="s">
        <v>1640</v>
      </c>
      <c r="Q1018" s="564" t="s">
        <v>583</v>
      </c>
      <c r="R1018" s="564">
        <v>2</v>
      </c>
    </row>
    <row r="1019" spans="1:18" ht="15" customHeight="1" x14ac:dyDescent="0.25">
      <c r="A1019" s="553">
        <v>12</v>
      </c>
      <c r="B1019" s="553">
        <v>2</v>
      </c>
      <c r="C1019" s="553">
        <v>2</v>
      </c>
      <c r="D1019" s="553">
        <v>3</v>
      </c>
      <c r="E1019" s="553">
        <v>2</v>
      </c>
      <c r="F1019" s="553">
        <v>2</v>
      </c>
      <c r="G1019" s="553" t="s">
        <v>474</v>
      </c>
      <c r="H1019" s="553">
        <v>1311.17</v>
      </c>
      <c r="I1019" s="553">
        <v>89</v>
      </c>
      <c r="J1019" s="553">
        <v>50</v>
      </c>
      <c r="K1019" s="553">
        <v>10</v>
      </c>
      <c r="L1019" s="553">
        <v>3</v>
      </c>
      <c r="M1019" s="505" t="s">
        <v>137</v>
      </c>
      <c r="N1019" s="500">
        <v>43013538810000</v>
      </c>
      <c r="O1019" s="553" t="s">
        <v>1632</v>
      </c>
      <c r="P1019" s="650" t="s">
        <v>1641</v>
      </c>
      <c r="Q1019" s="564" t="s">
        <v>583</v>
      </c>
      <c r="R1019" s="564">
        <v>2</v>
      </c>
    </row>
    <row r="1020" spans="1:18" ht="15" customHeight="1" x14ac:dyDescent="0.25">
      <c r="A1020" s="553">
        <v>12</v>
      </c>
      <c r="B1020" s="553">
        <v>2</v>
      </c>
      <c r="C1020" s="553">
        <v>2</v>
      </c>
      <c r="D1020" s="553">
        <v>3</v>
      </c>
      <c r="E1020" s="553">
        <v>2</v>
      </c>
      <c r="F1020" s="553">
        <v>2</v>
      </c>
      <c r="G1020" s="502" t="s">
        <v>477</v>
      </c>
      <c r="H1020" s="553">
        <v>1335.22</v>
      </c>
      <c r="I1020" s="553">
        <v>88</v>
      </c>
      <c r="J1020" s="553">
        <v>26</v>
      </c>
      <c r="K1020" s="553">
        <v>15</v>
      </c>
      <c r="L1020" s="553">
        <v>3</v>
      </c>
      <c r="M1020" s="505" t="s">
        <v>137</v>
      </c>
      <c r="N1020" s="500">
        <v>43013538810000</v>
      </c>
      <c r="O1020" s="553" t="s">
        <v>1632</v>
      </c>
      <c r="P1020" s="650" t="s">
        <v>1642</v>
      </c>
      <c r="Q1020" s="564" t="s">
        <v>583</v>
      </c>
      <c r="R1020" s="564">
        <v>2</v>
      </c>
    </row>
    <row r="1021" spans="1:18" ht="15" customHeight="1" x14ac:dyDescent="0.25">
      <c r="A1021" s="553">
        <v>12</v>
      </c>
      <c r="B1021" s="553">
        <v>2</v>
      </c>
      <c r="C1021" s="553">
        <v>2</v>
      </c>
      <c r="D1021" s="553">
        <v>3</v>
      </c>
      <c r="E1021" s="553">
        <v>2</v>
      </c>
      <c r="F1021" s="553">
        <v>2</v>
      </c>
      <c r="G1021" s="553" t="s">
        <v>479</v>
      </c>
      <c r="H1021" s="553">
        <v>1336.09</v>
      </c>
      <c r="I1021" s="553">
        <v>88</v>
      </c>
      <c r="J1021" s="553">
        <v>25</v>
      </c>
      <c r="K1021" s="553">
        <v>40</v>
      </c>
      <c r="L1021" s="553">
        <v>3</v>
      </c>
      <c r="M1021" s="505" t="s">
        <v>137</v>
      </c>
      <c r="N1021" s="500">
        <v>43013538810000</v>
      </c>
      <c r="O1021" s="553" t="s">
        <v>1632</v>
      </c>
      <c r="P1021" s="650" t="s">
        <v>1643</v>
      </c>
      <c r="Q1021" s="564" t="s">
        <v>583</v>
      </c>
      <c r="R1021" s="564">
        <v>2</v>
      </c>
    </row>
    <row r="1022" spans="1:18" ht="15" customHeight="1" x14ac:dyDescent="0.25">
      <c r="A1022" s="553">
        <v>12</v>
      </c>
      <c r="B1022" s="553">
        <v>2</v>
      </c>
      <c r="C1022" s="553">
        <v>2</v>
      </c>
      <c r="D1022" s="553">
        <v>3</v>
      </c>
      <c r="E1022" s="553">
        <v>2</v>
      </c>
      <c r="F1022" s="553">
        <v>2</v>
      </c>
      <c r="G1022" s="553" t="s">
        <v>485</v>
      </c>
      <c r="H1022" s="553">
        <v>1313.17</v>
      </c>
      <c r="I1022" s="553">
        <v>89</v>
      </c>
      <c r="J1022" s="553">
        <v>53</v>
      </c>
      <c r="K1022" s="553">
        <v>36</v>
      </c>
      <c r="L1022" s="553">
        <v>4</v>
      </c>
      <c r="M1022" s="505" t="s">
        <v>137</v>
      </c>
      <c r="N1022" s="500">
        <v>43013538810000</v>
      </c>
      <c r="O1022" s="553" t="s">
        <v>1632</v>
      </c>
      <c r="P1022" s="650" t="s">
        <v>1644</v>
      </c>
      <c r="Q1022" s="564" t="s">
        <v>583</v>
      </c>
      <c r="R1022" s="564">
        <v>2</v>
      </c>
    </row>
    <row r="1023" spans="1:18" ht="15" customHeight="1" x14ac:dyDescent="0.25">
      <c r="A1023" s="553">
        <v>12</v>
      </c>
      <c r="B1023" s="553">
        <v>2</v>
      </c>
      <c r="C1023" s="553">
        <v>2</v>
      </c>
      <c r="D1023" s="553">
        <v>3</v>
      </c>
      <c r="E1023" s="553">
        <v>2</v>
      </c>
      <c r="F1023" s="553">
        <v>2</v>
      </c>
      <c r="G1023" s="553" t="s">
        <v>487</v>
      </c>
      <c r="H1023" s="553">
        <v>1312.18</v>
      </c>
      <c r="I1023" s="553">
        <v>89</v>
      </c>
      <c r="J1023" s="553">
        <v>55</v>
      </c>
      <c r="K1023" s="553">
        <v>31</v>
      </c>
      <c r="L1023" s="553">
        <v>3</v>
      </c>
      <c r="M1023" s="505" t="s">
        <v>137</v>
      </c>
      <c r="N1023" s="500">
        <v>43013538810000</v>
      </c>
      <c r="O1023" s="553" t="s">
        <v>1632</v>
      </c>
      <c r="P1023" s="650" t="s">
        <v>1645</v>
      </c>
      <c r="Q1023" s="564" t="s">
        <v>583</v>
      </c>
      <c r="R1023" s="564">
        <v>2</v>
      </c>
    </row>
    <row r="1024" spans="1:18" ht="15" customHeight="1" x14ac:dyDescent="0.25">
      <c r="A1024" s="553">
        <v>12</v>
      </c>
      <c r="B1024" s="553">
        <v>2</v>
      </c>
      <c r="C1024" s="553">
        <v>2</v>
      </c>
      <c r="D1024" s="553">
        <v>3</v>
      </c>
      <c r="E1024" s="553">
        <v>2</v>
      </c>
      <c r="F1024" s="553">
        <v>2</v>
      </c>
      <c r="G1024" s="502" t="s">
        <v>489</v>
      </c>
      <c r="H1024" s="553">
        <v>1312.18</v>
      </c>
      <c r="I1024" s="553">
        <v>89</v>
      </c>
      <c r="J1024" s="553">
        <v>55</v>
      </c>
      <c r="K1024" s="553">
        <v>31</v>
      </c>
      <c r="L1024" s="553">
        <v>3</v>
      </c>
      <c r="M1024" s="505" t="s">
        <v>137</v>
      </c>
      <c r="N1024" s="500">
        <v>43013538810000</v>
      </c>
      <c r="O1024" s="553" t="s">
        <v>1632</v>
      </c>
      <c r="P1024" s="650" t="s">
        <v>1646</v>
      </c>
      <c r="Q1024" s="564" t="s">
        <v>583</v>
      </c>
      <c r="R1024" s="564">
        <v>2</v>
      </c>
    </row>
    <row r="1025" spans="1:18" ht="15" customHeight="1" x14ac:dyDescent="0.25">
      <c r="A1025" s="553">
        <v>12</v>
      </c>
      <c r="B1025" s="553">
        <v>2</v>
      </c>
      <c r="C1025" s="553">
        <v>2</v>
      </c>
      <c r="D1025" s="553">
        <v>3</v>
      </c>
      <c r="E1025" s="553">
        <v>2</v>
      </c>
      <c r="F1025" s="553">
        <v>2</v>
      </c>
      <c r="G1025" s="553" t="s">
        <v>491</v>
      </c>
      <c r="H1025" s="553">
        <v>1312.38</v>
      </c>
      <c r="I1025" s="553">
        <v>89</v>
      </c>
      <c r="J1025" s="553">
        <v>55</v>
      </c>
      <c r="K1025" s="553">
        <v>26</v>
      </c>
      <c r="L1025" s="553">
        <v>3</v>
      </c>
      <c r="M1025" s="505" t="s">
        <v>137</v>
      </c>
      <c r="N1025" s="500">
        <v>43013538810000</v>
      </c>
      <c r="O1025" s="553" t="s">
        <v>1632</v>
      </c>
      <c r="P1025" s="650" t="s">
        <v>1647</v>
      </c>
      <c r="Q1025" s="564" t="s">
        <v>583</v>
      </c>
      <c r="R1025" s="564">
        <v>2</v>
      </c>
    </row>
    <row r="1026" spans="1:18" ht="15" customHeight="1" x14ac:dyDescent="0.25">
      <c r="A1026" s="553">
        <v>12</v>
      </c>
      <c r="B1026" s="553">
        <v>2</v>
      </c>
      <c r="C1026" s="553">
        <v>2</v>
      </c>
      <c r="D1026" s="553">
        <v>3</v>
      </c>
      <c r="E1026" s="553">
        <v>2</v>
      </c>
      <c r="F1026" s="553">
        <v>2</v>
      </c>
      <c r="G1026" s="553" t="s">
        <v>494</v>
      </c>
      <c r="H1026" s="553">
        <v>1312.06</v>
      </c>
      <c r="I1026" s="553">
        <v>89</v>
      </c>
      <c r="J1026" s="553">
        <v>54</v>
      </c>
      <c r="K1026" s="553">
        <v>15</v>
      </c>
      <c r="L1026" s="553">
        <v>2</v>
      </c>
      <c r="M1026" s="505" t="s">
        <v>137</v>
      </c>
      <c r="N1026" s="500">
        <v>43013538810000</v>
      </c>
      <c r="O1026" s="553" t="s">
        <v>1632</v>
      </c>
      <c r="P1026" s="650" t="s">
        <v>1648</v>
      </c>
      <c r="Q1026" s="564" t="s">
        <v>583</v>
      </c>
      <c r="R1026" s="564">
        <v>2</v>
      </c>
    </row>
    <row r="1027" spans="1:18" s="484" customFormat="1" ht="15" customHeight="1" x14ac:dyDescent="0.25">
      <c r="A1027" s="553">
        <v>12</v>
      </c>
      <c r="B1027" s="553">
        <v>3</v>
      </c>
      <c r="C1027" s="553">
        <v>2</v>
      </c>
      <c r="D1027" s="553">
        <v>5</v>
      </c>
      <c r="E1027" s="553">
        <v>2</v>
      </c>
      <c r="F1027" s="553">
        <v>2</v>
      </c>
      <c r="G1027" s="553" t="s">
        <v>473</v>
      </c>
      <c r="H1027" s="553">
        <v>1315.8</v>
      </c>
      <c r="I1027" s="553">
        <v>0</v>
      </c>
      <c r="J1027" s="553">
        <v>29</v>
      </c>
      <c r="K1027" s="553">
        <v>1</v>
      </c>
      <c r="L1027" s="553">
        <v>2</v>
      </c>
      <c r="M1027" s="505" t="s">
        <v>137</v>
      </c>
      <c r="N1027" s="500">
        <v>43013538510000</v>
      </c>
      <c r="O1027" s="553" t="s">
        <v>1649</v>
      </c>
      <c r="P1027" s="650" t="s">
        <v>1650</v>
      </c>
      <c r="Q1027" s="564" t="s">
        <v>583</v>
      </c>
      <c r="R1027" s="564">
        <v>1</v>
      </c>
    </row>
    <row r="1028" spans="1:18" s="484" customFormat="1" ht="15" customHeight="1" x14ac:dyDescent="0.25">
      <c r="A1028" s="553">
        <v>12</v>
      </c>
      <c r="B1028" s="553">
        <v>3</v>
      </c>
      <c r="C1028" s="553">
        <v>2</v>
      </c>
      <c r="D1028" s="553">
        <v>5</v>
      </c>
      <c r="E1028" s="553">
        <v>2</v>
      </c>
      <c r="F1028" s="553">
        <v>2</v>
      </c>
      <c r="G1028" s="502" t="s">
        <v>476</v>
      </c>
      <c r="H1028" s="553">
        <v>1315.8</v>
      </c>
      <c r="I1028" s="553">
        <v>0</v>
      </c>
      <c r="J1028" s="553">
        <v>29</v>
      </c>
      <c r="K1028" s="553">
        <v>1</v>
      </c>
      <c r="L1028" s="553">
        <v>2</v>
      </c>
      <c r="M1028" s="505" t="s">
        <v>137</v>
      </c>
      <c r="N1028" s="500">
        <v>43013538510000</v>
      </c>
      <c r="O1028" s="553" t="s">
        <v>1649</v>
      </c>
      <c r="P1028" s="650" t="s">
        <v>1651</v>
      </c>
      <c r="Q1028" s="564" t="s">
        <v>583</v>
      </c>
      <c r="R1028" s="564">
        <v>1</v>
      </c>
    </row>
    <row r="1029" spans="1:18" s="484" customFormat="1" ht="15" customHeight="1" x14ac:dyDescent="0.25">
      <c r="A1029" s="553">
        <v>12</v>
      </c>
      <c r="B1029" s="553">
        <v>3</v>
      </c>
      <c r="C1029" s="553">
        <v>2</v>
      </c>
      <c r="D1029" s="553">
        <v>5</v>
      </c>
      <c r="E1029" s="553">
        <v>2</v>
      </c>
      <c r="F1029" s="553">
        <v>2</v>
      </c>
      <c r="G1029" s="553" t="s">
        <v>478</v>
      </c>
      <c r="H1029" s="553">
        <v>1325.14</v>
      </c>
      <c r="I1029" s="553">
        <v>0</v>
      </c>
      <c r="J1029" s="553">
        <v>5</v>
      </c>
      <c r="K1029" s="553">
        <v>47</v>
      </c>
      <c r="L1029" s="553">
        <v>2</v>
      </c>
      <c r="M1029" s="505" t="s">
        <v>137</v>
      </c>
      <c r="N1029" s="500">
        <v>43013538510000</v>
      </c>
      <c r="O1029" s="553" t="s">
        <v>1649</v>
      </c>
      <c r="P1029" s="650" t="s">
        <v>1652</v>
      </c>
      <c r="Q1029" s="564" t="s">
        <v>583</v>
      </c>
      <c r="R1029" s="564">
        <v>1</v>
      </c>
    </row>
    <row r="1030" spans="1:18" s="484" customFormat="1" ht="15" customHeight="1" x14ac:dyDescent="0.25">
      <c r="A1030" s="553">
        <v>12</v>
      </c>
      <c r="B1030" s="553">
        <v>3</v>
      </c>
      <c r="C1030" s="553">
        <v>2</v>
      </c>
      <c r="D1030" s="553">
        <v>5</v>
      </c>
      <c r="E1030" s="553">
        <v>2</v>
      </c>
      <c r="F1030" s="553">
        <v>2</v>
      </c>
      <c r="G1030" s="553" t="s">
        <v>484</v>
      </c>
      <c r="H1030" s="553">
        <v>1325.14</v>
      </c>
      <c r="I1030" s="553">
        <v>0</v>
      </c>
      <c r="J1030" s="553">
        <v>5</v>
      </c>
      <c r="K1030" s="553">
        <v>47</v>
      </c>
      <c r="L1030" s="553">
        <v>2</v>
      </c>
      <c r="M1030" s="505" t="s">
        <v>137</v>
      </c>
      <c r="N1030" s="500">
        <v>43013538510000</v>
      </c>
      <c r="O1030" s="553" t="s">
        <v>1649</v>
      </c>
      <c r="P1030" s="650" t="s">
        <v>1653</v>
      </c>
      <c r="Q1030" s="564" t="s">
        <v>583</v>
      </c>
      <c r="R1030" s="564">
        <v>1</v>
      </c>
    </row>
    <row r="1031" spans="1:18" s="484" customFormat="1" ht="15" customHeight="1" x14ac:dyDescent="0.25">
      <c r="A1031" s="553">
        <v>12</v>
      </c>
      <c r="B1031" s="553">
        <v>3</v>
      </c>
      <c r="C1031" s="553">
        <v>2</v>
      </c>
      <c r="D1031" s="553">
        <v>5</v>
      </c>
      <c r="E1031" s="553">
        <v>2</v>
      </c>
      <c r="F1031" s="553">
        <v>2</v>
      </c>
      <c r="G1031" s="553" t="s">
        <v>486</v>
      </c>
      <c r="H1031" s="553">
        <v>1315.665</v>
      </c>
      <c r="I1031" s="553">
        <v>0</v>
      </c>
      <c r="J1031" s="553">
        <v>15</v>
      </c>
      <c r="K1031" s="553">
        <v>34</v>
      </c>
      <c r="L1031" s="553">
        <v>3</v>
      </c>
      <c r="M1031" s="505" t="s">
        <v>137</v>
      </c>
      <c r="N1031" s="500">
        <v>43013538510000</v>
      </c>
      <c r="O1031" s="553" t="s">
        <v>1649</v>
      </c>
      <c r="P1031" s="650" t="s">
        <v>1654</v>
      </c>
      <c r="Q1031" s="564" t="s">
        <v>583</v>
      </c>
      <c r="R1031" s="564">
        <v>1</v>
      </c>
    </row>
    <row r="1032" spans="1:18" s="484" customFormat="1" ht="15" customHeight="1" x14ac:dyDescent="0.25">
      <c r="A1032" s="553">
        <v>12</v>
      </c>
      <c r="B1032" s="553">
        <v>3</v>
      </c>
      <c r="C1032" s="553">
        <v>2</v>
      </c>
      <c r="D1032" s="553">
        <v>5</v>
      </c>
      <c r="E1032" s="553">
        <v>2</v>
      </c>
      <c r="F1032" s="553">
        <v>2</v>
      </c>
      <c r="G1032" s="502" t="s">
        <v>488</v>
      </c>
      <c r="H1032" s="553">
        <v>1315.665</v>
      </c>
      <c r="I1032" s="553">
        <v>0</v>
      </c>
      <c r="J1032" s="553">
        <v>15</v>
      </c>
      <c r="K1032" s="553">
        <v>34</v>
      </c>
      <c r="L1032" s="553">
        <v>3</v>
      </c>
      <c r="M1032" s="505" t="s">
        <v>137</v>
      </c>
      <c r="N1032" s="500">
        <v>43013538510000</v>
      </c>
      <c r="O1032" s="553" t="s">
        <v>1649</v>
      </c>
      <c r="P1032" s="650" t="s">
        <v>1655</v>
      </c>
      <c r="Q1032" s="564" t="s">
        <v>583</v>
      </c>
      <c r="R1032" s="564">
        <v>1</v>
      </c>
    </row>
    <row r="1033" spans="1:18" s="484" customFormat="1" ht="15" customHeight="1" x14ac:dyDescent="0.25">
      <c r="A1033" s="553">
        <v>12</v>
      </c>
      <c r="B1033" s="553">
        <v>3</v>
      </c>
      <c r="C1033" s="553">
        <v>2</v>
      </c>
      <c r="D1033" s="553">
        <v>5</v>
      </c>
      <c r="E1033" s="553">
        <v>2</v>
      </c>
      <c r="F1033" s="553">
        <v>2</v>
      </c>
      <c r="G1033" s="553" t="s">
        <v>490</v>
      </c>
      <c r="H1033" s="553">
        <v>1318.7</v>
      </c>
      <c r="I1033" s="553">
        <v>0</v>
      </c>
      <c r="J1033" s="553">
        <v>1</v>
      </c>
      <c r="K1033" s="553">
        <v>23</v>
      </c>
      <c r="L1033" s="553">
        <v>3</v>
      </c>
      <c r="M1033" s="505" t="s">
        <v>137</v>
      </c>
      <c r="N1033" s="500">
        <v>43013538510000</v>
      </c>
      <c r="O1033" s="553" t="s">
        <v>1649</v>
      </c>
      <c r="P1033" s="650" t="s">
        <v>1656</v>
      </c>
      <c r="Q1033" s="564" t="s">
        <v>583</v>
      </c>
      <c r="R1033" s="564">
        <v>1</v>
      </c>
    </row>
    <row r="1034" spans="1:18" s="484" customFormat="1" ht="15" customHeight="1" x14ac:dyDescent="0.25">
      <c r="A1034" s="553">
        <v>12</v>
      </c>
      <c r="B1034" s="553">
        <v>3</v>
      </c>
      <c r="C1034" s="553">
        <v>2</v>
      </c>
      <c r="D1034" s="553">
        <v>5</v>
      </c>
      <c r="E1034" s="553">
        <v>2</v>
      </c>
      <c r="F1034" s="553">
        <v>2</v>
      </c>
      <c r="G1034" s="553" t="s">
        <v>493</v>
      </c>
      <c r="H1034" s="553">
        <v>1318.7</v>
      </c>
      <c r="I1034" s="553">
        <v>0</v>
      </c>
      <c r="J1034" s="553">
        <v>1</v>
      </c>
      <c r="K1034" s="553">
        <v>23</v>
      </c>
      <c r="L1034" s="553">
        <v>3</v>
      </c>
      <c r="M1034" s="505" t="s">
        <v>137</v>
      </c>
      <c r="N1034" s="500">
        <v>43013538510000</v>
      </c>
      <c r="O1034" s="553" t="s">
        <v>1649</v>
      </c>
      <c r="P1034" s="650" t="s">
        <v>1657</v>
      </c>
      <c r="Q1034" s="564" t="s">
        <v>583</v>
      </c>
      <c r="R1034" s="564">
        <v>1</v>
      </c>
    </row>
    <row r="1035" spans="1:18" s="484" customFormat="1" ht="15" customHeight="1" x14ac:dyDescent="0.25">
      <c r="A1035" s="553">
        <v>12</v>
      </c>
      <c r="B1035" s="553">
        <v>3</v>
      </c>
      <c r="C1035" s="553">
        <v>2</v>
      </c>
      <c r="D1035" s="553">
        <v>5</v>
      </c>
      <c r="E1035" s="553">
        <v>2</v>
      </c>
      <c r="F1035" s="553">
        <v>2</v>
      </c>
      <c r="G1035" s="553" t="s">
        <v>474</v>
      </c>
      <c r="H1035" s="553">
        <v>1321.32</v>
      </c>
      <c r="I1035" s="553">
        <v>89</v>
      </c>
      <c r="J1035" s="553">
        <v>54</v>
      </c>
      <c r="K1035" s="553">
        <v>52</v>
      </c>
      <c r="L1035" s="553">
        <v>2</v>
      </c>
      <c r="M1035" s="505" t="s">
        <v>137</v>
      </c>
      <c r="N1035" s="500">
        <v>43013538510000</v>
      </c>
      <c r="O1035" s="553" t="s">
        <v>1649</v>
      </c>
      <c r="P1035" s="650" t="s">
        <v>1658</v>
      </c>
      <c r="Q1035" s="564" t="s">
        <v>583</v>
      </c>
      <c r="R1035" s="564">
        <v>1</v>
      </c>
    </row>
    <row r="1036" spans="1:18" s="484" customFormat="1" ht="15" customHeight="1" x14ac:dyDescent="0.25">
      <c r="A1036" s="553">
        <v>12</v>
      </c>
      <c r="B1036" s="553">
        <v>3</v>
      </c>
      <c r="C1036" s="553">
        <v>2</v>
      </c>
      <c r="D1036" s="553">
        <v>5</v>
      </c>
      <c r="E1036" s="553">
        <v>2</v>
      </c>
      <c r="F1036" s="553">
        <v>2</v>
      </c>
      <c r="G1036" s="502" t="s">
        <v>477</v>
      </c>
      <c r="H1036" s="553">
        <v>1321.32</v>
      </c>
      <c r="I1036" s="553">
        <v>89</v>
      </c>
      <c r="J1036" s="553">
        <v>54</v>
      </c>
      <c r="K1036" s="553">
        <v>52</v>
      </c>
      <c r="L1036" s="553">
        <v>2</v>
      </c>
      <c r="M1036" s="505" t="s">
        <v>137</v>
      </c>
      <c r="N1036" s="500">
        <v>43013538510000</v>
      </c>
      <c r="O1036" s="553" t="s">
        <v>1649</v>
      </c>
      <c r="P1036" s="650" t="s">
        <v>1659</v>
      </c>
      <c r="Q1036" s="564" t="s">
        <v>583</v>
      </c>
      <c r="R1036" s="564">
        <v>1</v>
      </c>
    </row>
    <row r="1037" spans="1:18" s="484" customFormat="1" ht="15" customHeight="1" x14ac:dyDescent="0.25">
      <c r="A1037" s="553">
        <v>12</v>
      </c>
      <c r="B1037" s="553">
        <v>3</v>
      </c>
      <c r="C1037" s="553">
        <v>2</v>
      </c>
      <c r="D1037" s="553">
        <v>5</v>
      </c>
      <c r="E1037" s="553">
        <v>2</v>
      </c>
      <c r="F1037" s="553">
        <v>2</v>
      </c>
      <c r="G1037" s="553" t="s">
        <v>479</v>
      </c>
      <c r="H1037" s="553">
        <v>1321.32</v>
      </c>
      <c r="I1037" s="553">
        <v>89</v>
      </c>
      <c r="J1037" s="553">
        <v>54</v>
      </c>
      <c r="K1037" s="553">
        <v>52</v>
      </c>
      <c r="L1037" s="553">
        <v>2</v>
      </c>
      <c r="M1037" s="505" t="s">
        <v>137</v>
      </c>
      <c r="N1037" s="500">
        <v>43013538510000</v>
      </c>
      <c r="O1037" s="553" t="s">
        <v>1649</v>
      </c>
      <c r="P1037" s="650" t="s">
        <v>1660</v>
      </c>
      <c r="Q1037" s="564" t="s">
        <v>583</v>
      </c>
      <c r="R1037" s="564">
        <v>1</v>
      </c>
    </row>
    <row r="1038" spans="1:18" s="484" customFormat="1" ht="15" customHeight="1" x14ac:dyDescent="0.25">
      <c r="A1038" s="553">
        <v>12</v>
      </c>
      <c r="B1038" s="553">
        <v>3</v>
      </c>
      <c r="C1038" s="553">
        <v>2</v>
      </c>
      <c r="D1038" s="553">
        <v>5</v>
      </c>
      <c r="E1038" s="553">
        <v>2</v>
      </c>
      <c r="F1038" s="553">
        <v>2</v>
      </c>
      <c r="G1038" s="553" t="s">
        <v>485</v>
      </c>
      <c r="H1038" s="553">
        <v>1321.32</v>
      </c>
      <c r="I1038" s="553">
        <v>89</v>
      </c>
      <c r="J1038" s="553">
        <v>54</v>
      </c>
      <c r="K1038" s="553">
        <v>52</v>
      </c>
      <c r="L1038" s="553">
        <v>2</v>
      </c>
      <c r="M1038" s="505" t="s">
        <v>137</v>
      </c>
      <c r="N1038" s="500">
        <v>43013538510000</v>
      </c>
      <c r="O1038" s="553" t="s">
        <v>1649</v>
      </c>
      <c r="P1038" s="650" t="s">
        <v>1661</v>
      </c>
      <c r="Q1038" s="564" t="s">
        <v>583</v>
      </c>
      <c r="R1038" s="564">
        <v>1</v>
      </c>
    </row>
    <row r="1039" spans="1:18" s="484" customFormat="1" ht="15" customHeight="1" x14ac:dyDescent="0.25">
      <c r="A1039" s="553">
        <v>12</v>
      </c>
      <c r="B1039" s="553">
        <v>3</v>
      </c>
      <c r="C1039" s="553">
        <v>2</v>
      </c>
      <c r="D1039" s="553">
        <v>5</v>
      </c>
      <c r="E1039" s="553">
        <v>2</v>
      </c>
      <c r="F1039" s="553">
        <v>2</v>
      </c>
      <c r="G1039" s="553" t="s">
        <v>487</v>
      </c>
      <c r="H1039" s="553">
        <v>1324.7650000000001</v>
      </c>
      <c r="I1039" s="553">
        <v>89</v>
      </c>
      <c r="J1039" s="553">
        <v>45</v>
      </c>
      <c r="K1039" s="553">
        <v>16</v>
      </c>
      <c r="L1039" s="553">
        <v>3</v>
      </c>
      <c r="M1039" s="505" t="s">
        <v>137</v>
      </c>
      <c r="N1039" s="500">
        <v>43013538510000</v>
      </c>
      <c r="O1039" s="553" t="s">
        <v>1649</v>
      </c>
      <c r="P1039" s="650" t="s">
        <v>1662</v>
      </c>
      <c r="Q1039" s="564" t="s">
        <v>583</v>
      </c>
      <c r="R1039" s="564">
        <v>1</v>
      </c>
    </row>
    <row r="1040" spans="1:18" s="484" customFormat="1" ht="15" customHeight="1" x14ac:dyDescent="0.25">
      <c r="A1040" s="553">
        <v>12</v>
      </c>
      <c r="B1040" s="553">
        <v>3</v>
      </c>
      <c r="C1040" s="553">
        <v>2</v>
      </c>
      <c r="D1040" s="553">
        <v>5</v>
      </c>
      <c r="E1040" s="553">
        <v>2</v>
      </c>
      <c r="F1040" s="553">
        <v>2</v>
      </c>
      <c r="G1040" s="502" t="s">
        <v>489</v>
      </c>
      <c r="H1040" s="553">
        <v>1324.7650000000001</v>
      </c>
      <c r="I1040" s="553">
        <v>89</v>
      </c>
      <c r="J1040" s="553">
        <v>45</v>
      </c>
      <c r="K1040" s="553">
        <v>16</v>
      </c>
      <c r="L1040" s="553">
        <v>3</v>
      </c>
      <c r="M1040" s="505" t="s">
        <v>137</v>
      </c>
      <c r="N1040" s="500">
        <v>43013538510000</v>
      </c>
      <c r="O1040" s="553" t="s">
        <v>1649</v>
      </c>
      <c r="P1040" s="650" t="s">
        <v>1663</v>
      </c>
      <c r="Q1040" s="564" t="s">
        <v>583</v>
      </c>
      <c r="R1040" s="564">
        <v>1</v>
      </c>
    </row>
    <row r="1041" spans="1:18" s="484" customFormat="1" ht="15" customHeight="1" x14ac:dyDescent="0.25">
      <c r="A1041" s="553">
        <v>12</v>
      </c>
      <c r="B1041" s="553">
        <v>3</v>
      </c>
      <c r="C1041" s="553">
        <v>2</v>
      </c>
      <c r="D1041" s="553">
        <v>5</v>
      </c>
      <c r="E1041" s="553">
        <v>2</v>
      </c>
      <c r="F1041" s="553">
        <v>2</v>
      </c>
      <c r="G1041" s="553" t="s">
        <v>491</v>
      </c>
      <c r="H1041" s="553">
        <v>1324.7650000000001</v>
      </c>
      <c r="I1041" s="553">
        <v>89</v>
      </c>
      <c r="J1041" s="553">
        <v>45</v>
      </c>
      <c r="K1041" s="553">
        <v>16</v>
      </c>
      <c r="L1041" s="553">
        <v>3</v>
      </c>
      <c r="M1041" s="505" t="s">
        <v>137</v>
      </c>
      <c r="N1041" s="500">
        <v>43013538510000</v>
      </c>
      <c r="O1041" s="553" t="s">
        <v>1649</v>
      </c>
      <c r="P1041" s="650" t="s">
        <v>1664</v>
      </c>
      <c r="Q1041" s="564" t="s">
        <v>583</v>
      </c>
      <c r="R1041" s="564">
        <v>1</v>
      </c>
    </row>
    <row r="1042" spans="1:18" s="484" customFormat="1" ht="15" customHeight="1" x14ac:dyDescent="0.25">
      <c r="A1042" s="553">
        <v>12</v>
      </c>
      <c r="B1042" s="553">
        <v>3</v>
      </c>
      <c r="C1042" s="553">
        <v>2</v>
      </c>
      <c r="D1042" s="553">
        <v>5</v>
      </c>
      <c r="E1042" s="553">
        <v>2</v>
      </c>
      <c r="F1042" s="553">
        <v>2</v>
      </c>
      <c r="G1042" s="553" t="s">
        <v>494</v>
      </c>
      <c r="H1042" s="553">
        <v>1324.7650000000001</v>
      </c>
      <c r="I1042" s="553">
        <v>89</v>
      </c>
      <c r="J1042" s="553">
        <v>45</v>
      </c>
      <c r="K1042" s="553">
        <v>16</v>
      </c>
      <c r="L1042" s="553">
        <v>3</v>
      </c>
      <c r="M1042" s="505" t="s">
        <v>137</v>
      </c>
      <c r="N1042" s="500">
        <v>43013538510000</v>
      </c>
      <c r="O1042" s="553" t="s">
        <v>1649</v>
      </c>
      <c r="P1042" s="650" t="s">
        <v>1665</v>
      </c>
      <c r="Q1042" s="564" t="s">
        <v>583</v>
      </c>
      <c r="R1042" s="564">
        <v>1</v>
      </c>
    </row>
    <row r="1043" spans="1:18" ht="15" customHeight="1" x14ac:dyDescent="0.25">
      <c r="A1043" s="564">
        <v>12</v>
      </c>
      <c r="B1043" s="564">
        <v>2</v>
      </c>
      <c r="C1043" s="564">
        <v>2</v>
      </c>
      <c r="D1043" s="564">
        <v>2</v>
      </c>
      <c r="E1043" s="564">
        <v>2</v>
      </c>
      <c r="F1043" s="564">
        <v>2</v>
      </c>
      <c r="G1043" s="553" t="s">
        <v>473</v>
      </c>
      <c r="H1043" s="564">
        <v>1302.2650000000001</v>
      </c>
      <c r="I1043" s="564">
        <v>0</v>
      </c>
      <c r="J1043" s="564">
        <v>3</v>
      </c>
      <c r="K1043" s="564">
        <v>17</v>
      </c>
      <c r="L1043" s="564">
        <v>4</v>
      </c>
      <c r="M1043" s="561" t="s">
        <v>137</v>
      </c>
      <c r="N1043" s="520">
        <v>4301353982</v>
      </c>
      <c r="O1043" s="564" t="s">
        <v>668</v>
      </c>
      <c r="P1043" s="522" t="s">
        <v>1666</v>
      </c>
      <c r="Q1043" s="564" t="s">
        <v>670</v>
      </c>
      <c r="R1043" s="564">
        <v>2</v>
      </c>
    </row>
    <row r="1044" spans="1:18" ht="15" customHeight="1" x14ac:dyDescent="0.25">
      <c r="A1044" s="564">
        <v>12</v>
      </c>
      <c r="B1044" s="564">
        <v>2</v>
      </c>
      <c r="C1044" s="564">
        <v>2</v>
      </c>
      <c r="D1044" s="564">
        <v>2</v>
      </c>
      <c r="E1044" s="564">
        <v>2</v>
      </c>
      <c r="F1044" s="564">
        <v>2</v>
      </c>
      <c r="G1044" s="502" t="s">
        <v>476</v>
      </c>
      <c r="H1044" s="564">
        <v>1302.2650000000001</v>
      </c>
      <c r="I1044" s="564">
        <v>0</v>
      </c>
      <c r="J1044" s="564">
        <v>3</v>
      </c>
      <c r="K1044" s="564">
        <v>17</v>
      </c>
      <c r="L1044" s="564">
        <v>4</v>
      </c>
      <c r="M1044" s="561" t="s">
        <v>137</v>
      </c>
      <c r="N1044" s="520">
        <v>4301353982</v>
      </c>
      <c r="O1044" s="564" t="s">
        <v>668</v>
      </c>
      <c r="P1044" s="522" t="s">
        <v>1667</v>
      </c>
      <c r="Q1044" s="564" t="s">
        <v>670</v>
      </c>
      <c r="R1044" s="564">
        <v>2</v>
      </c>
    </row>
    <row r="1045" spans="1:18" ht="15" customHeight="1" x14ac:dyDescent="0.25">
      <c r="A1045" s="564">
        <v>12</v>
      </c>
      <c r="B1045" s="564">
        <v>2</v>
      </c>
      <c r="C1045" s="564">
        <v>2</v>
      </c>
      <c r="D1045" s="564">
        <v>2</v>
      </c>
      <c r="E1045" s="564">
        <v>2</v>
      </c>
      <c r="F1045" s="564">
        <v>2</v>
      </c>
      <c r="G1045" s="553" t="s">
        <v>478</v>
      </c>
      <c r="H1045" s="564">
        <v>1302.2650000000001</v>
      </c>
      <c r="I1045" s="564">
        <v>0</v>
      </c>
      <c r="J1045" s="564">
        <v>3</v>
      </c>
      <c r="K1045" s="564">
        <v>17</v>
      </c>
      <c r="L1045" s="564">
        <v>4</v>
      </c>
      <c r="M1045" s="561" t="s">
        <v>137</v>
      </c>
      <c r="N1045" s="520">
        <v>4301353982</v>
      </c>
      <c r="O1045" s="564" t="s">
        <v>668</v>
      </c>
      <c r="P1045" s="522" t="s">
        <v>1668</v>
      </c>
      <c r="Q1045" s="564" t="s">
        <v>670</v>
      </c>
      <c r="R1045" s="564">
        <v>2</v>
      </c>
    </row>
    <row r="1046" spans="1:18" ht="15" customHeight="1" x14ac:dyDescent="0.25">
      <c r="A1046" s="564">
        <v>12</v>
      </c>
      <c r="B1046" s="564">
        <v>2</v>
      </c>
      <c r="C1046" s="564">
        <v>2</v>
      </c>
      <c r="D1046" s="564">
        <v>2</v>
      </c>
      <c r="E1046" s="564">
        <v>2</v>
      </c>
      <c r="F1046" s="564">
        <v>2</v>
      </c>
      <c r="G1046" s="553" t="s">
        <v>484</v>
      </c>
      <c r="H1046" s="564">
        <v>1302.2650000000001</v>
      </c>
      <c r="I1046" s="564">
        <v>0</v>
      </c>
      <c r="J1046" s="564">
        <v>3</v>
      </c>
      <c r="K1046" s="564">
        <v>17</v>
      </c>
      <c r="L1046" s="564">
        <v>4</v>
      </c>
      <c r="M1046" s="561" t="s">
        <v>137</v>
      </c>
      <c r="N1046" s="520">
        <v>4301353982</v>
      </c>
      <c r="O1046" s="564" t="s">
        <v>668</v>
      </c>
      <c r="P1046" s="522" t="s">
        <v>1669</v>
      </c>
      <c r="Q1046" s="564" t="s">
        <v>670</v>
      </c>
      <c r="R1046" s="564">
        <v>2</v>
      </c>
    </row>
    <row r="1047" spans="1:18" ht="15" customHeight="1" x14ac:dyDescent="0.25">
      <c r="A1047" s="564">
        <v>12</v>
      </c>
      <c r="B1047" s="564">
        <v>2</v>
      </c>
      <c r="C1047" s="564">
        <v>2</v>
      </c>
      <c r="D1047" s="564">
        <v>2</v>
      </c>
      <c r="E1047" s="564">
        <v>2</v>
      </c>
      <c r="F1047" s="564">
        <v>2</v>
      </c>
      <c r="G1047" s="553" t="s">
        <v>486</v>
      </c>
      <c r="H1047" s="564">
        <v>1235.51</v>
      </c>
      <c r="I1047" s="564">
        <v>0</v>
      </c>
      <c r="J1047" s="564">
        <v>23</v>
      </c>
      <c r="K1047" s="564">
        <v>26</v>
      </c>
      <c r="L1047" s="564">
        <v>2</v>
      </c>
      <c r="M1047" s="561" t="s">
        <v>137</v>
      </c>
      <c r="N1047" s="520">
        <v>4301353982</v>
      </c>
      <c r="O1047" s="564" t="s">
        <v>668</v>
      </c>
      <c r="P1047" s="522" t="s">
        <v>1670</v>
      </c>
      <c r="Q1047" s="564" t="s">
        <v>670</v>
      </c>
      <c r="R1047" s="564">
        <v>2</v>
      </c>
    </row>
    <row r="1048" spans="1:18" ht="15" customHeight="1" x14ac:dyDescent="0.25">
      <c r="A1048" s="564">
        <v>12</v>
      </c>
      <c r="B1048" s="564">
        <v>2</v>
      </c>
      <c r="C1048" s="564">
        <v>2</v>
      </c>
      <c r="D1048" s="564">
        <v>2</v>
      </c>
      <c r="E1048" s="564">
        <v>2</v>
      </c>
      <c r="F1048" s="564">
        <v>2</v>
      </c>
      <c r="G1048" s="502" t="s">
        <v>488</v>
      </c>
      <c r="H1048" s="564">
        <v>1235.51</v>
      </c>
      <c r="I1048" s="564">
        <v>0</v>
      </c>
      <c r="J1048" s="564">
        <v>23</v>
      </c>
      <c r="K1048" s="564">
        <v>26</v>
      </c>
      <c r="L1048" s="564">
        <v>2</v>
      </c>
      <c r="M1048" s="561" t="s">
        <v>137</v>
      </c>
      <c r="N1048" s="520">
        <v>4301353982</v>
      </c>
      <c r="O1048" s="564" t="s">
        <v>668</v>
      </c>
      <c r="P1048" s="522" t="s">
        <v>1671</v>
      </c>
      <c r="Q1048" s="564" t="s">
        <v>670</v>
      </c>
      <c r="R1048" s="564">
        <v>2</v>
      </c>
    </row>
    <row r="1049" spans="1:18" ht="15" customHeight="1" x14ac:dyDescent="0.25">
      <c r="A1049" s="564">
        <v>12</v>
      </c>
      <c r="B1049" s="564">
        <v>2</v>
      </c>
      <c r="C1049" s="564">
        <v>2</v>
      </c>
      <c r="D1049" s="564">
        <v>2</v>
      </c>
      <c r="E1049" s="564">
        <v>2</v>
      </c>
      <c r="F1049" s="564">
        <v>2</v>
      </c>
      <c r="G1049" s="553" t="s">
        <v>490</v>
      </c>
      <c r="H1049" s="564">
        <v>1318.61</v>
      </c>
      <c r="I1049" s="564">
        <v>0</v>
      </c>
      <c r="J1049" s="564">
        <v>1</v>
      </c>
      <c r="K1049" s="564">
        <v>49</v>
      </c>
      <c r="L1049" s="564">
        <v>1</v>
      </c>
      <c r="M1049" s="561" t="s">
        <v>137</v>
      </c>
      <c r="N1049" s="520">
        <v>4301353982</v>
      </c>
      <c r="O1049" s="564" t="s">
        <v>668</v>
      </c>
      <c r="P1049" s="522" t="s">
        <v>1672</v>
      </c>
      <c r="Q1049" s="564" t="s">
        <v>670</v>
      </c>
      <c r="R1049" s="564">
        <v>2</v>
      </c>
    </row>
    <row r="1050" spans="1:18" ht="15" customHeight="1" x14ac:dyDescent="0.25">
      <c r="A1050" s="564">
        <v>12</v>
      </c>
      <c r="B1050" s="564">
        <v>2</v>
      </c>
      <c r="C1050" s="564">
        <v>2</v>
      </c>
      <c r="D1050" s="564">
        <v>2</v>
      </c>
      <c r="E1050" s="564">
        <v>2</v>
      </c>
      <c r="F1050" s="564">
        <v>2</v>
      </c>
      <c r="G1050" s="553" t="s">
        <v>493</v>
      </c>
      <c r="H1050" s="564">
        <v>1318.61</v>
      </c>
      <c r="I1050" s="564">
        <v>0</v>
      </c>
      <c r="J1050" s="564">
        <v>1</v>
      </c>
      <c r="K1050" s="564">
        <v>49</v>
      </c>
      <c r="L1050" s="564">
        <v>1</v>
      </c>
      <c r="M1050" s="561" t="s">
        <v>137</v>
      </c>
      <c r="N1050" s="520">
        <v>4301353982</v>
      </c>
      <c r="O1050" s="564" t="s">
        <v>668</v>
      </c>
      <c r="P1050" s="522" t="s">
        <v>1673</v>
      </c>
      <c r="Q1050" s="564" t="s">
        <v>670</v>
      </c>
      <c r="R1050" s="564">
        <v>2</v>
      </c>
    </row>
    <row r="1051" spans="1:18" ht="15" customHeight="1" x14ac:dyDescent="0.25">
      <c r="A1051" s="564">
        <v>12</v>
      </c>
      <c r="B1051" s="564">
        <v>2</v>
      </c>
      <c r="C1051" s="564">
        <v>2</v>
      </c>
      <c r="D1051" s="564">
        <v>2</v>
      </c>
      <c r="E1051" s="564">
        <v>2</v>
      </c>
      <c r="F1051" s="564">
        <v>2</v>
      </c>
      <c r="G1051" s="553" t="s">
        <v>474</v>
      </c>
      <c r="H1051" s="564">
        <v>1319.4349999999999</v>
      </c>
      <c r="I1051" s="564">
        <v>89</v>
      </c>
      <c r="J1051" s="564">
        <v>47</v>
      </c>
      <c r="K1051" s="564">
        <v>48</v>
      </c>
      <c r="L1051" s="564">
        <v>3</v>
      </c>
      <c r="M1051" s="561" t="s">
        <v>137</v>
      </c>
      <c r="N1051" s="520">
        <v>4301353982</v>
      </c>
      <c r="O1051" s="564" t="s">
        <v>668</v>
      </c>
      <c r="P1051" s="522" t="s">
        <v>1674</v>
      </c>
      <c r="Q1051" s="564" t="s">
        <v>670</v>
      </c>
      <c r="R1051" s="564">
        <v>2</v>
      </c>
    </row>
    <row r="1052" spans="1:18" ht="15" customHeight="1" x14ac:dyDescent="0.25">
      <c r="A1052" s="564">
        <v>12</v>
      </c>
      <c r="B1052" s="564">
        <v>2</v>
      </c>
      <c r="C1052" s="564">
        <v>2</v>
      </c>
      <c r="D1052" s="564">
        <v>2</v>
      </c>
      <c r="E1052" s="564">
        <v>2</v>
      </c>
      <c r="F1052" s="564">
        <v>2</v>
      </c>
      <c r="G1052" s="502" t="s">
        <v>477</v>
      </c>
      <c r="H1052" s="564">
        <v>1319.4349999999999</v>
      </c>
      <c r="I1052" s="564">
        <v>89</v>
      </c>
      <c r="J1052" s="564">
        <v>47</v>
      </c>
      <c r="K1052" s="564">
        <v>48</v>
      </c>
      <c r="L1052" s="564">
        <v>3</v>
      </c>
      <c r="M1052" s="561" t="s">
        <v>137</v>
      </c>
      <c r="N1052" s="520">
        <v>4301353982</v>
      </c>
      <c r="O1052" s="564" t="s">
        <v>668</v>
      </c>
      <c r="P1052" s="522" t="s">
        <v>1675</v>
      </c>
      <c r="Q1052" s="564" t="s">
        <v>670</v>
      </c>
      <c r="R1052" s="564">
        <v>2</v>
      </c>
    </row>
    <row r="1053" spans="1:18" ht="15" customHeight="1" x14ac:dyDescent="0.25">
      <c r="A1053" s="564">
        <v>12</v>
      </c>
      <c r="B1053" s="564">
        <v>2</v>
      </c>
      <c r="C1053" s="564">
        <v>2</v>
      </c>
      <c r="D1053" s="564">
        <v>2</v>
      </c>
      <c r="E1053" s="564">
        <v>2</v>
      </c>
      <c r="F1053" s="564">
        <v>2</v>
      </c>
      <c r="G1053" s="553" t="s">
        <v>479</v>
      </c>
      <c r="H1053" s="564">
        <v>1319.415</v>
      </c>
      <c r="I1053" s="564">
        <v>89</v>
      </c>
      <c r="J1053" s="564">
        <v>47</v>
      </c>
      <c r="K1053" s="564">
        <v>54</v>
      </c>
      <c r="L1053" s="564">
        <v>3</v>
      </c>
      <c r="M1053" s="561" t="s">
        <v>137</v>
      </c>
      <c r="N1053" s="520">
        <v>4301353982</v>
      </c>
      <c r="O1053" s="564" t="s">
        <v>668</v>
      </c>
      <c r="P1053" s="522" t="s">
        <v>1676</v>
      </c>
      <c r="Q1053" s="564" t="s">
        <v>670</v>
      </c>
      <c r="R1053" s="564">
        <v>2</v>
      </c>
    </row>
    <row r="1054" spans="1:18" ht="15" customHeight="1" x14ac:dyDescent="0.25">
      <c r="A1054" s="564">
        <v>12</v>
      </c>
      <c r="B1054" s="564">
        <v>2</v>
      </c>
      <c r="C1054" s="564">
        <v>2</v>
      </c>
      <c r="D1054" s="564">
        <v>2</v>
      </c>
      <c r="E1054" s="564">
        <v>2</v>
      </c>
      <c r="F1054" s="564">
        <v>2</v>
      </c>
      <c r="G1054" s="553" t="s">
        <v>485</v>
      </c>
      <c r="H1054" s="564">
        <v>1319.415</v>
      </c>
      <c r="I1054" s="564">
        <v>89</v>
      </c>
      <c r="J1054" s="564">
        <v>47</v>
      </c>
      <c r="K1054" s="564">
        <v>54</v>
      </c>
      <c r="L1054" s="564">
        <v>3</v>
      </c>
      <c r="M1054" s="561" t="s">
        <v>137</v>
      </c>
      <c r="N1054" s="520">
        <v>4301353982</v>
      </c>
      <c r="O1054" s="564" t="s">
        <v>668</v>
      </c>
      <c r="P1054" s="522" t="s">
        <v>1677</v>
      </c>
      <c r="Q1054" s="564" t="s">
        <v>670</v>
      </c>
      <c r="R1054" s="564">
        <v>2</v>
      </c>
    </row>
    <row r="1055" spans="1:18" ht="15" customHeight="1" x14ac:dyDescent="0.25">
      <c r="A1055" s="564">
        <v>12</v>
      </c>
      <c r="B1055" s="564">
        <v>2</v>
      </c>
      <c r="C1055" s="564">
        <v>2</v>
      </c>
      <c r="D1055" s="564">
        <v>2</v>
      </c>
      <c r="E1055" s="564">
        <v>2</v>
      </c>
      <c r="F1055" s="564">
        <v>2</v>
      </c>
      <c r="G1055" s="553" t="s">
        <v>487</v>
      </c>
      <c r="H1055" s="564">
        <v>1316.23</v>
      </c>
      <c r="I1055" s="564">
        <v>87</v>
      </c>
      <c r="J1055" s="564">
        <v>51</v>
      </c>
      <c r="K1055" s="564">
        <v>23</v>
      </c>
      <c r="L1055" s="564">
        <v>3</v>
      </c>
      <c r="M1055" s="561" t="s">
        <v>137</v>
      </c>
      <c r="N1055" s="520">
        <v>4301353982</v>
      </c>
      <c r="O1055" s="564" t="s">
        <v>668</v>
      </c>
      <c r="P1055" s="522" t="s">
        <v>1678</v>
      </c>
      <c r="Q1055" s="564" t="s">
        <v>670</v>
      </c>
      <c r="R1055" s="564">
        <v>2</v>
      </c>
    </row>
    <row r="1056" spans="1:18" ht="15" customHeight="1" x14ac:dyDescent="0.25">
      <c r="A1056" s="564">
        <v>12</v>
      </c>
      <c r="B1056" s="564">
        <v>2</v>
      </c>
      <c r="C1056" s="564">
        <v>2</v>
      </c>
      <c r="D1056" s="564">
        <v>2</v>
      </c>
      <c r="E1056" s="564">
        <v>2</v>
      </c>
      <c r="F1056" s="564">
        <v>2</v>
      </c>
      <c r="G1056" s="502" t="s">
        <v>489</v>
      </c>
      <c r="H1056" s="564">
        <v>1316.23</v>
      </c>
      <c r="I1056" s="564">
        <v>87</v>
      </c>
      <c r="J1056" s="564">
        <v>51</v>
      </c>
      <c r="K1056" s="564">
        <v>23</v>
      </c>
      <c r="L1056" s="564">
        <v>3</v>
      </c>
      <c r="M1056" s="561" t="s">
        <v>137</v>
      </c>
      <c r="N1056" s="520">
        <v>4301353982</v>
      </c>
      <c r="O1056" s="564" t="s">
        <v>668</v>
      </c>
      <c r="P1056" s="522" t="s">
        <v>1679</v>
      </c>
      <c r="Q1056" s="564" t="s">
        <v>670</v>
      </c>
      <c r="R1056" s="564">
        <v>2</v>
      </c>
    </row>
    <row r="1057" spans="1:18" ht="15" customHeight="1" x14ac:dyDescent="0.25">
      <c r="A1057" s="564">
        <v>12</v>
      </c>
      <c r="B1057" s="564">
        <v>2</v>
      </c>
      <c r="C1057" s="564">
        <v>2</v>
      </c>
      <c r="D1057" s="564">
        <v>2</v>
      </c>
      <c r="E1057" s="564">
        <v>2</v>
      </c>
      <c r="F1057" s="564">
        <v>2</v>
      </c>
      <c r="G1057" s="553" t="s">
        <v>491</v>
      </c>
      <c r="H1057" s="564">
        <v>1312.7049999999999</v>
      </c>
      <c r="I1057" s="564">
        <v>89</v>
      </c>
      <c r="J1057" s="564">
        <v>32</v>
      </c>
      <c r="K1057" s="564">
        <v>25</v>
      </c>
      <c r="L1057" s="564">
        <v>2</v>
      </c>
      <c r="M1057" s="561" t="s">
        <v>137</v>
      </c>
      <c r="N1057" s="520">
        <v>4301353982</v>
      </c>
      <c r="O1057" s="564" t="s">
        <v>668</v>
      </c>
      <c r="P1057" s="522" t="s">
        <v>1680</v>
      </c>
      <c r="Q1057" s="564" t="s">
        <v>670</v>
      </c>
      <c r="R1057" s="564">
        <v>2</v>
      </c>
    </row>
    <row r="1058" spans="1:18" ht="15" customHeight="1" x14ac:dyDescent="0.25">
      <c r="A1058" s="564">
        <v>12</v>
      </c>
      <c r="B1058" s="564">
        <v>2</v>
      </c>
      <c r="C1058" s="564">
        <v>2</v>
      </c>
      <c r="D1058" s="564">
        <v>2</v>
      </c>
      <c r="E1058" s="564">
        <v>2</v>
      </c>
      <c r="F1058" s="564">
        <v>2</v>
      </c>
      <c r="G1058" s="553" t="s">
        <v>494</v>
      </c>
      <c r="H1058" s="564">
        <v>1312.7049999999999</v>
      </c>
      <c r="I1058" s="564">
        <v>89</v>
      </c>
      <c r="J1058" s="564">
        <v>32</v>
      </c>
      <c r="K1058" s="564">
        <v>25</v>
      </c>
      <c r="L1058" s="564">
        <v>2</v>
      </c>
      <c r="M1058" s="561" t="s">
        <v>137</v>
      </c>
      <c r="N1058" s="520">
        <v>4301353982</v>
      </c>
      <c r="O1058" s="564" t="s">
        <v>668</v>
      </c>
      <c r="P1058" s="522" t="s">
        <v>1681</v>
      </c>
      <c r="Q1058" s="564" t="s">
        <v>670</v>
      </c>
      <c r="R1058" s="564">
        <v>2</v>
      </c>
    </row>
    <row r="1059" spans="1:18" ht="15" customHeight="1" x14ac:dyDescent="0.25">
      <c r="A1059" s="564">
        <v>12</v>
      </c>
      <c r="B1059" s="564">
        <v>4</v>
      </c>
      <c r="C1059" s="564">
        <v>2</v>
      </c>
      <c r="D1059" s="564">
        <v>1</v>
      </c>
      <c r="E1059" s="564">
        <v>2</v>
      </c>
      <c r="F1059" s="564">
        <v>2</v>
      </c>
      <c r="G1059" s="564" t="s">
        <v>473</v>
      </c>
      <c r="H1059" s="564">
        <v>1329.2049999999999</v>
      </c>
      <c r="I1059" s="564">
        <v>0</v>
      </c>
      <c r="J1059" s="564">
        <v>21</v>
      </c>
      <c r="K1059" s="564">
        <v>31</v>
      </c>
      <c r="L1059" s="564">
        <v>2</v>
      </c>
      <c r="M1059" s="561" t="s">
        <v>137</v>
      </c>
      <c r="N1059" s="651">
        <v>4304756738</v>
      </c>
      <c r="O1059" s="564" t="s">
        <v>686</v>
      </c>
      <c r="P1059" s="564" t="s">
        <v>1682</v>
      </c>
      <c r="Q1059" s="564"/>
      <c r="R1059" s="564">
        <v>1</v>
      </c>
    </row>
    <row r="1060" spans="1:18" ht="15" customHeight="1" x14ac:dyDescent="0.25">
      <c r="A1060" s="564">
        <v>12</v>
      </c>
      <c r="B1060" s="564">
        <v>4</v>
      </c>
      <c r="C1060" s="564">
        <v>2</v>
      </c>
      <c r="D1060" s="564">
        <v>1</v>
      </c>
      <c r="E1060" s="564">
        <v>2</v>
      </c>
      <c r="F1060" s="564">
        <v>2</v>
      </c>
      <c r="G1060" s="521" t="s">
        <v>476</v>
      </c>
      <c r="H1060" s="564">
        <v>1329.2049999999999</v>
      </c>
      <c r="I1060" s="564">
        <v>0</v>
      </c>
      <c r="J1060" s="564">
        <v>21</v>
      </c>
      <c r="K1060" s="564">
        <v>31</v>
      </c>
      <c r="L1060" s="564">
        <v>2</v>
      </c>
      <c r="M1060" s="561" t="s">
        <v>137</v>
      </c>
      <c r="N1060" s="651">
        <v>4304756738</v>
      </c>
      <c r="O1060" s="564" t="s">
        <v>686</v>
      </c>
      <c r="P1060" s="564" t="s">
        <v>1683</v>
      </c>
      <c r="Q1060" s="564"/>
      <c r="R1060" s="564">
        <v>1</v>
      </c>
    </row>
    <row r="1061" spans="1:18" ht="15" customHeight="1" x14ac:dyDescent="0.25">
      <c r="A1061" s="564">
        <v>12</v>
      </c>
      <c r="B1061" s="564">
        <v>4</v>
      </c>
      <c r="C1061" s="564">
        <v>2</v>
      </c>
      <c r="D1061" s="564">
        <v>1</v>
      </c>
      <c r="E1061" s="564">
        <v>2</v>
      </c>
      <c r="F1061" s="564">
        <v>2</v>
      </c>
      <c r="G1061" s="564" t="s">
        <v>478</v>
      </c>
      <c r="H1061" s="564">
        <v>1319.86</v>
      </c>
      <c r="I1061" s="564">
        <v>0</v>
      </c>
      <c r="J1061" s="564">
        <v>4</v>
      </c>
      <c r="K1061" s="564">
        <v>22</v>
      </c>
      <c r="L1061" s="564">
        <v>2</v>
      </c>
      <c r="M1061" s="561" t="s">
        <v>137</v>
      </c>
      <c r="N1061" s="651">
        <v>4304756738</v>
      </c>
      <c r="O1061" s="564" t="s">
        <v>686</v>
      </c>
      <c r="P1061" s="564" t="s">
        <v>1684</v>
      </c>
      <c r="Q1061" s="564"/>
      <c r="R1061" s="564">
        <v>1</v>
      </c>
    </row>
    <row r="1062" spans="1:18" ht="15" customHeight="1" x14ac:dyDescent="0.25">
      <c r="A1062" s="564">
        <v>12</v>
      </c>
      <c r="B1062" s="564">
        <v>4</v>
      </c>
      <c r="C1062" s="564">
        <v>2</v>
      </c>
      <c r="D1062" s="564">
        <v>1</v>
      </c>
      <c r="E1062" s="564">
        <v>2</v>
      </c>
      <c r="F1062" s="564">
        <v>2</v>
      </c>
      <c r="G1062" s="564" t="s">
        <v>484</v>
      </c>
      <c r="H1062" s="564">
        <v>1319.86</v>
      </c>
      <c r="I1062" s="564">
        <v>0</v>
      </c>
      <c r="J1062" s="564">
        <v>4</v>
      </c>
      <c r="K1062" s="564">
        <v>22</v>
      </c>
      <c r="L1062" s="564">
        <v>2</v>
      </c>
      <c r="M1062" s="561" t="s">
        <v>137</v>
      </c>
      <c r="N1062" s="651">
        <v>4304756738</v>
      </c>
      <c r="O1062" s="564" t="s">
        <v>686</v>
      </c>
      <c r="P1062" s="564" t="s">
        <v>1685</v>
      </c>
      <c r="Q1062" s="564"/>
      <c r="R1062" s="564">
        <v>1</v>
      </c>
    </row>
    <row r="1063" spans="1:18" ht="15" customHeight="1" x14ac:dyDescent="0.25">
      <c r="A1063" s="564">
        <v>12</v>
      </c>
      <c r="B1063" s="564">
        <v>4</v>
      </c>
      <c r="C1063" s="564">
        <v>2</v>
      </c>
      <c r="D1063" s="564">
        <v>1</v>
      </c>
      <c r="E1063" s="564">
        <v>2</v>
      </c>
      <c r="F1063" s="564">
        <v>2</v>
      </c>
      <c r="G1063" s="564" t="s">
        <v>486</v>
      </c>
      <c r="H1063" s="564">
        <v>1317.2750000000001</v>
      </c>
      <c r="I1063" s="564">
        <v>0</v>
      </c>
      <c r="J1063" s="564">
        <v>3</v>
      </c>
      <c r="K1063" s="564">
        <v>48</v>
      </c>
      <c r="L1063" s="564">
        <v>2</v>
      </c>
      <c r="M1063" s="561" t="s">
        <v>137</v>
      </c>
      <c r="N1063" s="651">
        <v>4304756738</v>
      </c>
      <c r="O1063" s="564" t="s">
        <v>686</v>
      </c>
      <c r="P1063" s="564" t="s">
        <v>1686</v>
      </c>
      <c r="Q1063" s="564"/>
      <c r="R1063" s="564">
        <v>1</v>
      </c>
    </row>
    <row r="1064" spans="1:18" ht="15" customHeight="1" x14ac:dyDescent="0.25">
      <c r="A1064" s="564">
        <v>12</v>
      </c>
      <c r="B1064" s="564">
        <v>4</v>
      </c>
      <c r="C1064" s="564">
        <v>2</v>
      </c>
      <c r="D1064" s="564">
        <v>1</v>
      </c>
      <c r="E1064" s="564">
        <v>2</v>
      </c>
      <c r="F1064" s="564">
        <v>2</v>
      </c>
      <c r="G1064" s="521" t="s">
        <v>488</v>
      </c>
      <c r="H1064" s="564">
        <v>1317.2750000000001</v>
      </c>
      <c r="I1064" s="564">
        <v>0</v>
      </c>
      <c r="J1064" s="564">
        <v>3</v>
      </c>
      <c r="K1064" s="564">
        <v>48</v>
      </c>
      <c r="L1064" s="564">
        <v>2</v>
      </c>
      <c r="M1064" s="561" t="s">
        <v>137</v>
      </c>
      <c r="N1064" s="651">
        <v>4304756738</v>
      </c>
      <c r="O1064" s="564" t="s">
        <v>686</v>
      </c>
      <c r="P1064" s="564" t="s">
        <v>1687</v>
      </c>
      <c r="Q1064" s="564"/>
      <c r="R1064" s="564">
        <v>1</v>
      </c>
    </row>
    <row r="1065" spans="1:18" ht="15" customHeight="1" x14ac:dyDescent="0.25">
      <c r="A1065" s="564">
        <v>12</v>
      </c>
      <c r="B1065" s="564">
        <v>4</v>
      </c>
      <c r="C1065" s="564">
        <v>2</v>
      </c>
      <c r="D1065" s="564">
        <v>1</v>
      </c>
      <c r="E1065" s="564">
        <v>2</v>
      </c>
      <c r="F1065" s="564">
        <v>2</v>
      </c>
      <c r="G1065" s="564" t="s">
        <v>490</v>
      </c>
      <c r="H1065" s="564">
        <v>1317.2750000000001</v>
      </c>
      <c r="I1065" s="564">
        <v>0</v>
      </c>
      <c r="J1065" s="564">
        <v>3</v>
      </c>
      <c r="K1065" s="564">
        <v>48</v>
      </c>
      <c r="L1065" s="564">
        <v>2</v>
      </c>
      <c r="M1065" s="561" t="s">
        <v>137</v>
      </c>
      <c r="N1065" s="651">
        <v>4304756738</v>
      </c>
      <c r="O1065" s="564" t="s">
        <v>686</v>
      </c>
      <c r="P1065" s="564" t="s">
        <v>1688</v>
      </c>
      <c r="Q1065" s="564"/>
      <c r="R1065" s="564">
        <v>1</v>
      </c>
    </row>
    <row r="1066" spans="1:18" ht="15" customHeight="1" x14ac:dyDescent="0.25">
      <c r="A1066" s="564">
        <v>12</v>
      </c>
      <c r="B1066" s="564">
        <v>4</v>
      </c>
      <c r="C1066" s="564">
        <v>2</v>
      </c>
      <c r="D1066" s="564">
        <v>1</v>
      </c>
      <c r="E1066" s="564">
        <v>2</v>
      </c>
      <c r="F1066" s="564">
        <v>2</v>
      </c>
      <c r="G1066" s="564" t="s">
        <v>493</v>
      </c>
      <c r="H1066" s="564">
        <v>1317.2750000000001</v>
      </c>
      <c r="I1066" s="564">
        <v>0</v>
      </c>
      <c r="J1066" s="564">
        <v>3</v>
      </c>
      <c r="K1066" s="564">
        <v>48</v>
      </c>
      <c r="L1066" s="564">
        <v>2</v>
      </c>
      <c r="M1066" s="561" t="s">
        <v>137</v>
      </c>
      <c r="N1066" s="651">
        <v>4304756738</v>
      </c>
      <c r="O1066" s="564" t="s">
        <v>686</v>
      </c>
      <c r="P1066" s="564" t="s">
        <v>1689</v>
      </c>
      <c r="Q1066" s="564"/>
      <c r="R1066" s="564">
        <v>1</v>
      </c>
    </row>
    <row r="1067" spans="1:18" ht="15" customHeight="1" x14ac:dyDescent="0.25">
      <c r="A1067" s="564">
        <v>12</v>
      </c>
      <c r="B1067" s="564">
        <v>4</v>
      </c>
      <c r="C1067" s="564">
        <v>2</v>
      </c>
      <c r="D1067" s="564">
        <v>1</v>
      </c>
      <c r="E1067" s="564">
        <v>2</v>
      </c>
      <c r="F1067" s="564">
        <v>2</v>
      </c>
      <c r="G1067" s="564" t="s">
        <v>474</v>
      </c>
      <c r="H1067" s="564">
        <v>1317.69</v>
      </c>
      <c r="I1067" s="564">
        <v>89</v>
      </c>
      <c r="J1067" s="564">
        <v>43</v>
      </c>
      <c r="K1067" s="564">
        <v>43</v>
      </c>
      <c r="L1067" s="564">
        <v>1</v>
      </c>
      <c r="M1067" s="561" t="s">
        <v>137</v>
      </c>
      <c r="N1067" s="651">
        <v>4304756738</v>
      </c>
      <c r="O1067" s="564" t="s">
        <v>686</v>
      </c>
      <c r="P1067" s="564" t="s">
        <v>1690</v>
      </c>
      <c r="Q1067" s="564"/>
      <c r="R1067" s="564">
        <v>1</v>
      </c>
    </row>
    <row r="1068" spans="1:18" ht="15" customHeight="1" x14ac:dyDescent="0.25">
      <c r="A1068" s="564">
        <v>12</v>
      </c>
      <c r="B1068" s="564">
        <v>4</v>
      </c>
      <c r="C1068" s="564">
        <v>2</v>
      </c>
      <c r="D1068" s="564">
        <v>1</v>
      </c>
      <c r="E1068" s="564">
        <v>2</v>
      </c>
      <c r="F1068" s="564">
        <v>2</v>
      </c>
      <c r="G1068" s="521" t="s">
        <v>477</v>
      </c>
      <c r="H1068" s="564">
        <v>1317.69</v>
      </c>
      <c r="I1068" s="564">
        <v>89</v>
      </c>
      <c r="J1068" s="564">
        <v>43</v>
      </c>
      <c r="K1068" s="564">
        <v>43</v>
      </c>
      <c r="L1068" s="564">
        <v>1</v>
      </c>
      <c r="M1068" s="561" t="s">
        <v>137</v>
      </c>
      <c r="N1068" s="651">
        <v>4304756738</v>
      </c>
      <c r="O1068" s="564" t="s">
        <v>686</v>
      </c>
      <c r="P1068" s="564" t="s">
        <v>1691</v>
      </c>
      <c r="Q1068" s="564"/>
      <c r="R1068" s="564">
        <v>1</v>
      </c>
    </row>
    <row r="1069" spans="1:18" ht="15" customHeight="1" x14ac:dyDescent="0.25">
      <c r="A1069" s="564">
        <v>12</v>
      </c>
      <c r="B1069" s="564">
        <v>4</v>
      </c>
      <c r="C1069" s="564">
        <v>2</v>
      </c>
      <c r="D1069" s="564">
        <v>1</v>
      </c>
      <c r="E1069" s="564">
        <v>2</v>
      </c>
      <c r="F1069" s="564">
        <v>2</v>
      </c>
      <c r="G1069" s="564" t="s">
        <v>479</v>
      </c>
      <c r="H1069" s="564">
        <v>1307.8050000000001</v>
      </c>
      <c r="I1069" s="564">
        <v>89</v>
      </c>
      <c r="J1069" s="564">
        <v>43</v>
      </c>
      <c r="K1069" s="564">
        <v>43</v>
      </c>
      <c r="L1069" s="564">
        <v>1</v>
      </c>
      <c r="M1069" s="561" t="s">
        <v>137</v>
      </c>
      <c r="N1069" s="651">
        <v>4304756738</v>
      </c>
      <c r="O1069" s="564" t="s">
        <v>686</v>
      </c>
      <c r="P1069" s="564" t="s">
        <v>1692</v>
      </c>
      <c r="Q1069" s="564"/>
      <c r="R1069" s="564">
        <v>1</v>
      </c>
    </row>
    <row r="1070" spans="1:18" ht="15" customHeight="1" x14ac:dyDescent="0.25">
      <c r="A1070" s="564">
        <v>12</v>
      </c>
      <c r="B1070" s="564">
        <v>4</v>
      </c>
      <c r="C1070" s="564">
        <v>2</v>
      </c>
      <c r="D1070" s="564">
        <v>1</v>
      </c>
      <c r="E1070" s="564">
        <v>2</v>
      </c>
      <c r="F1070" s="564">
        <v>2</v>
      </c>
      <c r="G1070" s="564" t="s">
        <v>485</v>
      </c>
      <c r="H1070" s="564">
        <v>1307.8050000000001</v>
      </c>
      <c r="I1070" s="564">
        <v>89</v>
      </c>
      <c r="J1070" s="564">
        <v>43</v>
      </c>
      <c r="K1070" s="564">
        <v>43</v>
      </c>
      <c r="L1070" s="564">
        <v>1</v>
      </c>
      <c r="M1070" s="561" t="s">
        <v>137</v>
      </c>
      <c r="N1070" s="651">
        <v>4304756738</v>
      </c>
      <c r="O1070" s="564" t="s">
        <v>686</v>
      </c>
      <c r="P1070" s="564" t="s">
        <v>1693</v>
      </c>
      <c r="Q1070" s="564"/>
      <c r="R1070" s="564">
        <v>1</v>
      </c>
    </row>
    <row r="1071" spans="1:18" ht="15" customHeight="1" x14ac:dyDescent="0.25">
      <c r="A1071" s="564">
        <v>12</v>
      </c>
      <c r="B1071" s="564">
        <v>4</v>
      </c>
      <c r="C1071" s="564">
        <v>2</v>
      </c>
      <c r="D1071" s="564">
        <v>1</v>
      </c>
      <c r="E1071" s="564">
        <v>2</v>
      </c>
      <c r="F1071" s="564">
        <v>2</v>
      </c>
      <c r="G1071" s="564" t="s">
        <v>487</v>
      </c>
      <c r="H1071" s="564">
        <v>1328.45</v>
      </c>
      <c r="I1071" s="564">
        <v>89</v>
      </c>
      <c r="J1071" s="564">
        <v>49</v>
      </c>
      <c r="K1071" s="564">
        <v>41</v>
      </c>
      <c r="L1071" s="564">
        <v>2</v>
      </c>
      <c r="M1071" s="561" t="s">
        <v>137</v>
      </c>
      <c r="N1071" s="651">
        <v>4304756738</v>
      </c>
      <c r="O1071" s="564" t="s">
        <v>686</v>
      </c>
      <c r="P1071" s="564" t="s">
        <v>1694</v>
      </c>
      <c r="Q1071" s="564"/>
      <c r="R1071" s="564">
        <v>1</v>
      </c>
    </row>
    <row r="1072" spans="1:18" ht="15" customHeight="1" x14ac:dyDescent="0.25">
      <c r="A1072" s="564">
        <v>12</v>
      </c>
      <c r="B1072" s="564">
        <v>4</v>
      </c>
      <c r="C1072" s="564">
        <v>2</v>
      </c>
      <c r="D1072" s="564">
        <v>1</v>
      </c>
      <c r="E1072" s="564">
        <v>2</v>
      </c>
      <c r="F1072" s="564">
        <v>2</v>
      </c>
      <c r="G1072" s="521" t="s">
        <v>489</v>
      </c>
      <c r="H1072" s="564">
        <v>1328.45</v>
      </c>
      <c r="I1072" s="564">
        <v>89</v>
      </c>
      <c r="J1072" s="564">
        <v>49</v>
      </c>
      <c r="K1072" s="564">
        <v>41</v>
      </c>
      <c r="L1072" s="564">
        <v>2</v>
      </c>
      <c r="M1072" s="561" t="s">
        <v>137</v>
      </c>
      <c r="N1072" s="651">
        <v>4304756738</v>
      </c>
      <c r="O1072" s="564" t="s">
        <v>686</v>
      </c>
      <c r="P1072" s="564" t="s">
        <v>1695</v>
      </c>
      <c r="Q1072" s="564"/>
      <c r="R1072" s="564">
        <v>1</v>
      </c>
    </row>
    <row r="1073" spans="1:18" ht="15" customHeight="1" x14ac:dyDescent="0.25">
      <c r="A1073" s="564">
        <v>12</v>
      </c>
      <c r="B1073" s="564">
        <v>4</v>
      </c>
      <c r="C1073" s="564">
        <v>2</v>
      </c>
      <c r="D1073" s="564">
        <v>1</v>
      </c>
      <c r="E1073" s="564">
        <v>2</v>
      </c>
      <c r="F1073" s="564">
        <v>2</v>
      </c>
      <c r="G1073" s="564" t="s">
        <v>491</v>
      </c>
      <c r="H1073" s="564">
        <v>1304.1099999999999</v>
      </c>
      <c r="I1073" s="564">
        <v>89</v>
      </c>
      <c r="J1073" s="564">
        <v>54</v>
      </c>
      <c r="K1073" s="564">
        <v>57</v>
      </c>
      <c r="L1073" s="564">
        <v>1</v>
      </c>
      <c r="M1073" s="561" t="s">
        <v>137</v>
      </c>
      <c r="N1073" s="651">
        <v>4304756738</v>
      </c>
      <c r="O1073" s="564" t="s">
        <v>686</v>
      </c>
      <c r="P1073" s="564" t="s">
        <v>1696</v>
      </c>
      <c r="Q1073" s="564"/>
      <c r="R1073" s="564">
        <v>1</v>
      </c>
    </row>
    <row r="1074" spans="1:18" ht="15" customHeight="1" x14ac:dyDescent="0.25">
      <c r="A1074" s="564">
        <v>12</v>
      </c>
      <c r="B1074" s="564">
        <v>4</v>
      </c>
      <c r="C1074" s="564">
        <v>2</v>
      </c>
      <c r="D1074" s="564">
        <v>1</v>
      </c>
      <c r="E1074" s="564">
        <v>2</v>
      </c>
      <c r="F1074" s="564">
        <v>2</v>
      </c>
      <c r="G1074" s="564" t="s">
        <v>494</v>
      </c>
      <c r="H1074" s="564">
        <v>1304.1099999999999</v>
      </c>
      <c r="I1074" s="564">
        <v>89</v>
      </c>
      <c r="J1074" s="564">
        <v>54</v>
      </c>
      <c r="K1074" s="564">
        <v>57</v>
      </c>
      <c r="L1074" s="564">
        <v>1</v>
      </c>
      <c r="M1074" s="561" t="s">
        <v>137</v>
      </c>
      <c r="N1074" s="651">
        <v>4304756738</v>
      </c>
      <c r="O1074" s="564" t="s">
        <v>686</v>
      </c>
      <c r="P1074" s="564" t="s">
        <v>1697</v>
      </c>
      <c r="Q1074" s="564"/>
      <c r="R1074" s="564">
        <v>1</v>
      </c>
    </row>
    <row r="1075" spans="1:18" ht="15" customHeight="1" x14ac:dyDescent="0.25">
      <c r="A1075" s="553">
        <v>13</v>
      </c>
      <c r="B1075" s="553">
        <v>7</v>
      </c>
      <c r="C1075" s="553">
        <v>2</v>
      </c>
      <c r="D1075" s="553">
        <v>20</v>
      </c>
      <c r="E1075" s="553">
        <v>1</v>
      </c>
      <c r="F1075" s="553">
        <v>1</v>
      </c>
      <c r="G1075" s="553" t="s">
        <v>473</v>
      </c>
      <c r="H1075" s="553">
        <v>1322.98</v>
      </c>
      <c r="I1075" s="553">
        <v>0</v>
      </c>
      <c r="J1075" s="553">
        <v>34</v>
      </c>
      <c r="K1075" s="553">
        <v>35</v>
      </c>
      <c r="L1075" s="553">
        <v>4</v>
      </c>
      <c r="M1075" s="505" t="s">
        <v>1698</v>
      </c>
      <c r="N1075" s="500">
        <v>43047562430000</v>
      </c>
      <c r="O1075" s="553" t="s">
        <v>1699</v>
      </c>
      <c r="P1075" s="650" t="s">
        <v>1700</v>
      </c>
      <c r="Q1075" s="564" t="s">
        <v>583</v>
      </c>
      <c r="R1075" s="564">
        <v>2</v>
      </c>
    </row>
    <row r="1076" spans="1:18" ht="15" customHeight="1" x14ac:dyDescent="0.25">
      <c r="A1076" s="553">
        <v>13</v>
      </c>
      <c r="B1076" s="553">
        <v>7</v>
      </c>
      <c r="C1076" s="553">
        <v>2</v>
      </c>
      <c r="D1076" s="553">
        <v>20</v>
      </c>
      <c r="E1076" s="553">
        <v>1</v>
      </c>
      <c r="F1076" s="553">
        <v>1</v>
      </c>
      <c r="G1076" s="502" t="s">
        <v>476</v>
      </c>
      <c r="H1076" s="553">
        <v>1326.92</v>
      </c>
      <c r="I1076" s="553">
        <v>0</v>
      </c>
      <c r="J1076" s="553">
        <v>33</v>
      </c>
      <c r="K1076" s="553">
        <v>46</v>
      </c>
      <c r="L1076" s="553">
        <v>4</v>
      </c>
      <c r="M1076" s="505" t="s">
        <v>312</v>
      </c>
      <c r="N1076" s="500">
        <v>43047562430000</v>
      </c>
      <c r="O1076" s="553" t="s">
        <v>1699</v>
      </c>
      <c r="P1076" s="650" t="s">
        <v>1701</v>
      </c>
      <c r="Q1076" s="564" t="s">
        <v>583</v>
      </c>
      <c r="R1076" s="564">
        <v>2</v>
      </c>
    </row>
    <row r="1077" spans="1:18" ht="15" customHeight="1" x14ac:dyDescent="0.25">
      <c r="A1077" s="553">
        <v>13</v>
      </c>
      <c r="B1077" s="553">
        <v>7</v>
      </c>
      <c r="C1077" s="553">
        <v>2</v>
      </c>
      <c r="D1077" s="553">
        <v>20</v>
      </c>
      <c r="E1077" s="553">
        <v>1</v>
      </c>
      <c r="F1077" s="553">
        <v>1</v>
      </c>
      <c r="G1077" s="553" t="s">
        <v>478</v>
      </c>
      <c r="H1077" s="553">
        <v>1328.24</v>
      </c>
      <c r="I1077" s="553">
        <v>2</v>
      </c>
      <c r="J1077" s="553">
        <v>34</v>
      </c>
      <c r="K1077" s="553">
        <v>32</v>
      </c>
      <c r="L1077" s="553">
        <v>4</v>
      </c>
      <c r="M1077" s="505" t="s">
        <v>312</v>
      </c>
      <c r="N1077" s="500">
        <v>43047562430000</v>
      </c>
      <c r="O1077" s="553" t="s">
        <v>1699</v>
      </c>
      <c r="P1077" s="650" t="s">
        <v>1702</v>
      </c>
      <c r="Q1077" s="564" t="s">
        <v>583</v>
      </c>
      <c r="R1077" s="564">
        <v>2</v>
      </c>
    </row>
    <row r="1078" spans="1:18" ht="15" customHeight="1" x14ac:dyDescent="0.25">
      <c r="A1078" s="553">
        <v>13</v>
      </c>
      <c r="B1078" s="553">
        <v>7</v>
      </c>
      <c r="C1078" s="553">
        <v>2</v>
      </c>
      <c r="D1078" s="553">
        <v>20</v>
      </c>
      <c r="E1078" s="553">
        <v>1</v>
      </c>
      <c r="F1078" s="553">
        <v>1</v>
      </c>
      <c r="G1078" s="553" t="s">
        <v>484</v>
      </c>
      <c r="H1078" s="553">
        <v>1331.91</v>
      </c>
      <c r="I1078" s="553">
        <v>2</v>
      </c>
      <c r="J1078" s="553">
        <v>37</v>
      </c>
      <c r="K1078" s="553">
        <v>53</v>
      </c>
      <c r="L1078" s="553">
        <v>4</v>
      </c>
      <c r="M1078" s="505" t="s">
        <v>312</v>
      </c>
      <c r="N1078" s="500">
        <v>43047562430000</v>
      </c>
      <c r="O1078" s="553" t="s">
        <v>1699</v>
      </c>
      <c r="P1078" s="650" t="s">
        <v>1703</v>
      </c>
      <c r="Q1078" s="564" t="s">
        <v>583</v>
      </c>
      <c r="R1078" s="564">
        <v>2</v>
      </c>
    </row>
    <row r="1079" spans="1:18" ht="15" customHeight="1" x14ac:dyDescent="0.25">
      <c r="A1079" s="553">
        <v>13</v>
      </c>
      <c r="B1079" s="553">
        <v>7</v>
      </c>
      <c r="C1079" s="553">
        <v>2</v>
      </c>
      <c r="D1079" s="553">
        <v>20</v>
      </c>
      <c r="E1079" s="553">
        <v>1</v>
      </c>
      <c r="F1079" s="553">
        <v>1</v>
      </c>
      <c r="G1079" s="553" t="s">
        <v>486</v>
      </c>
      <c r="H1079" s="553">
        <v>1329.25</v>
      </c>
      <c r="I1079" s="553">
        <v>1</v>
      </c>
      <c r="J1079" s="553">
        <v>38</v>
      </c>
      <c r="K1079" s="553">
        <v>17</v>
      </c>
      <c r="L1079" s="553">
        <v>4</v>
      </c>
      <c r="M1079" s="505" t="s">
        <v>312</v>
      </c>
      <c r="N1079" s="500">
        <v>43047562430000</v>
      </c>
      <c r="O1079" s="553" t="s">
        <v>1699</v>
      </c>
      <c r="P1079" s="650" t="s">
        <v>1704</v>
      </c>
      <c r="Q1079" s="564" t="s">
        <v>583</v>
      </c>
      <c r="R1079" s="564">
        <v>2</v>
      </c>
    </row>
    <row r="1080" spans="1:18" ht="15" customHeight="1" x14ac:dyDescent="0.25">
      <c r="A1080" s="553">
        <v>13</v>
      </c>
      <c r="B1080" s="553">
        <v>7</v>
      </c>
      <c r="C1080" s="553">
        <v>2</v>
      </c>
      <c r="D1080" s="553">
        <v>20</v>
      </c>
      <c r="E1080" s="553">
        <v>1</v>
      </c>
      <c r="F1080" s="553">
        <v>1</v>
      </c>
      <c r="G1080" s="502" t="s">
        <v>488</v>
      </c>
      <c r="H1080" s="553">
        <v>1329.25</v>
      </c>
      <c r="I1080" s="553">
        <v>1</v>
      </c>
      <c r="J1080" s="553">
        <v>38</v>
      </c>
      <c r="K1080" s="553">
        <v>17</v>
      </c>
      <c r="L1080" s="553">
        <v>4</v>
      </c>
      <c r="M1080" s="505" t="s">
        <v>312</v>
      </c>
      <c r="N1080" s="500">
        <v>43047562430000</v>
      </c>
      <c r="O1080" s="553" t="s">
        <v>1699</v>
      </c>
      <c r="P1080" s="650" t="s">
        <v>1705</v>
      </c>
      <c r="Q1080" s="564" t="s">
        <v>583</v>
      </c>
      <c r="R1080" s="564">
        <v>2</v>
      </c>
    </row>
    <row r="1081" spans="1:18" ht="15" customHeight="1" x14ac:dyDescent="0.25">
      <c r="A1081" s="553">
        <v>13</v>
      </c>
      <c r="B1081" s="553">
        <v>7</v>
      </c>
      <c r="C1081" s="553">
        <v>2</v>
      </c>
      <c r="D1081" s="553">
        <v>20</v>
      </c>
      <c r="E1081" s="553">
        <v>1</v>
      </c>
      <c r="F1081" s="553">
        <v>1</v>
      </c>
      <c r="G1081" s="553" t="s">
        <v>490</v>
      </c>
      <c r="H1081" s="553">
        <v>1329.145</v>
      </c>
      <c r="I1081" s="553">
        <v>1</v>
      </c>
      <c r="J1081" s="553">
        <v>38</v>
      </c>
      <c r="K1081" s="553">
        <v>27</v>
      </c>
      <c r="L1081" s="553">
        <v>4</v>
      </c>
      <c r="M1081" s="505" t="s">
        <v>312</v>
      </c>
      <c r="N1081" s="500">
        <v>43047562430000</v>
      </c>
      <c r="O1081" s="553" t="s">
        <v>1699</v>
      </c>
      <c r="P1081" s="650" t="s">
        <v>1706</v>
      </c>
      <c r="Q1081" s="564" t="s">
        <v>583</v>
      </c>
      <c r="R1081" s="564">
        <v>2</v>
      </c>
    </row>
    <row r="1082" spans="1:18" ht="15" customHeight="1" x14ac:dyDescent="0.25">
      <c r="A1082" s="553">
        <v>13</v>
      </c>
      <c r="B1082" s="553">
        <v>7</v>
      </c>
      <c r="C1082" s="553">
        <v>2</v>
      </c>
      <c r="D1082" s="553">
        <v>20</v>
      </c>
      <c r="E1082" s="553">
        <v>1</v>
      </c>
      <c r="F1082" s="553">
        <v>1</v>
      </c>
      <c r="G1082" s="553" t="s">
        <v>493</v>
      </c>
      <c r="H1082" s="553">
        <v>1329.145</v>
      </c>
      <c r="I1082" s="553">
        <v>1</v>
      </c>
      <c r="J1082" s="553">
        <v>38</v>
      </c>
      <c r="K1082" s="553">
        <v>27</v>
      </c>
      <c r="L1082" s="553">
        <v>4</v>
      </c>
      <c r="M1082" s="505" t="s">
        <v>312</v>
      </c>
      <c r="N1082" s="500">
        <v>43047562430000</v>
      </c>
      <c r="O1082" s="553" t="s">
        <v>1699</v>
      </c>
      <c r="P1082" s="650" t="s">
        <v>1707</v>
      </c>
      <c r="Q1082" s="564" t="s">
        <v>583</v>
      </c>
      <c r="R1082" s="564">
        <v>2</v>
      </c>
    </row>
    <row r="1083" spans="1:18" ht="15" customHeight="1" x14ac:dyDescent="0.25">
      <c r="A1083" s="553">
        <v>13</v>
      </c>
      <c r="B1083" s="553">
        <v>7</v>
      </c>
      <c r="C1083" s="553">
        <v>2</v>
      </c>
      <c r="D1083" s="553">
        <v>20</v>
      </c>
      <c r="E1083" s="553">
        <v>1</v>
      </c>
      <c r="F1083" s="553">
        <v>1</v>
      </c>
      <c r="G1083" s="553" t="s">
        <v>474</v>
      </c>
      <c r="H1083" s="553">
        <v>1314.6</v>
      </c>
      <c r="I1083" s="553">
        <v>87</v>
      </c>
      <c r="J1083" s="553">
        <v>42</v>
      </c>
      <c r="K1083" s="553">
        <v>17</v>
      </c>
      <c r="L1083" s="553">
        <v>3</v>
      </c>
      <c r="M1083" s="505" t="s">
        <v>312</v>
      </c>
      <c r="N1083" s="500">
        <v>43047562430000</v>
      </c>
      <c r="O1083" s="553" t="s">
        <v>1699</v>
      </c>
      <c r="P1083" s="650" t="s">
        <v>1708</v>
      </c>
      <c r="Q1083" s="564" t="s">
        <v>583</v>
      </c>
      <c r="R1083" s="564">
        <v>2</v>
      </c>
    </row>
    <row r="1084" spans="1:18" ht="15" customHeight="1" x14ac:dyDescent="0.25">
      <c r="A1084" s="553">
        <v>13</v>
      </c>
      <c r="B1084" s="553">
        <v>7</v>
      </c>
      <c r="C1084" s="553">
        <v>2</v>
      </c>
      <c r="D1084" s="553">
        <v>20</v>
      </c>
      <c r="E1084" s="553">
        <v>1</v>
      </c>
      <c r="F1084" s="553">
        <v>1</v>
      </c>
      <c r="G1084" s="502" t="s">
        <v>477</v>
      </c>
      <c r="H1084" s="553">
        <v>1351.17</v>
      </c>
      <c r="I1084" s="553">
        <v>88</v>
      </c>
      <c r="J1084" s="553">
        <v>7</v>
      </c>
      <c r="K1084" s="553">
        <v>53</v>
      </c>
      <c r="L1084" s="553">
        <v>3</v>
      </c>
      <c r="M1084" s="505" t="s">
        <v>312</v>
      </c>
      <c r="N1084" s="500">
        <v>43047562430000</v>
      </c>
      <c r="O1084" s="553" t="s">
        <v>1699</v>
      </c>
      <c r="P1084" s="650" t="s">
        <v>1709</v>
      </c>
      <c r="Q1084" s="564" t="s">
        <v>583</v>
      </c>
      <c r="R1084" s="564">
        <v>2</v>
      </c>
    </row>
    <row r="1085" spans="1:18" ht="15" customHeight="1" x14ac:dyDescent="0.25">
      <c r="A1085" s="553">
        <v>13</v>
      </c>
      <c r="B1085" s="553">
        <v>7</v>
      </c>
      <c r="C1085" s="553">
        <v>2</v>
      </c>
      <c r="D1085" s="553">
        <v>20</v>
      </c>
      <c r="E1085" s="553">
        <v>1</v>
      </c>
      <c r="F1085" s="553">
        <v>1</v>
      </c>
      <c r="G1085" s="553" t="s">
        <v>479</v>
      </c>
      <c r="H1085" s="553">
        <v>1344.36</v>
      </c>
      <c r="I1085" s="553">
        <v>87</v>
      </c>
      <c r="J1085" s="553">
        <v>27</v>
      </c>
      <c r="K1085" s="553">
        <v>52</v>
      </c>
      <c r="L1085" s="553">
        <v>3</v>
      </c>
      <c r="M1085" s="505" t="s">
        <v>312</v>
      </c>
      <c r="N1085" s="500">
        <v>43047562430000</v>
      </c>
      <c r="O1085" s="553" t="s">
        <v>1699</v>
      </c>
      <c r="P1085" s="650" t="s">
        <v>1710</v>
      </c>
      <c r="Q1085" s="564" t="s">
        <v>583</v>
      </c>
      <c r="R1085" s="564">
        <v>2</v>
      </c>
    </row>
    <row r="1086" spans="1:18" ht="15" customHeight="1" x14ac:dyDescent="0.25">
      <c r="A1086" s="553">
        <v>13</v>
      </c>
      <c r="B1086" s="553">
        <v>7</v>
      </c>
      <c r="C1086" s="553">
        <v>2</v>
      </c>
      <c r="D1086" s="553">
        <v>20</v>
      </c>
      <c r="E1086" s="553">
        <v>1</v>
      </c>
      <c r="F1086" s="553">
        <v>1</v>
      </c>
      <c r="G1086" s="553" t="s">
        <v>485</v>
      </c>
      <c r="H1086" s="553">
        <v>1344.36</v>
      </c>
      <c r="I1086" s="553">
        <v>87</v>
      </c>
      <c r="J1086" s="553">
        <v>27</v>
      </c>
      <c r="K1086" s="553">
        <v>52</v>
      </c>
      <c r="L1086" s="553">
        <v>3</v>
      </c>
      <c r="M1086" s="505" t="s">
        <v>312</v>
      </c>
      <c r="N1086" s="500">
        <v>43047562430000</v>
      </c>
      <c r="O1086" s="553" t="s">
        <v>1699</v>
      </c>
      <c r="P1086" s="650" t="s">
        <v>1711</v>
      </c>
      <c r="Q1086" s="564" t="s">
        <v>583</v>
      </c>
      <c r="R1086" s="564">
        <v>2</v>
      </c>
    </row>
    <row r="1087" spans="1:18" ht="15" customHeight="1" x14ac:dyDescent="0.25">
      <c r="A1087" s="553">
        <v>13</v>
      </c>
      <c r="B1087" s="553">
        <v>7</v>
      </c>
      <c r="C1087" s="553">
        <v>2</v>
      </c>
      <c r="D1087" s="553">
        <v>20</v>
      </c>
      <c r="E1087" s="553">
        <v>1</v>
      </c>
      <c r="F1087" s="553">
        <v>1</v>
      </c>
      <c r="G1087" s="553" t="s">
        <v>487</v>
      </c>
      <c r="H1087" s="553">
        <v>1365.68</v>
      </c>
      <c r="I1087" s="553">
        <v>88</v>
      </c>
      <c r="J1087" s="553">
        <v>45</v>
      </c>
      <c r="K1087" s="553">
        <v>30</v>
      </c>
      <c r="L1087" s="553">
        <v>3</v>
      </c>
      <c r="M1087" s="505" t="s">
        <v>312</v>
      </c>
      <c r="N1087" s="500">
        <v>43047562430000</v>
      </c>
      <c r="O1087" s="553" t="s">
        <v>1699</v>
      </c>
      <c r="P1087" s="650" t="s">
        <v>1712</v>
      </c>
      <c r="Q1087" s="564" t="s">
        <v>583</v>
      </c>
      <c r="R1087" s="564">
        <v>2</v>
      </c>
    </row>
    <row r="1088" spans="1:18" ht="15" customHeight="1" x14ac:dyDescent="0.25">
      <c r="A1088" s="553">
        <v>13</v>
      </c>
      <c r="B1088" s="553">
        <v>7</v>
      </c>
      <c r="C1088" s="553">
        <v>2</v>
      </c>
      <c r="D1088" s="553">
        <v>20</v>
      </c>
      <c r="E1088" s="553">
        <v>1</v>
      </c>
      <c r="F1088" s="553">
        <v>1</v>
      </c>
      <c r="G1088" s="502" t="s">
        <v>489</v>
      </c>
      <c r="H1088" s="553">
        <v>1365.92</v>
      </c>
      <c r="I1088" s="553">
        <v>88</v>
      </c>
      <c r="J1088" s="553">
        <v>44</v>
      </c>
      <c r="K1088" s="553">
        <v>41</v>
      </c>
      <c r="L1088" s="553">
        <v>3</v>
      </c>
      <c r="M1088" s="505" t="s">
        <v>312</v>
      </c>
      <c r="N1088" s="500">
        <v>43047562430000</v>
      </c>
      <c r="O1088" s="553" t="s">
        <v>1699</v>
      </c>
      <c r="P1088" s="650" t="s">
        <v>1713</v>
      </c>
      <c r="Q1088" s="564" t="s">
        <v>583</v>
      </c>
      <c r="R1088" s="564">
        <v>2</v>
      </c>
    </row>
    <row r="1089" spans="1:18" ht="15" customHeight="1" x14ac:dyDescent="0.25">
      <c r="A1089" s="553">
        <v>13</v>
      </c>
      <c r="B1089" s="553">
        <v>7</v>
      </c>
      <c r="C1089" s="553">
        <v>2</v>
      </c>
      <c r="D1089" s="553">
        <v>20</v>
      </c>
      <c r="E1089" s="553">
        <v>1</v>
      </c>
      <c r="F1089" s="553">
        <v>1</v>
      </c>
      <c r="G1089" s="553" t="s">
        <v>491</v>
      </c>
      <c r="H1089" s="553">
        <v>1314.77</v>
      </c>
      <c r="I1089" s="553">
        <v>86</v>
      </c>
      <c r="J1089" s="553">
        <v>45</v>
      </c>
      <c r="K1089" s="553">
        <v>41</v>
      </c>
      <c r="L1089" s="553">
        <v>3</v>
      </c>
      <c r="M1089" s="505" t="s">
        <v>312</v>
      </c>
      <c r="N1089" s="500">
        <v>43047562430000</v>
      </c>
      <c r="O1089" s="553" t="s">
        <v>1699</v>
      </c>
      <c r="P1089" s="650" t="s">
        <v>1714</v>
      </c>
      <c r="Q1089" s="564" t="s">
        <v>583</v>
      </c>
      <c r="R1089" s="564">
        <v>2</v>
      </c>
    </row>
    <row r="1090" spans="1:18" ht="15" customHeight="1" x14ac:dyDescent="0.25">
      <c r="A1090" s="553">
        <v>13</v>
      </c>
      <c r="B1090" s="553">
        <v>7</v>
      </c>
      <c r="C1090" s="553">
        <v>2</v>
      </c>
      <c r="D1090" s="553">
        <v>20</v>
      </c>
      <c r="E1090" s="553">
        <v>1</v>
      </c>
      <c r="F1090" s="553">
        <v>1</v>
      </c>
      <c r="G1090" s="553" t="s">
        <v>494</v>
      </c>
      <c r="H1090" s="553">
        <v>1313.51</v>
      </c>
      <c r="I1090" s="553">
        <v>86</v>
      </c>
      <c r="J1090" s="553">
        <v>45</v>
      </c>
      <c r="K1090" s="553">
        <v>7</v>
      </c>
      <c r="L1090" s="553">
        <v>3</v>
      </c>
      <c r="M1090" s="505" t="s">
        <v>312</v>
      </c>
      <c r="N1090" s="500">
        <v>43047562430000</v>
      </c>
      <c r="O1090" s="553" t="s">
        <v>1699</v>
      </c>
      <c r="P1090" s="650" t="s">
        <v>1715</v>
      </c>
      <c r="Q1090" s="564" t="s">
        <v>583</v>
      </c>
      <c r="R1090" s="564">
        <v>2</v>
      </c>
    </row>
    <row r="1091" spans="1:18" s="484" customFormat="1" ht="15" customHeight="1" x14ac:dyDescent="0.25">
      <c r="A1091" s="553">
        <v>13</v>
      </c>
      <c r="B1091" s="553">
        <v>2</v>
      </c>
      <c r="C1091" s="553">
        <v>2</v>
      </c>
      <c r="D1091" s="553">
        <v>3</v>
      </c>
      <c r="E1091" s="553">
        <v>2</v>
      </c>
      <c r="F1091" s="553">
        <v>2</v>
      </c>
      <c r="G1091" s="553" t="s">
        <v>473</v>
      </c>
      <c r="H1091" s="553">
        <v>1317.02</v>
      </c>
      <c r="I1091" s="553">
        <v>0</v>
      </c>
      <c r="J1091" s="553">
        <v>45</v>
      </c>
      <c r="K1091" s="553">
        <v>40</v>
      </c>
      <c r="L1091" s="553">
        <v>4</v>
      </c>
      <c r="M1091" s="505" t="s">
        <v>137</v>
      </c>
      <c r="N1091" s="500">
        <v>43013538440000</v>
      </c>
      <c r="O1091" s="553" t="s">
        <v>1716</v>
      </c>
      <c r="P1091" s="650" t="s">
        <v>1717</v>
      </c>
      <c r="Q1091" s="564" t="s">
        <v>583</v>
      </c>
      <c r="R1091" s="564">
        <v>1</v>
      </c>
    </row>
    <row r="1092" spans="1:18" s="484" customFormat="1" ht="15" customHeight="1" x14ac:dyDescent="0.25">
      <c r="A1092" s="553">
        <v>13</v>
      </c>
      <c r="B1092" s="553">
        <v>2</v>
      </c>
      <c r="C1092" s="553">
        <v>2</v>
      </c>
      <c r="D1092" s="553">
        <v>3</v>
      </c>
      <c r="E1092" s="553">
        <v>2</v>
      </c>
      <c r="F1092" s="553">
        <v>2</v>
      </c>
      <c r="G1092" s="502" t="s">
        <v>476</v>
      </c>
      <c r="H1092" s="553">
        <v>1359.78</v>
      </c>
      <c r="I1092" s="553">
        <v>0</v>
      </c>
      <c r="J1092" s="553">
        <v>35</v>
      </c>
      <c r="K1092" s="553">
        <v>48</v>
      </c>
      <c r="L1092" s="553">
        <v>4</v>
      </c>
      <c r="M1092" s="505" t="s">
        <v>137</v>
      </c>
      <c r="N1092" s="500">
        <v>43013538440000</v>
      </c>
      <c r="O1092" s="553" t="s">
        <v>1716</v>
      </c>
      <c r="P1092" s="650" t="s">
        <v>1718</v>
      </c>
      <c r="Q1092" s="564" t="s">
        <v>583</v>
      </c>
      <c r="R1092" s="564">
        <v>1</v>
      </c>
    </row>
    <row r="1093" spans="1:18" s="484" customFormat="1" ht="15" customHeight="1" x14ac:dyDescent="0.25">
      <c r="A1093" s="553">
        <v>13</v>
      </c>
      <c r="B1093" s="553">
        <v>2</v>
      </c>
      <c r="C1093" s="553">
        <v>2</v>
      </c>
      <c r="D1093" s="553">
        <v>3</v>
      </c>
      <c r="E1093" s="553">
        <v>2</v>
      </c>
      <c r="F1093" s="553">
        <v>2</v>
      </c>
      <c r="G1093" s="553" t="s">
        <v>478</v>
      </c>
      <c r="H1093" s="553">
        <v>1317.84</v>
      </c>
      <c r="I1093" s="553">
        <v>1</v>
      </c>
      <c r="J1093" s="553">
        <v>30</v>
      </c>
      <c r="K1093" s="553">
        <v>12</v>
      </c>
      <c r="L1093" s="553">
        <v>4</v>
      </c>
      <c r="M1093" s="505" t="s">
        <v>137</v>
      </c>
      <c r="N1093" s="500">
        <v>43013538440000</v>
      </c>
      <c r="O1093" s="553" t="s">
        <v>1716</v>
      </c>
      <c r="P1093" s="650" t="s">
        <v>1719</v>
      </c>
      <c r="Q1093" s="564" t="s">
        <v>583</v>
      </c>
      <c r="R1093" s="564">
        <v>1</v>
      </c>
    </row>
    <row r="1094" spans="1:18" s="484" customFormat="1" ht="15" customHeight="1" x14ac:dyDescent="0.25">
      <c r="A1094" s="553">
        <v>13</v>
      </c>
      <c r="B1094" s="553">
        <v>2</v>
      </c>
      <c r="C1094" s="553">
        <v>2</v>
      </c>
      <c r="D1094" s="553">
        <v>3</v>
      </c>
      <c r="E1094" s="553">
        <v>2</v>
      </c>
      <c r="F1094" s="553">
        <v>2</v>
      </c>
      <c r="G1094" s="553" t="s">
        <v>484</v>
      </c>
      <c r="H1094" s="553">
        <v>1329.57</v>
      </c>
      <c r="I1094" s="553">
        <v>1</v>
      </c>
      <c r="J1094" s="553">
        <v>3</v>
      </c>
      <c r="K1094" s="553">
        <v>22</v>
      </c>
      <c r="L1094" s="553">
        <v>4</v>
      </c>
      <c r="M1094" s="505" t="s">
        <v>137</v>
      </c>
      <c r="N1094" s="500">
        <v>43013538440000</v>
      </c>
      <c r="O1094" s="553" t="s">
        <v>1716</v>
      </c>
      <c r="P1094" s="650" t="s">
        <v>1720</v>
      </c>
      <c r="Q1094" s="564" t="s">
        <v>583</v>
      </c>
      <c r="R1094" s="564">
        <v>1</v>
      </c>
    </row>
    <row r="1095" spans="1:18" s="484" customFormat="1" ht="15" customHeight="1" x14ac:dyDescent="0.25">
      <c r="A1095" s="553">
        <v>13</v>
      </c>
      <c r="B1095" s="553">
        <v>2</v>
      </c>
      <c r="C1095" s="553">
        <v>2</v>
      </c>
      <c r="D1095" s="553">
        <v>3</v>
      </c>
      <c r="E1095" s="553">
        <v>2</v>
      </c>
      <c r="F1095" s="553">
        <v>2</v>
      </c>
      <c r="G1095" s="553" t="s">
        <v>486</v>
      </c>
      <c r="H1095" s="553">
        <v>1314.655</v>
      </c>
      <c r="I1095" s="553">
        <v>0</v>
      </c>
      <c r="J1095" s="553">
        <v>12</v>
      </c>
      <c r="K1095" s="553">
        <v>40</v>
      </c>
      <c r="L1095" s="553">
        <v>3</v>
      </c>
      <c r="M1095" s="505" t="s">
        <v>137</v>
      </c>
      <c r="N1095" s="500">
        <v>43013538440000</v>
      </c>
      <c r="O1095" s="553" t="s">
        <v>1716</v>
      </c>
      <c r="P1095" s="650" t="s">
        <v>1721</v>
      </c>
      <c r="Q1095" s="564" t="s">
        <v>583</v>
      </c>
      <c r="R1095" s="564">
        <v>1</v>
      </c>
    </row>
    <row r="1096" spans="1:18" s="484" customFormat="1" ht="15" customHeight="1" x14ac:dyDescent="0.25">
      <c r="A1096" s="553">
        <v>13</v>
      </c>
      <c r="B1096" s="553">
        <v>2</v>
      </c>
      <c r="C1096" s="553">
        <v>2</v>
      </c>
      <c r="D1096" s="553">
        <v>3</v>
      </c>
      <c r="E1096" s="553">
        <v>2</v>
      </c>
      <c r="F1096" s="553">
        <v>2</v>
      </c>
      <c r="G1096" s="502" t="s">
        <v>488</v>
      </c>
      <c r="H1096" s="553">
        <v>1314.655</v>
      </c>
      <c r="I1096" s="553">
        <v>0</v>
      </c>
      <c r="J1096" s="553">
        <v>12</v>
      </c>
      <c r="K1096" s="553">
        <v>40</v>
      </c>
      <c r="L1096" s="553">
        <v>3</v>
      </c>
      <c r="M1096" s="505" t="s">
        <v>137</v>
      </c>
      <c r="N1096" s="500">
        <v>43013538440000</v>
      </c>
      <c r="O1096" s="553" t="s">
        <v>1716</v>
      </c>
      <c r="P1096" s="650" t="s">
        <v>1722</v>
      </c>
      <c r="Q1096" s="564" t="s">
        <v>583</v>
      </c>
      <c r="R1096" s="564">
        <v>1</v>
      </c>
    </row>
    <row r="1097" spans="1:18" s="484" customFormat="1" ht="15" customHeight="1" x14ac:dyDescent="0.25">
      <c r="A1097" s="553">
        <v>13</v>
      </c>
      <c r="B1097" s="553">
        <v>2</v>
      </c>
      <c r="C1097" s="553">
        <v>2</v>
      </c>
      <c r="D1097" s="553">
        <v>3</v>
      </c>
      <c r="E1097" s="553">
        <v>2</v>
      </c>
      <c r="F1097" s="553">
        <v>2</v>
      </c>
      <c r="G1097" s="553" t="s">
        <v>490</v>
      </c>
      <c r="H1097" s="553">
        <v>1325.365</v>
      </c>
      <c r="I1097" s="553">
        <v>0</v>
      </c>
      <c r="J1097" s="553">
        <v>11</v>
      </c>
      <c r="K1097" s="553">
        <v>20</v>
      </c>
      <c r="L1097" s="553">
        <v>3</v>
      </c>
      <c r="M1097" s="505" t="s">
        <v>137</v>
      </c>
      <c r="N1097" s="500">
        <v>43013538440000</v>
      </c>
      <c r="O1097" s="553" t="s">
        <v>1716</v>
      </c>
      <c r="P1097" s="650" t="s">
        <v>1723</v>
      </c>
      <c r="Q1097" s="564" t="s">
        <v>583</v>
      </c>
      <c r="R1097" s="564">
        <v>1</v>
      </c>
    </row>
    <row r="1098" spans="1:18" s="484" customFormat="1" ht="15" customHeight="1" x14ac:dyDescent="0.25">
      <c r="A1098" s="553">
        <v>13</v>
      </c>
      <c r="B1098" s="553">
        <v>2</v>
      </c>
      <c r="C1098" s="553">
        <v>2</v>
      </c>
      <c r="D1098" s="553">
        <v>3</v>
      </c>
      <c r="E1098" s="553">
        <v>2</v>
      </c>
      <c r="F1098" s="553">
        <v>2</v>
      </c>
      <c r="G1098" s="553" t="s">
        <v>493</v>
      </c>
      <c r="H1098" s="553">
        <v>1325.365</v>
      </c>
      <c r="I1098" s="553">
        <v>0</v>
      </c>
      <c r="J1098" s="553">
        <v>11</v>
      </c>
      <c r="K1098" s="553">
        <v>20</v>
      </c>
      <c r="L1098" s="553">
        <v>3</v>
      </c>
      <c r="M1098" s="505" t="s">
        <v>137</v>
      </c>
      <c r="N1098" s="500">
        <v>43013538440000</v>
      </c>
      <c r="O1098" s="553" t="s">
        <v>1716</v>
      </c>
      <c r="P1098" s="650" t="s">
        <v>1724</v>
      </c>
      <c r="Q1098" s="564" t="s">
        <v>583</v>
      </c>
      <c r="R1098" s="564">
        <v>1</v>
      </c>
    </row>
    <row r="1099" spans="1:18" s="484" customFormat="1" ht="15" customHeight="1" x14ac:dyDescent="0.25">
      <c r="A1099" s="553">
        <v>13</v>
      </c>
      <c r="B1099" s="553">
        <v>2</v>
      </c>
      <c r="C1099" s="553">
        <v>2</v>
      </c>
      <c r="D1099" s="553">
        <v>3</v>
      </c>
      <c r="E1099" s="553">
        <v>2</v>
      </c>
      <c r="F1099" s="553">
        <v>2</v>
      </c>
      <c r="G1099" s="553" t="s">
        <v>474</v>
      </c>
      <c r="H1099" s="553">
        <v>1312.18</v>
      </c>
      <c r="I1099" s="553">
        <v>89</v>
      </c>
      <c r="J1099" s="553">
        <v>55</v>
      </c>
      <c r="K1099" s="553">
        <v>31</v>
      </c>
      <c r="L1099" s="553">
        <v>2</v>
      </c>
      <c r="M1099" s="505" t="s">
        <v>137</v>
      </c>
      <c r="N1099" s="500">
        <v>43013538440000</v>
      </c>
      <c r="O1099" s="553" t="s">
        <v>1716</v>
      </c>
      <c r="P1099" s="650" t="s">
        <v>1725</v>
      </c>
      <c r="Q1099" s="564" t="s">
        <v>583</v>
      </c>
      <c r="R1099" s="564">
        <v>1</v>
      </c>
    </row>
    <row r="1100" spans="1:18" s="484" customFormat="1" ht="15" customHeight="1" x14ac:dyDescent="0.25">
      <c r="A1100" s="553">
        <v>13</v>
      </c>
      <c r="B1100" s="553">
        <v>2</v>
      </c>
      <c r="C1100" s="553">
        <v>2</v>
      </c>
      <c r="D1100" s="553">
        <v>3</v>
      </c>
      <c r="E1100" s="553">
        <v>2</v>
      </c>
      <c r="F1100" s="553">
        <v>2</v>
      </c>
      <c r="G1100" s="502" t="s">
        <v>477</v>
      </c>
      <c r="H1100" s="553">
        <v>1312.18</v>
      </c>
      <c r="I1100" s="553">
        <v>89</v>
      </c>
      <c r="J1100" s="553">
        <v>55</v>
      </c>
      <c r="K1100" s="553">
        <v>31</v>
      </c>
      <c r="L1100" s="553">
        <v>2</v>
      </c>
      <c r="M1100" s="505" t="s">
        <v>137</v>
      </c>
      <c r="N1100" s="500">
        <v>43013538440000</v>
      </c>
      <c r="O1100" s="553" t="s">
        <v>1716</v>
      </c>
      <c r="P1100" s="650" t="s">
        <v>1726</v>
      </c>
      <c r="Q1100" s="564" t="s">
        <v>583</v>
      </c>
      <c r="R1100" s="564">
        <v>1</v>
      </c>
    </row>
    <row r="1101" spans="1:18" s="484" customFormat="1" ht="15" customHeight="1" x14ac:dyDescent="0.25">
      <c r="A1101" s="553">
        <v>13</v>
      </c>
      <c r="B1101" s="553">
        <v>2</v>
      </c>
      <c r="C1101" s="553">
        <v>2</v>
      </c>
      <c r="D1101" s="553">
        <v>3</v>
      </c>
      <c r="E1101" s="553">
        <v>2</v>
      </c>
      <c r="F1101" s="553">
        <v>2</v>
      </c>
      <c r="G1101" s="553" t="s">
        <v>479</v>
      </c>
      <c r="H1101" s="553">
        <v>1312.38</v>
      </c>
      <c r="I1101" s="553">
        <v>89</v>
      </c>
      <c r="J1101" s="553">
        <v>55</v>
      </c>
      <c r="K1101" s="553">
        <v>26</v>
      </c>
      <c r="L1101" s="553">
        <v>3</v>
      </c>
      <c r="M1101" s="505" t="s">
        <v>137</v>
      </c>
      <c r="N1101" s="500">
        <v>43013538440000</v>
      </c>
      <c r="O1101" s="553" t="s">
        <v>1716</v>
      </c>
      <c r="P1101" s="650" t="s">
        <v>1727</v>
      </c>
      <c r="Q1101" s="564" t="s">
        <v>583</v>
      </c>
      <c r="R1101" s="564">
        <v>1</v>
      </c>
    </row>
    <row r="1102" spans="1:18" s="484" customFormat="1" ht="15" customHeight="1" x14ac:dyDescent="0.25">
      <c r="A1102" s="553">
        <v>13</v>
      </c>
      <c r="B1102" s="553">
        <v>2</v>
      </c>
      <c r="C1102" s="553">
        <v>2</v>
      </c>
      <c r="D1102" s="553">
        <v>3</v>
      </c>
      <c r="E1102" s="553">
        <v>2</v>
      </c>
      <c r="F1102" s="553">
        <v>2</v>
      </c>
      <c r="G1102" s="553" t="s">
        <v>485</v>
      </c>
      <c r="H1102" s="553">
        <v>1312.06</v>
      </c>
      <c r="I1102" s="553">
        <v>89</v>
      </c>
      <c r="J1102" s="553">
        <v>54</v>
      </c>
      <c r="K1102" s="553">
        <v>15</v>
      </c>
      <c r="L1102" s="553">
        <v>2</v>
      </c>
      <c r="M1102" s="505" t="s">
        <v>137</v>
      </c>
      <c r="N1102" s="500">
        <v>43013538440000</v>
      </c>
      <c r="O1102" s="553" t="s">
        <v>1716</v>
      </c>
      <c r="P1102" s="650" t="s">
        <v>1728</v>
      </c>
      <c r="Q1102" s="564" t="s">
        <v>583</v>
      </c>
      <c r="R1102" s="564">
        <v>1</v>
      </c>
    </row>
    <row r="1103" spans="1:18" s="484" customFormat="1" ht="15" customHeight="1" x14ac:dyDescent="0.25">
      <c r="A1103" s="553">
        <v>13</v>
      </c>
      <c r="B1103" s="553">
        <v>2</v>
      </c>
      <c r="C1103" s="553">
        <v>2</v>
      </c>
      <c r="D1103" s="553">
        <v>3</v>
      </c>
      <c r="E1103" s="553">
        <v>2</v>
      </c>
      <c r="F1103" s="553">
        <v>2</v>
      </c>
      <c r="G1103" s="553" t="s">
        <v>487</v>
      </c>
      <c r="H1103" s="553">
        <v>1312.46</v>
      </c>
      <c r="I1103" s="553">
        <v>89</v>
      </c>
      <c r="J1103" s="553">
        <v>47</v>
      </c>
      <c r="K1103" s="553">
        <v>39</v>
      </c>
      <c r="L1103" s="553">
        <v>1</v>
      </c>
      <c r="M1103" s="505" t="s">
        <v>137</v>
      </c>
      <c r="N1103" s="500">
        <v>43013538440000</v>
      </c>
      <c r="O1103" s="553" t="s">
        <v>1716</v>
      </c>
      <c r="P1103" s="650" t="s">
        <v>1729</v>
      </c>
      <c r="Q1103" s="564" t="s">
        <v>583</v>
      </c>
      <c r="R1103" s="564">
        <v>1</v>
      </c>
    </row>
    <row r="1104" spans="1:18" s="484" customFormat="1" ht="15" customHeight="1" x14ac:dyDescent="0.25">
      <c r="A1104" s="553">
        <v>13</v>
      </c>
      <c r="B1104" s="553">
        <v>2</v>
      </c>
      <c r="C1104" s="553">
        <v>2</v>
      </c>
      <c r="D1104" s="553">
        <v>3</v>
      </c>
      <c r="E1104" s="553">
        <v>2</v>
      </c>
      <c r="F1104" s="553">
        <v>2</v>
      </c>
      <c r="G1104" s="502" t="s">
        <v>489</v>
      </c>
      <c r="H1104" s="553">
        <v>1312.47</v>
      </c>
      <c r="I1104" s="553">
        <v>89</v>
      </c>
      <c r="J1104" s="553">
        <v>47</v>
      </c>
      <c r="K1104" s="553">
        <v>22</v>
      </c>
      <c r="L1104" s="553">
        <v>1</v>
      </c>
      <c r="M1104" s="505" t="s">
        <v>137</v>
      </c>
      <c r="N1104" s="500">
        <v>43013538440000</v>
      </c>
      <c r="O1104" s="553" t="s">
        <v>1716</v>
      </c>
      <c r="P1104" s="650" t="s">
        <v>1730</v>
      </c>
      <c r="Q1104" s="564" t="s">
        <v>583</v>
      </c>
      <c r="R1104" s="564">
        <v>1</v>
      </c>
    </row>
    <row r="1105" spans="1:18" s="484" customFormat="1" ht="15" customHeight="1" x14ac:dyDescent="0.25">
      <c r="A1105" s="553">
        <v>13</v>
      </c>
      <c r="B1105" s="553">
        <v>2</v>
      </c>
      <c r="C1105" s="553">
        <v>2</v>
      </c>
      <c r="D1105" s="553">
        <v>3</v>
      </c>
      <c r="E1105" s="553">
        <v>2</v>
      </c>
      <c r="F1105" s="553">
        <v>2</v>
      </c>
      <c r="G1105" s="553" t="s">
        <v>491</v>
      </c>
      <c r="H1105" s="553">
        <v>1312.32</v>
      </c>
      <c r="I1105" s="553">
        <v>89</v>
      </c>
      <c r="J1105" s="553">
        <v>48</v>
      </c>
      <c r="K1105" s="553">
        <v>36</v>
      </c>
      <c r="L1105" s="553">
        <v>1</v>
      </c>
      <c r="M1105" s="505" t="s">
        <v>137</v>
      </c>
      <c r="N1105" s="500">
        <v>43013538440000</v>
      </c>
      <c r="O1105" s="553" t="s">
        <v>1716</v>
      </c>
      <c r="P1105" s="650" t="s">
        <v>1731</v>
      </c>
      <c r="Q1105" s="564" t="s">
        <v>583</v>
      </c>
      <c r="R1105" s="564">
        <v>1</v>
      </c>
    </row>
    <row r="1106" spans="1:18" s="484" customFormat="1" ht="15" customHeight="1" x14ac:dyDescent="0.25">
      <c r="A1106" s="553">
        <v>13</v>
      </c>
      <c r="B1106" s="553">
        <v>2</v>
      </c>
      <c r="C1106" s="553">
        <v>2</v>
      </c>
      <c r="D1106" s="553">
        <v>3</v>
      </c>
      <c r="E1106" s="553">
        <v>2</v>
      </c>
      <c r="F1106" s="553">
        <v>2</v>
      </c>
      <c r="G1106" s="553" t="s">
        <v>494</v>
      </c>
      <c r="H1106" s="553">
        <v>1312.32</v>
      </c>
      <c r="I1106" s="553">
        <v>89</v>
      </c>
      <c r="J1106" s="553">
        <v>48</v>
      </c>
      <c r="K1106" s="553">
        <v>36</v>
      </c>
      <c r="L1106" s="553">
        <v>1</v>
      </c>
      <c r="M1106" s="505" t="s">
        <v>137</v>
      </c>
      <c r="N1106" s="500">
        <v>43013538440000</v>
      </c>
      <c r="O1106" s="553" t="s">
        <v>1716</v>
      </c>
      <c r="P1106" s="650" t="s">
        <v>1732</v>
      </c>
      <c r="Q1106" s="564" t="s">
        <v>583</v>
      </c>
      <c r="R1106" s="564">
        <v>1</v>
      </c>
    </row>
    <row r="1107" spans="1:18" ht="15" customHeight="1" x14ac:dyDescent="0.25">
      <c r="A1107" s="553">
        <v>13</v>
      </c>
      <c r="B1107" s="553">
        <v>3</v>
      </c>
      <c r="C1107" s="553">
        <v>2</v>
      </c>
      <c r="D1107" s="553">
        <v>5</v>
      </c>
      <c r="E1107" s="553">
        <v>2</v>
      </c>
      <c r="F1107" s="553">
        <v>2</v>
      </c>
      <c r="G1107" s="553" t="s">
        <v>473</v>
      </c>
      <c r="H1107" s="553">
        <v>1321.26</v>
      </c>
      <c r="I1107" s="553">
        <v>0</v>
      </c>
      <c r="J1107" s="553">
        <v>5</v>
      </c>
      <c r="K1107" s="553">
        <v>4</v>
      </c>
      <c r="L1107" s="553">
        <v>4</v>
      </c>
      <c r="M1107" s="505" t="s">
        <v>137</v>
      </c>
      <c r="N1107" s="500">
        <v>43013532800000</v>
      </c>
      <c r="O1107" s="553" t="s">
        <v>1733</v>
      </c>
      <c r="P1107" s="650" t="s">
        <v>1734</v>
      </c>
      <c r="Q1107" s="564" t="s">
        <v>583</v>
      </c>
      <c r="R1107" s="564">
        <v>2</v>
      </c>
    </row>
    <row r="1108" spans="1:18" ht="15" customHeight="1" x14ac:dyDescent="0.25">
      <c r="A1108" s="553">
        <v>13</v>
      </c>
      <c r="B1108" s="553">
        <v>3</v>
      </c>
      <c r="C1108" s="553">
        <v>2</v>
      </c>
      <c r="D1108" s="553">
        <v>5</v>
      </c>
      <c r="E1108" s="553">
        <v>2</v>
      </c>
      <c r="F1108" s="553">
        <v>2</v>
      </c>
      <c r="G1108" s="502" t="s">
        <v>476</v>
      </c>
      <c r="H1108" s="553">
        <v>1321.26</v>
      </c>
      <c r="I1108" s="553">
        <v>0</v>
      </c>
      <c r="J1108" s="553">
        <v>5</v>
      </c>
      <c r="K1108" s="553">
        <v>4</v>
      </c>
      <c r="L1108" s="553">
        <v>4</v>
      </c>
      <c r="M1108" s="505" t="s">
        <v>137</v>
      </c>
      <c r="N1108" s="500">
        <v>43013532800000</v>
      </c>
      <c r="O1108" s="553" t="s">
        <v>1733</v>
      </c>
      <c r="P1108" s="650" t="s">
        <v>1735</v>
      </c>
      <c r="Q1108" s="564" t="s">
        <v>583</v>
      </c>
      <c r="R1108" s="564">
        <v>2</v>
      </c>
    </row>
    <row r="1109" spans="1:18" ht="15" customHeight="1" x14ac:dyDescent="0.25">
      <c r="A1109" s="553">
        <v>13</v>
      </c>
      <c r="B1109" s="553">
        <v>3</v>
      </c>
      <c r="C1109" s="553">
        <v>2</v>
      </c>
      <c r="D1109" s="553">
        <v>5</v>
      </c>
      <c r="E1109" s="553">
        <v>2</v>
      </c>
      <c r="F1109" s="553">
        <v>2</v>
      </c>
      <c r="G1109" s="553" t="s">
        <v>478</v>
      </c>
      <c r="H1109" s="553">
        <v>1324.36</v>
      </c>
      <c r="I1109" s="553">
        <v>0</v>
      </c>
      <c r="J1109" s="553">
        <v>32</v>
      </c>
      <c r="K1109" s="553">
        <v>34</v>
      </c>
      <c r="L1109" s="553">
        <v>4</v>
      </c>
      <c r="M1109" s="505" t="s">
        <v>137</v>
      </c>
      <c r="N1109" s="500">
        <v>43013532800000</v>
      </c>
      <c r="O1109" s="553" t="s">
        <v>1733</v>
      </c>
      <c r="P1109" s="650" t="s">
        <v>1736</v>
      </c>
      <c r="Q1109" s="564" t="s">
        <v>583</v>
      </c>
      <c r="R1109" s="564">
        <v>2</v>
      </c>
    </row>
    <row r="1110" spans="1:18" ht="15" customHeight="1" x14ac:dyDescent="0.25">
      <c r="A1110" s="553">
        <v>13</v>
      </c>
      <c r="B1110" s="553">
        <v>3</v>
      </c>
      <c r="C1110" s="553">
        <v>2</v>
      </c>
      <c r="D1110" s="553">
        <v>5</v>
      </c>
      <c r="E1110" s="553">
        <v>2</v>
      </c>
      <c r="F1110" s="553">
        <v>2</v>
      </c>
      <c r="G1110" s="553" t="s">
        <v>484</v>
      </c>
      <c r="H1110" s="553">
        <v>1324.36</v>
      </c>
      <c r="I1110" s="553">
        <v>0</v>
      </c>
      <c r="J1110" s="553">
        <v>32</v>
      </c>
      <c r="K1110" s="553">
        <v>34</v>
      </c>
      <c r="L1110" s="553">
        <v>4</v>
      </c>
      <c r="M1110" s="505" t="s">
        <v>137</v>
      </c>
      <c r="N1110" s="500">
        <v>43013532800000</v>
      </c>
      <c r="O1110" s="553" t="s">
        <v>1733</v>
      </c>
      <c r="P1110" s="650" t="s">
        <v>1737</v>
      </c>
      <c r="Q1110" s="564" t="s">
        <v>583</v>
      </c>
      <c r="R1110" s="564">
        <v>2</v>
      </c>
    </row>
    <row r="1111" spans="1:18" ht="15" customHeight="1" x14ac:dyDescent="0.25">
      <c r="A1111" s="553">
        <v>13</v>
      </c>
      <c r="B1111" s="553">
        <v>3</v>
      </c>
      <c r="C1111" s="553">
        <v>2</v>
      </c>
      <c r="D1111" s="553">
        <v>5</v>
      </c>
      <c r="E1111" s="553">
        <v>2</v>
      </c>
      <c r="F1111" s="553">
        <v>2</v>
      </c>
      <c r="G1111" s="553" t="s">
        <v>486</v>
      </c>
      <c r="H1111" s="553">
        <v>1317.0350000000001</v>
      </c>
      <c r="I1111" s="553">
        <v>0</v>
      </c>
      <c r="J1111" s="553">
        <v>5</v>
      </c>
      <c r="K1111" s="553">
        <v>42</v>
      </c>
      <c r="L1111" s="553">
        <v>4</v>
      </c>
      <c r="M1111" s="505" t="s">
        <v>137</v>
      </c>
      <c r="N1111" s="500">
        <v>43013532800000</v>
      </c>
      <c r="O1111" s="553" t="s">
        <v>1733</v>
      </c>
      <c r="P1111" s="650" t="s">
        <v>1738</v>
      </c>
      <c r="Q1111" s="564" t="s">
        <v>583</v>
      </c>
      <c r="R1111" s="564">
        <v>2</v>
      </c>
    </row>
    <row r="1112" spans="1:18" ht="15" customHeight="1" x14ac:dyDescent="0.25">
      <c r="A1112" s="553">
        <v>13</v>
      </c>
      <c r="B1112" s="553">
        <v>3</v>
      </c>
      <c r="C1112" s="553">
        <v>2</v>
      </c>
      <c r="D1112" s="553">
        <v>5</v>
      </c>
      <c r="E1112" s="553">
        <v>2</v>
      </c>
      <c r="F1112" s="553">
        <v>2</v>
      </c>
      <c r="G1112" s="502" t="s">
        <v>488</v>
      </c>
      <c r="H1112" s="553">
        <v>1317.0350000000001</v>
      </c>
      <c r="I1112" s="553">
        <v>0</v>
      </c>
      <c r="J1112" s="553">
        <v>5</v>
      </c>
      <c r="K1112" s="553">
        <v>42</v>
      </c>
      <c r="L1112" s="553">
        <v>4</v>
      </c>
      <c r="M1112" s="505" t="s">
        <v>137</v>
      </c>
      <c r="N1112" s="500">
        <v>43013532800000</v>
      </c>
      <c r="O1112" s="553" t="s">
        <v>1733</v>
      </c>
      <c r="P1112" s="650" t="s">
        <v>1739</v>
      </c>
      <c r="Q1112" s="564" t="s">
        <v>583</v>
      </c>
      <c r="R1112" s="564">
        <v>2</v>
      </c>
    </row>
    <row r="1113" spans="1:18" ht="15" customHeight="1" x14ac:dyDescent="0.25">
      <c r="A1113" s="553">
        <v>13</v>
      </c>
      <c r="B1113" s="553">
        <v>3</v>
      </c>
      <c r="C1113" s="553">
        <v>2</v>
      </c>
      <c r="D1113" s="553">
        <v>5</v>
      </c>
      <c r="E1113" s="553">
        <v>2</v>
      </c>
      <c r="F1113" s="553">
        <v>2</v>
      </c>
      <c r="G1113" s="553" t="s">
        <v>490</v>
      </c>
      <c r="H1113" s="553">
        <v>1322.31</v>
      </c>
      <c r="I1113" s="553">
        <v>0</v>
      </c>
      <c r="J1113" s="553">
        <v>5</v>
      </c>
      <c r="K1113" s="553">
        <v>42</v>
      </c>
      <c r="L1113" s="553">
        <v>4</v>
      </c>
      <c r="M1113" s="505" t="s">
        <v>137</v>
      </c>
      <c r="N1113" s="500">
        <v>43013532800000</v>
      </c>
      <c r="O1113" s="553" t="s">
        <v>1733</v>
      </c>
      <c r="P1113" s="650" t="s">
        <v>1740</v>
      </c>
      <c r="Q1113" s="564" t="s">
        <v>583</v>
      </c>
      <c r="R1113" s="564">
        <v>2</v>
      </c>
    </row>
    <row r="1114" spans="1:18" ht="15" customHeight="1" x14ac:dyDescent="0.25">
      <c r="A1114" s="553">
        <v>13</v>
      </c>
      <c r="B1114" s="553">
        <v>3</v>
      </c>
      <c r="C1114" s="553">
        <v>2</v>
      </c>
      <c r="D1114" s="553">
        <v>5</v>
      </c>
      <c r="E1114" s="553">
        <v>2</v>
      </c>
      <c r="F1114" s="553">
        <v>2</v>
      </c>
      <c r="G1114" s="553" t="s">
        <v>493</v>
      </c>
      <c r="H1114" s="553">
        <v>1322.31</v>
      </c>
      <c r="I1114" s="553">
        <v>0</v>
      </c>
      <c r="J1114" s="553">
        <v>5</v>
      </c>
      <c r="K1114" s="553">
        <v>42</v>
      </c>
      <c r="L1114" s="553">
        <v>4</v>
      </c>
      <c r="M1114" s="505" t="s">
        <v>137</v>
      </c>
      <c r="N1114" s="500">
        <v>43013532800000</v>
      </c>
      <c r="O1114" s="553" t="s">
        <v>1733</v>
      </c>
      <c r="P1114" s="650" t="s">
        <v>1741</v>
      </c>
      <c r="Q1114" s="564" t="s">
        <v>583</v>
      </c>
      <c r="R1114" s="564">
        <v>2</v>
      </c>
    </row>
    <row r="1115" spans="1:18" ht="15" customHeight="1" x14ac:dyDescent="0.25">
      <c r="A1115" s="553">
        <v>13</v>
      </c>
      <c r="B1115" s="553">
        <v>3</v>
      </c>
      <c r="C1115" s="553">
        <v>2</v>
      </c>
      <c r="D1115" s="553">
        <v>5</v>
      </c>
      <c r="E1115" s="553">
        <v>2</v>
      </c>
      <c r="F1115" s="553">
        <v>2</v>
      </c>
      <c r="G1115" s="553" t="s">
        <v>474</v>
      </c>
      <c r="H1115" s="553">
        <v>1324.7850000000001</v>
      </c>
      <c r="I1115" s="553">
        <v>89</v>
      </c>
      <c r="J1115" s="553">
        <v>44</v>
      </c>
      <c r="K1115" s="553">
        <v>35</v>
      </c>
      <c r="L1115" s="553">
        <v>3</v>
      </c>
      <c r="M1115" s="505" t="s">
        <v>137</v>
      </c>
      <c r="N1115" s="500">
        <v>43013532800000</v>
      </c>
      <c r="O1115" s="553" t="s">
        <v>1733</v>
      </c>
      <c r="P1115" s="650" t="s">
        <v>1742</v>
      </c>
      <c r="Q1115" s="564" t="s">
        <v>583</v>
      </c>
      <c r="R1115" s="564">
        <v>2</v>
      </c>
    </row>
    <row r="1116" spans="1:18" ht="15" customHeight="1" x14ac:dyDescent="0.25">
      <c r="A1116" s="553">
        <v>13</v>
      </c>
      <c r="B1116" s="553">
        <v>3</v>
      </c>
      <c r="C1116" s="553">
        <v>2</v>
      </c>
      <c r="D1116" s="553">
        <v>5</v>
      </c>
      <c r="E1116" s="553">
        <v>2</v>
      </c>
      <c r="F1116" s="553">
        <v>2</v>
      </c>
      <c r="G1116" s="502" t="s">
        <v>477</v>
      </c>
      <c r="H1116" s="553">
        <v>1324.7850000000001</v>
      </c>
      <c r="I1116" s="553">
        <v>89</v>
      </c>
      <c r="J1116" s="553">
        <v>44</v>
      </c>
      <c r="K1116" s="553">
        <v>35</v>
      </c>
      <c r="L1116" s="553">
        <v>3</v>
      </c>
      <c r="M1116" s="505" t="s">
        <v>137</v>
      </c>
      <c r="N1116" s="500">
        <v>43013532800000</v>
      </c>
      <c r="O1116" s="553" t="s">
        <v>1733</v>
      </c>
      <c r="P1116" s="650" t="s">
        <v>1743</v>
      </c>
      <c r="Q1116" s="564" t="s">
        <v>583</v>
      </c>
      <c r="R1116" s="564">
        <v>2</v>
      </c>
    </row>
    <row r="1117" spans="1:18" ht="15" customHeight="1" x14ac:dyDescent="0.25">
      <c r="A1117" s="553">
        <v>13</v>
      </c>
      <c r="B1117" s="553">
        <v>3</v>
      </c>
      <c r="C1117" s="553">
        <v>2</v>
      </c>
      <c r="D1117" s="553">
        <v>5</v>
      </c>
      <c r="E1117" s="553">
        <v>2</v>
      </c>
      <c r="F1117" s="553">
        <v>2</v>
      </c>
      <c r="G1117" s="553" t="s">
        <v>479</v>
      </c>
      <c r="H1117" s="553">
        <v>1324.78</v>
      </c>
      <c r="I1117" s="553">
        <v>89</v>
      </c>
      <c r="J1117" s="553">
        <v>46</v>
      </c>
      <c r="K1117" s="553">
        <v>42</v>
      </c>
      <c r="L1117" s="553">
        <v>3</v>
      </c>
      <c r="M1117" s="505" t="s">
        <v>137</v>
      </c>
      <c r="N1117" s="500">
        <v>43013532800000</v>
      </c>
      <c r="O1117" s="553" t="s">
        <v>1733</v>
      </c>
      <c r="P1117" s="650" t="s">
        <v>1744</v>
      </c>
      <c r="Q1117" s="564" t="s">
        <v>583</v>
      </c>
      <c r="R1117" s="564">
        <v>2</v>
      </c>
    </row>
    <row r="1118" spans="1:18" ht="15" customHeight="1" x14ac:dyDescent="0.25">
      <c r="A1118" s="553">
        <v>13</v>
      </c>
      <c r="B1118" s="553">
        <v>3</v>
      </c>
      <c r="C1118" s="553">
        <v>2</v>
      </c>
      <c r="D1118" s="553">
        <v>5</v>
      </c>
      <c r="E1118" s="553">
        <v>2</v>
      </c>
      <c r="F1118" s="553">
        <v>2</v>
      </c>
      <c r="G1118" s="553" t="s">
        <v>485</v>
      </c>
      <c r="H1118" s="553">
        <v>1324.78</v>
      </c>
      <c r="I1118" s="553">
        <v>89</v>
      </c>
      <c r="J1118" s="553">
        <v>46</v>
      </c>
      <c r="K1118" s="553">
        <v>42</v>
      </c>
      <c r="L1118" s="553">
        <v>3</v>
      </c>
      <c r="M1118" s="505" t="s">
        <v>137</v>
      </c>
      <c r="N1118" s="500">
        <v>43013532800000</v>
      </c>
      <c r="O1118" s="553" t="s">
        <v>1733</v>
      </c>
      <c r="P1118" s="650" t="s">
        <v>1745</v>
      </c>
      <c r="Q1118" s="564" t="s">
        <v>583</v>
      </c>
      <c r="R1118" s="564">
        <v>2</v>
      </c>
    </row>
    <row r="1119" spans="1:18" ht="15" customHeight="1" x14ac:dyDescent="0.25">
      <c r="A1119" s="553">
        <v>13</v>
      </c>
      <c r="B1119" s="553">
        <v>3</v>
      </c>
      <c r="C1119" s="553">
        <v>2</v>
      </c>
      <c r="D1119" s="553">
        <v>5</v>
      </c>
      <c r="E1119" s="553">
        <v>2</v>
      </c>
      <c r="F1119" s="553">
        <v>2</v>
      </c>
      <c r="G1119" s="553" t="s">
        <v>487</v>
      </c>
      <c r="H1119" s="553">
        <v>1319.74</v>
      </c>
      <c r="I1119" s="553">
        <v>89</v>
      </c>
      <c r="J1119" s="553">
        <v>37</v>
      </c>
      <c r="K1119" s="553">
        <v>30</v>
      </c>
      <c r="L1119" s="553">
        <v>3</v>
      </c>
      <c r="M1119" s="505" t="s">
        <v>137</v>
      </c>
      <c r="N1119" s="500">
        <v>43013532800000</v>
      </c>
      <c r="O1119" s="553" t="s">
        <v>1733</v>
      </c>
      <c r="P1119" s="650" t="s">
        <v>1746</v>
      </c>
      <c r="Q1119" s="564" t="s">
        <v>583</v>
      </c>
      <c r="R1119" s="564">
        <v>2</v>
      </c>
    </row>
    <row r="1120" spans="1:18" ht="15" customHeight="1" x14ac:dyDescent="0.25">
      <c r="A1120" s="553">
        <v>13</v>
      </c>
      <c r="B1120" s="553">
        <v>3</v>
      </c>
      <c r="C1120" s="553">
        <v>2</v>
      </c>
      <c r="D1120" s="553">
        <v>5</v>
      </c>
      <c r="E1120" s="553">
        <v>2</v>
      </c>
      <c r="F1120" s="553">
        <v>2</v>
      </c>
      <c r="G1120" s="502" t="s">
        <v>489</v>
      </c>
      <c r="H1120" s="553">
        <v>1319.74</v>
      </c>
      <c r="I1120" s="553">
        <v>89</v>
      </c>
      <c r="J1120" s="553">
        <v>37</v>
      </c>
      <c r="K1120" s="553">
        <v>30</v>
      </c>
      <c r="L1120" s="553">
        <v>3</v>
      </c>
      <c r="M1120" s="505" t="s">
        <v>137</v>
      </c>
      <c r="N1120" s="500">
        <v>43013532800000</v>
      </c>
      <c r="O1120" s="553" t="s">
        <v>1733</v>
      </c>
      <c r="P1120" s="650" t="s">
        <v>1747</v>
      </c>
      <c r="Q1120" s="564" t="s">
        <v>583</v>
      </c>
      <c r="R1120" s="564">
        <v>2</v>
      </c>
    </row>
    <row r="1121" spans="1:18" ht="15" customHeight="1" x14ac:dyDescent="0.25">
      <c r="A1121" s="553">
        <v>13</v>
      </c>
      <c r="B1121" s="553">
        <v>3</v>
      </c>
      <c r="C1121" s="553">
        <v>2</v>
      </c>
      <c r="D1121" s="553">
        <v>5</v>
      </c>
      <c r="E1121" s="553">
        <v>2</v>
      </c>
      <c r="F1121" s="553">
        <v>2</v>
      </c>
      <c r="G1121" s="553" t="s">
        <v>491</v>
      </c>
      <c r="H1121" s="553">
        <v>1319.74</v>
      </c>
      <c r="I1121" s="553">
        <v>89</v>
      </c>
      <c r="J1121" s="553">
        <v>37</v>
      </c>
      <c r="K1121" s="553">
        <v>30</v>
      </c>
      <c r="L1121" s="553">
        <v>3</v>
      </c>
      <c r="M1121" s="505" t="s">
        <v>137</v>
      </c>
      <c r="N1121" s="500">
        <v>43013532800000</v>
      </c>
      <c r="O1121" s="553" t="s">
        <v>1733</v>
      </c>
      <c r="P1121" s="650" t="s">
        <v>1748</v>
      </c>
      <c r="Q1121" s="564" t="s">
        <v>583</v>
      </c>
      <c r="R1121" s="564">
        <v>2</v>
      </c>
    </row>
    <row r="1122" spans="1:18" ht="15" customHeight="1" x14ac:dyDescent="0.25">
      <c r="A1122" s="553">
        <v>13</v>
      </c>
      <c r="B1122" s="553">
        <v>3</v>
      </c>
      <c r="C1122" s="553">
        <v>2</v>
      </c>
      <c r="D1122" s="553">
        <v>5</v>
      </c>
      <c r="E1122" s="553">
        <v>2</v>
      </c>
      <c r="F1122" s="553">
        <v>2</v>
      </c>
      <c r="G1122" s="553" t="s">
        <v>494</v>
      </c>
      <c r="H1122" s="553">
        <v>1319.74</v>
      </c>
      <c r="I1122" s="553">
        <v>89</v>
      </c>
      <c r="J1122" s="553">
        <v>37</v>
      </c>
      <c r="K1122" s="553">
        <v>30</v>
      </c>
      <c r="L1122" s="553">
        <v>3</v>
      </c>
      <c r="M1122" s="505" t="s">
        <v>137</v>
      </c>
      <c r="N1122" s="500">
        <v>43013532800000</v>
      </c>
      <c r="O1122" s="553" t="s">
        <v>1733</v>
      </c>
      <c r="P1122" s="650" t="s">
        <v>1749</v>
      </c>
      <c r="Q1122" s="564" t="s">
        <v>583</v>
      </c>
      <c r="R1122" s="564">
        <v>2</v>
      </c>
    </row>
    <row r="1123" spans="1:18" ht="15" customHeight="1" x14ac:dyDescent="0.25">
      <c r="A1123" s="553">
        <v>13</v>
      </c>
      <c r="B1123" s="553">
        <v>3</v>
      </c>
      <c r="C1123" s="553">
        <v>2</v>
      </c>
      <c r="D1123" s="553">
        <v>4</v>
      </c>
      <c r="E1123" s="553">
        <v>2</v>
      </c>
      <c r="F1123" s="553">
        <v>2</v>
      </c>
      <c r="G1123" s="553" t="s">
        <v>473</v>
      </c>
      <c r="H1123" s="553">
        <v>1321.23</v>
      </c>
      <c r="I1123" s="517">
        <v>0</v>
      </c>
      <c r="J1123" s="553">
        <v>4</v>
      </c>
      <c r="K1123" s="553">
        <v>20</v>
      </c>
      <c r="L1123" s="553">
        <v>1</v>
      </c>
      <c r="M1123" s="561" t="s">
        <v>137</v>
      </c>
      <c r="N1123" s="500"/>
      <c r="O1123" s="564"/>
      <c r="P1123" s="564" t="s">
        <v>1750</v>
      </c>
      <c r="Q1123" s="564"/>
      <c r="R1123" s="564">
        <v>1</v>
      </c>
    </row>
    <row r="1124" spans="1:18" ht="15" customHeight="1" x14ac:dyDescent="0.25">
      <c r="A1124" s="553">
        <v>13</v>
      </c>
      <c r="B1124" s="553">
        <v>3</v>
      </c>
      <c r="C1124" s="553">
        <v>2</v>
      </c>
      <c r="D1124" s="553">
        <v>4</v>
      </c>
      <c r="E1124" s="553">
        <v>2</v>
      </c>
      <c r="F1124" s="553">
        <v>2</v>
      </c>
      <c r="G1124" s="502" t="s">
        <v>476</v>
      </c>
      <c r="H1124" s="553">
        <v>1321.23</v>
      </c>
      <c r="I1124" s="517">
        <v>0</v>
      </c>
      <c r="J1124" s="553">
        <v>4</v>
      </c>
      <c r="K1124" s="553">
        <v>20</v>
      </c>
      <c r="L1124" s="553">
        <v>1</v>
      </c>
      <c r="M1124" s="561" t="s">
        <v>137</v>
      </c>
      <c r="N1124" s="500"/>
      <c r="O1124" s="564"/>
      <c r="P1124" s="564" t="s">
        <v>1751</v>
      </c>
      <c r="Q1124" s="564"/>
      <c r="R1124" s="564">
        <v>1</v>
      </c>
    </row>
    <row r="1125" spans="1:18" ht="15" customHeight="1" x14ac:dyDescent="0.25">
      <c r="A1125" s="553">
        <v>13</v>
      </c>
      <c r="B1125" s="553">
        <v>3</v>
      </c>
      <c r="C1125" s="553">
        <v>2</v>
      </c>
      <c r="D1125" s="553">
        <v>4</v>
      </c>
      <c r="E1125" s="553">
        <v>2</v>
      </c>
      <c r="F1125" s="553">
        <v>2</v>
      </c>
      <c r="G1125" s="553" t="s">
        <v>478</v>
      </c>
      <c r="H1125" s="553">
        <v>1324.3</v>
      </c>
      <c r="I1125" s="517">
        <v>0</v>
      </c>
      <c r="J1125" s="553">
        <v>31</v>
      </c>
      <c r="K1125" s="553">
        <v>56</v>
      </c>
      <c r="L1125" s="553">
        <v>1</v>
      </c>
      <c r="M1125" s="561" t="s">
        <v>137</v>
      </c>
      <c r="N1125" s="500"/>
      <c r="O1125" s="564"/>
      <c r="P1125" s="564" t="s">
        <v>1752</v>
      </c>
      <c r="Q1125" s="564"/>
      <c r="R1125" s="564">
        <v>1</v>
      </c>
    </row>
    <row r="1126" spans="1:18" ht="15" customHeight="1" x14ac:dyDescent="0.25">
      <c r="A1126" s="553">
        <v>13</v>
      </c>
      <c r="B1126" s="553">
        <v>3</v>
      </c>
      <c r="C1126" s="553">
        <v>2</v>
      </c>
      <c r="D1126" s="553">
        <v>4</v>
      </c>
      <c r="E1126" s="553">
        <v>2</v>
      </c>
      <c r="F1126" s="553">
        <v>2</v>
      </c>
      <c r="G1126" s="553" t="s">
        <v>484</v>
      </c>
      <c r="H1126" s="553">
        <v>1324.3</v>
      </c>
      <c r="I1126" s="517">
        <v>0</v>
      </c>
      <c r="J1126" s="553">
        <v>31</v>
      </c>
      <c r="K1126" s="553">
        <v>56</v>
      </c>
      <c r="L1126" s="553">
        <v>1</v>
      </c>
      <c r="M1126" s="561" t="s">
        <v>137</v>
      </c>
      <c r="N1126" s="500"/>
      <c r="O1126" s="564"/>
      <c r="P1126" s="564" t="s">
        <v>1753</v>
      </c>
      <c r="Q1126" s="564"/>
      <c r="R1126" s="564">
        <v>1</v>
      </c>
    </row>
    <row r="1127" spans="1:18" ht="15" customHeight="1" x14ac:dyDescent="0.25">
      <c r="A1127" s="553">
        <v>13</v>
      </c>
      <c r="B1127" s="553">
        <v>3</v>
      </c>
      <c r="C1127" s="553">
        <v>2</v>
      </c>
      <c r="D1127" s="553">
        <v>4</v>
      </c>
      <c r="E1127" s="553">
        <v>2</v>
      </c>
      <c r="F1127" s="553">
        <v>2</v>
      </c>
      <c r="G1127" s="553" t="s">
        <v>486</v>
      </c>
      <c r="H1127" s="553">
        <v>1316.9949999999999</v>
      </c>
      <c r="I1127" s="517">
        <v>0</v>
      </c>
      <c r="J1127" s="553">
        <v>4</v>
      </c>
      <c r="K1127" s="553">
        <v>55</v>
      </c>
      <c r="L1127" s="553">
        <v>4</v>
      </c>
      <c r="M1127" s="561" t="s">
        <v>137</v>
      </c>
      <c r="N1127" s="500"/>
      <c r="O1127" s="564"/>
      <c r="P1127" s="564" t="s">
        <v>1754</v>
      </c>
      <c r="Q1127" s="564"/>
      <c r="R1127" s="564">
        <v>1</v>
      </c>
    </row>
    <row r="1128" spans="1:18" ht="15" customHeight="1" x14ac:dyDescent="0.25">
      <c r="A1128" s="553">
        <v>13</v>
      </c>
      <c r="B1128" s="553">
        <v>3</v>
      </c>
      <c r="C1128" s="553">
        <v>2</v>
      </c>
      <c r="D1128" s="553">
        <v>4</v>
      </c>
      <c r="E1128" s="553">
        <v>2</v>
      </c>
      <c r="F1128" s="553">
        <v>2</v>
      </c>
      <c r="G1128" s="502" t="s">
        <v>488</v>
      </c>
      <c r="H1128" s="553">
        <v>1316.9949999999999</v>
      </c>
      <c r="I1128" s="517">
        <v>0</v>
      </c>
      <c r="J1128" s="553">
        <v>4</v>
      </c>
      <c r="K1128" s="553">
        <v>55</v>
      </c>
      <c r="L1128" s="553">
        <v>4</v>
      </c>
      <c r="M1128" s="561" t="s">
        <v>137</v>
      </c>
      <c r="N1128" s="500"/>
      <c r="O1128" s="564"/>
      <c r="P1128" s="564" t="s">
        <v>1755</v>
      </c>
      <c r="Q1128" s="564"/>
      <c r="R1128" s="564">
        <v>1</v>
      </c>
    </row>
    <row r="1129" spans="1:18" ht="15" customHeight="1" x14ac:dyDescent="0.25">
      <c r="A1129" s="553">
        <v>13</v>
      </c>
      <c r="B1129" s="553">
        <v>3</v>
      </c>
      <c r="C1129" s="553">
        <v>2</v>
      </c>
      <c r="D1129" s="553">
        <v>4</v>
      </c>
      <c r="E1129" s="553">
        <v>2</v>
      </c>
      <c r="F1129" s="553">
        <v>2</v>
      </c>
      <c r="G1129" s="553" t="s">
        <v>490</v>
      </c>
      <c r="H1129" s="553">
        <v>1322.2950000000001</v>
      </c>
      <c r="I1129" s="517">
        <v>0</v>
      </c>
      <c r="J1129" s="553">
        <v>5</v>
      </c>
      <c r="K1129" s="553">
        <v>0</v>
      </c>
      <c r="L1129" s="553">
        <v>4</v>
      </c>
      <c r="M1129" s="561" t="s">
        <v>137</v>
      </c>
      <c r="N1129" s="500"/>
      <c r="O1129" s="564"/>
      <c r="P1129" s="564" t="s">
        <v>1756</v>
      </c>
      <c r="Q1129" s="564"/>
      <c r="R1129" s="564">
        <v>1</v>
      </c>
    </row>
    <row r="1130" spans="1:18" ht="15" customHeight="1" x14ac:dyDescent="0.25">
      <c r="A1130" s="553">
        <v>13</v>
      </c>
      <c r="B1130" s="553">
        <v>3</v>
      </c>
      <c r="C1130" s="553">
        <v>2</v>
      </c>
      <c r="D1130" s="553">
        <v>4</v>
      </c>
      <c r="E1130" s="553">
        <v>2</v>
      </c>
      <c r="F1130" s="553">
        <v>2</v>
      </c>
      <c r="G1130" s="553" t="s">
        <v>493</v>
      </c>
      <c r="H1130" s="553">
        <v>1322.2950000000001</v>
      </c>
      <c r="I1130" s="517">
        <v>0</v>
      </c>
      <c r="J1130" s="553">
        <v>5</v>
      </c>
      <c r="K1130" s="553">
        <v>0</v>
      </c>
      <c r="L1130" s="553">
        <v>4</v>
      </c>
      <c r="M1130" s="561" t="s">
        <v>137</v>
      </c>
      <c r="N1130" s="500"/>
      <c r="O1130" s="564"/>
      <c r="P1130" s="564" t="s">
        <v>1757</v>
      </c>
      <c r="Q1130" s="564"/>
      <c r="R1130" s="564">
        <v>1</v>
      </c>
    </row>
    <row r="1131" spans="1:18" ht="15" customHeight="1" x14ac:dyDescent="0.25">
      <c r="A1131" s="553">
        <v>13</v>
      </c>
      <c r="B1131" s="553">
        <v>3</v>
      </c>
      <c r="C1131" s="553">
        <v>2</v>
      </c>
      <c r="D1131" s="553">
        <v>4</v>
      </c>
      <c r="E1131" s="553">
        <v>2</v>
      </c>
      <c r="F1131" s="553">
        <v>2</v>
      </c>
      <c r="G1131" s="553" t="s">
        <v>474</v>
      </c>
      <c r="H1131" s="553">
        <v>1324.7650000000001</v>
      </c>
      <c r="I1131" s="517">
        <v>89</v>
      </c>
      <c r="J1131" s="553">
        <v>45</v>
      </c>
      <c r="K1131" s="553">
        <v>16</v>
      </c>
      <c r="L1131" s="553">
        <v>2</v>
      </c>
      <c r="M1131" s="561" t="s">
        <v>137</v>
      </c>
      <c r="N1131" s="500"/>
      <c r="O1131" s="564"/>
      <c r="P1131" s="564" t="s">
        <v>1758</v>
      </c>
      <c r="Q1131" s="564"/>
      <c r="R1131" s="564">
        <v>1</v>
      </c>
    </row>
    <row r="1132" spans="1:18" ht="15" customHeight="1" x14ac:dyDescent="0.25">
      <c r="A1132" s="553">
        <v>13</v>
      </c>
      <c r="B1132" s="553">
        <v>3</v>
      </c>
      <c r="C1132" s="553">
        <v>2</v>
      </c>
      <c r="D1132" s="553">
        <v>4</v>
      </c>
      <c r="E1132" s="553">
        <v>2</v>
      </c>
      <c r="F1132" s="553">
        <v>2</v>
      </c>
      <c r="G1132" s="502" t="s">
        <v>477</v>
      </c>
      <c r="H1132" s="553">
        <v>1324.7650000000001</v>
      </c>
      <c r="I1132" s="517">
        <v>89</v>
      </c>
      <c r="J1132" s="553">
        <v>45</v>
      </c>
      <c r="K1132" s="553">
        <v>16</v>
      </c>
      <c r="L1132" s="553">
        <v>2</v>
      </c>
      <c r="M1132" s="561" t="s">
        <v>137</v>
      </c>
      <c r="N1132" s="500"/>
      <c r="O1132" s="564"/>
      <c r="P1132" s="564" t="s">
        <v>1759</v>
      </c>
      <c r="Q1132" s="564"/>
      <c r="R1132" s="564">
        <v>1</v>
      </c>
    </row>
    <row r="1133" spans="1:18" ht="15" customHeight="1" x14ac:dyDescent="0.25">
      <c r="A1133" s="553">
        <v>13</v>
      </c>
      <c r="B1133" s="553">
        <v>3</v>
      </c>
      <c r="C1133" s="553">
        <v>2</v>
      </c>
      <c r="D1133" s="553">
        <v>4</v>
      </c>
      <c r="E1133" s="553">
        <v>2</v>
      </c>
      <c r="F1133" s="553">
        <v>2</v>
      </c>
      <c r="G1133" s="553" t="s">
        <v>479</v>
      </c>
      <c r="H1133" s="553">
        <v>1324.74</v>
      </c>
      <c r="I1133" s="517">
        <v>89</v>
      </c>
      <c r="J1133" s="553">
        <v>47</v>
      </c>
      <c r="K1133" s="553">
        <v>31</v>
      </c>
      <c r="L1133" s="553">
        <v>2</v>
      </c>
      <c r="M1133" s="561" t="s">
        <v>137</v>
      </c>
      <c r="N1133" s="500"/>
      <c r="O1133" s="564"/>
      <c r="P1133" s="564" t="s">
        <v>1760</v>
      </c>
      <c r="Q1133" s="564"/>
      <c r="R1133" s="564">
        <v>1</v>
      </c>
    </row>
    <row r="1134" spans="1:18" ht="15" customHeight="1" x14ac:dyDescent="0.25">
      <c r="A1134" s="553">
        <v>13</v>
      </c>
      <c r="B1134" s="553">
        <v>3</v>
      </c>
      <c r="C1134" s="553">
        <v>2</v>
      </c>
      <c r="D1134" s="553">
        <v>4</v>
      </c>
      <c r="E1134" s="553">
        <v>2</v>
      </c>
      <c r="F1134" s="553">
        <v>2</v>
      </c>
      <c r="G1134" s="553" t="s">
        <v>485</v>
      </c>
      <c r="H1134" s="553">
        <v>1324.74</v>
      </c>
      <c r="I1134" s="517">
        <v>89</v>
      </c>
      <c r="J1134" s="553">
        <v>47</v>
      </c>
      <c r="K1134" s="553">
        <v>31</v>
      </c>
      <c r="L1134" s="553">
        <v>2</v>
      </c>
      <c r="M1134" s="561" t="s">
        <v>137</v>
      </c>
      <c r="N1134" s="500"/>
      <c r="O1134" s="564"/>
      <c r="P1134" s="564" t="s">
        <v>1761</v>
      </c>
      <c r="Q1134" s="564"/>
      <c r="R1134" s="564">
        <v>1</v>
      </c>
    </row>
    <row r="1135" spans="1:18" ht="15" customHeight="1" x14ac:dyDescent="0.25">
      <c r="A1135" s="553">
        <v>13</v>
      </c>
      <c r="B1135" s="553">
        <v>3</v>
      </c>
      <c r="C1135" s="553">
        <v>2</v>
      </c>
      <c r="D1135" s="553">
        <v>4</v>
      </c>
      <c r="E1135" s="553">
        <v>2</v>
      </c>
      <c r="F1135" s="553">
        <v>2</v>
      </c>
      <c r="G1135" s="553" t="s">
        <v>487</v>
      </c>
      <c r="H1135" s="553">
        <v>1319.6875</v>
      </c>
      <c r="I1135" s="517">
        <v>89</v>
      </c>
      <c r="J1135" s="553">
        <v>38</v>
      </c>
      <c r="K1135" s="553">
        <v>17</v>
      </c>
      <c r="L1135" s="553">
        <v>2</v>
      </c>
      <c r="M1135" s="561" t="s">
        <v>137</v>
      </c>
      <c r="N1135" s="500"/>
      <c r="O1135" s="564"/>
      <c r="P1135" s="564" t="s">
        <v>1762</v>
      </c>
      <c r="Q1135" s="564"/>
      <c r="R1135" s="564">
        <v>1</v>
      </c>
    </row>
    <row r="1136" spans="1:18" ht="15" customHeight="1" x14ac:dyDescent="0.25">
      <c r="A1136" s="553">
        <v>13</v>
      </c>
      <c r="B1136" s="553">
        <v>3</v>
      </c>
      <c r="C1136" s="553">
        <v>2</v>
      </c>
      <c r="D1136" s="553">
        <v>4</v>
      </c>
      <c r="E1136" s="553">
        <v>2</v>
      </c>
      <c r="F1136" s="553">
        <v>2</v>
      </c>
      <c r="G1136" s="502" t="s">
        <v>489</v>
      </c>
      <c r="H1136" s="553">
        <v>1319.6875</v>
      </c>
      <c r="I1136" s="517">
        <v>89</v>
      </c>
      <c r="J1136" s="553">
        <v>38</v>
      </c>
      <c r="K1136" s="553">
        <v>17</v>
      </c>
      <c r="L1136" s="553">
        <v>2</v>
      </c>
      <c r="M1136" s="561" t="s">
        <v>137</v>
      </c>
      <c r="N1136" s="500"/>
      <c r="O1136" s="564"/>
      <c r="P1136" s="564" t="s">
        <v>1763</v>
      </c>
      <c r="Q1136" s="564"/>
      <c r="R1136" s="564">
        <v>1</v>
      </c>
    </row>
    <row r="1137" spans="1:20" ht="15" customHeight="1" x14ac:dyDescent="0.25">
      <c r="A1137" s="553">
        <v>13</v>
      </c>
      <c r="B1137" s="553">
        <v>3</v>
      </c>
      <c r="C1137" s="553">
        <v>2</v>
      </c>
      <c r="D1137" s="553">
        <v>4</v>
      </c>
      <c r="E1137" s="553">
        <v>2</v>
      </c>
      <c r="F1137" s="553">
        <v>2</v>
      </c>
      <c r="G1137" s="553" t="s">
        <v>491</v>
      </c>
      <c r="H1137" s="553">
        <v>1319.6875</v>
      </c>
      <c r="I1137" s="517">
        <v>89</v>
      </c>
      <c r="J1137" s="553">
        <v>38</v>
      </c>
      <c r="K1137" s="553">
        <v>17</v>
      </c>
      <c r="L1137" s="553">
        <v>2</v>
      </c>
      <c r="M1137" s="561" t="s">
        <v>137</v>
      </c>
      <c r="N1137" s="500"/>
      <c r="O1137" s="564"/>
      <c r="P1137" s="564" t="s">
        <v>1764</v>
      </c>
      <c r="Q1137" s="564"/>
      <c r="R1137" s="564">
        <v>1</v>
      </c>
    </row>
    <row r="1138" spans="1:20" ht="15" customHeight="1" x14ac:dyDescent="0.25">
      <c r="A1138" s="553">
        <v>13</v>
      </c>
      <c r="B1138" s="553">
        <v>3</v>
      </c>
      <c r="C1138" s="553">
        <v>2</v>
      </c>
      <c r="D1138" s="553">
        <v>4</v>
      </c>
      <c r="E1138" s="553">
        <v>2</v>
      </c>
      <c r="F1138" s="553">
        <v>2</v>
      </c>
      <c r="G1138" s="553" t="s">
        <v>494</v>
      </c>
      <c r="H1138" s="553">
        <v>1319.6875</v>
      </c>
      <c r="I1138" s="517">
        <v>89</v>
      </c>
      <c r="J1138" s="553">
        <v>38</v>
      </c>
      <c r="K1138" s="553">
        <v>17</v>
      </c>
      <c r="L1138" s="553">
        <v>2</v>
      </c>
      <c r="M1138" s="561" t="s">
        <v>137</v>
      </c>
      <c r="N1138" s="500"/>
      <c r="O1138" s="564"/>
      <c r="P1138" s="564" t="s">
        <v>1765</v>
      </c>
      <c r="Q1138" s="564"/>
      <c r="R1138" s="564">
        <v>1</v>
      </c>
    </row>
    <row r="1139" spans="1:20" s="559" customFormat="1" ht="15" customHeight="1" x14ac:dyDescent="0.2">
      <c r="A1139" s="564">
        <v>13</v>
      </c>
      <c r="B1139" s="564">
        <v>2</v>
      </c>
      <c r="C1139" s="564">
        <v>2</v>
      </c>
      <c r="D1139" s="564">
        <v>2</v>
      </c>
      <c r="E1139" s="564">
        <v>2</v>
      </c>
      <c r="F1139" s="564">
        <v>2</v>
      </c>
      <c r="G1139" s="564" t="s">
        <v>473</v>
      </c>
      <c r="H1139" s="564">
        <v>1269.2650000000001</v>
      </c>
      <c r="I1139" s="564">
        <v>0</v>
      </c>
      <c r="J1139" s="564">
        <v>7</v>
      </c>
      <c r="K1139" s="564">
        <v>4</v>
      </c>
      <c r="L1139" s="564">
        <v>4</v>
      </c>
      <c r="M1139" s="561" t="s">
        <v>137</v>
      </c>
      <c r="N1139" s="520">
        <v>43013518820000</v>
      </c>
      <c r="O1139" s="564" t="s">
        <v>1766</v>
      </c>
      <c r="P1139" s="564" t="s">
        <v>1767</v>
      </c>
      <c r="Q1139" s="564"/>
      <c r="R1139" s="564">
        <v>2</v>
      </c>
      <c r="S1139" s="558"/>
      <c r="T1139" s="558"/>
    </row>
    <row r="1140" spans="1:20" s="559" customFormat="1" ht="15" customHeight="1" x14ac:dyDescent="0.2">
      <c r="A1140" s="564">
        <v>13</v>
      </c>
      <c r="B1140" s="564">
        <v>2</v>
      </c>
      <c r="C1140" s="564">
        <v>2</v>
      </c>
      <c r="D1140" s="564">
        <v>2</v>
      </c>
      <c r="E1140" s="564">
        <v>2</v>
      </c>
      <c r="F1140" s="564">
        <v>2</v>
      </c>
      <c r="G1140" s="521" t="s">
        <v>476</v>
      </c>
      <c r="H1140" s="564">
        <v>1269.2650000000001</v>
      </c>
      <c r="I1140" s="564">
        <v>0</v>
      </c>
      <c r="J1140" s="564">
        <v>7</v>
      </c>
      <c r="K1140" s="564">
        <v>4</v>
      </c>
      <c r="L1140" s="564">
        <v>4</v>
      </c>
      <c r="M1140" s="561" t="s">
        <v>137</v>
      </c>
      <c r="N1140" s="520">
        <v>43013518820000</v>
      </c>
      <c r="O1140" s="564" t="s">
        <v>1766</v>
      </c>
      <c r="P1140" s="564" t="s">
        <v>1768</v>
      </c>
      <c r="Q1140" s="564"/>
      <c r="R1140" s="564">
        <v>2</v>
      </c>
      <c r="S1140" s="558"/>
      <c r="T1140" s="558"/>
    </row>
    <row r="1141" spans="1:20" s="559" customFormat="1" ht="15" customHeight="1" x14ac:dyDescent="0.2">
      <c r="A1141" s="564">
        <v>13</v>
      </c>
      <c r="B1141" s="564">
        <v>2</v>
      </c>
      <c r="C1141" s="564">
        <v>2</v>
      </c>
      <c r="D1141" s="564">
        <v>2</v>
      </c>
      <c r="E1141" s="564">
        <v>2</v>
      </c>
      <c r="F1141" s="564">
        <v>2</v>
      </c>
      <c r="G1141" s="564" t="s">
        <v>478</v>
      </c>
      <c r="H1141" s="564">
        <v>1316.63</v>
      </c>
      <c r="I1141" s="564">
        <v>0</v>
      </c>
      <c r="J1141" s="564">
        <v>22</v>
      </c>
      <c r="K1141" s="564">
        <v>19</v>
      </c>
      <c r="L1141" s="564">
        <v>2</v>
      </c>
      <c r="M1141" s="561" t="s">
        <v>137</v>
      </c>
      <c r="N1141" s="520">
        <v>43013518820000</v>
      </c>
      <c r="O1141" s="564" t="s">
        <v>1766</v>
      </c>
      <c r="P1141" s="564" t="s">
        <v>1769</v>
      </c>
      <c r="Q1141" s="564"/>
      <c r="R1141" s="564">
        <v>2</v>
      </c>
      <c r="S1141" s="558"/>
      <c r="T1141" s="558"/>
    </row>
    <row r="1142" spans="1:20" s="559" customFormat="1" ht="15" customHeight="1" x14ac:dyDescent="0.2">
      <c r="A1142" s="564">
        <v>13</v>
      </c>
      <c r="B1142" s="564">
        <v>2</v>
      </c>
      <c r="C1142" s="564">
        <v>2</v>
      </c>
      <c r="D1142" s="564">
        <v>2</v>
      </c>
      <c r="E1142" s="564">
        <v>2</v>
      </c>
      <c r="F1142" s="564">
        <v>2</v>
      </c>
      <c r="G1142" s="564" t="s">
        <v>484</v>
      </c>
      <c r="H1142" s="564">
        <v>1316.63</v>
      </c>
      <c r="I1142" s="564">
        <v>0</v>
      </c>
      <c r="J1142" s="564">
        <v>22</v>
      </c>
      <c r="K1142" s="564">
        <v>19</v>
      </c>
      <c r="L1142" s="564">
        <v>2</v>
      </c>
      <c r="M1142" s="561" t="s">
        <v>137</v>
      </c>
      <c r="N1142" s="520">
        <v>43013518820000</v>
      </c>
      <c r="O1142" s="564" t="s">
        <v>1766</v>
      </c>
      <c r="P1142" s="564" t="s">
        <v>1770</v>
      </c>
      <c r="Q1142" s="564"/>
      <c r="R1142" s="564">
        <v>2</v>
      </c>
      <c r="S1142" s="558"/>
      <c r="T1142" s="558"/>
    </row>
    <row r="1143" spans="1:20" s="559" customFormat="1" ht="15" customHeight="1" x14ac:dyDescent="0.2">
      <c r="A1143" s="564">
        <v>13</v>
      </c>
      <c r="B1143" s="564">
        <v>2</v>
      </c>
      <c r="C1143" s="564">
        <v>2</v>
      </c>
      <c r="D1143" s="564">
        <v>2</v>
      </c>
      <c r="E1143" s="564">
        <v>2</v>
      </c>
      <c r="F1143" s="564">
        <v>2</v>
      </c>
      <c r="G1143" s="564" t="s">
        <v>486</v>
      </c>
      <c r="H1143" s="564">
        <v>1320.2</v>
      </c>
      <c r="I1143" s="564">
        <v>0</v>
      </c>
      <c r="J1143" s="564">
        <v>11</v>
      </c>
      <c r="K1143" s="564">
        <v>17</v>
      </c>
      <c r="L1143" s="564">
        <v>4</v>
      </c>
      <c r="M1143" s="561" t="s">
        <v>137</v>
      </c>
      <c r="N1143" s="520">
        <v>43013518820000</v>
      </c>
      <c r="O1143" s="564" t="s">
        <v>1766</v>
      </c>
      <c r="P1143" s="564" t="s">
        <v>1771</v>
      </c>
      <c r="Q1143" s="564"/>
      <c r="R1143" s="564">
        <v>2</v>
      </c>
      <c r="S1143" s="558"/>
      <c r="T1143" s="558"/>
    </row>
    <row r="1144" spans="1:20" s="559" customFormat="1" ht="15" customHeight="1" x14ac:dyDescent="0.2">
      <c r="A1144" s="564">
        <v>13</v>
      </c>
      <c r="B1144" s="564">
        <v>2</v>
      </c>
      <c r="C1144" s="564">
        <v>2</v>
      </c>
      <c r="D1144" s="564">
        <v>2</v>
      </c>
      <c r="E1144" s="564">
        <v>2</v>
      </c>
      <c r="F1144" s="564">
        <v>2</v>
      </c>
      <c r="G1144" s="521" t="s">
        <v>488</v>
      </c>
      <c r="H1144" s="564">
        <v>1320.2</v>
      </c>
      <c r="I1144" s="564">
        <v>0</v>
      </c>
      <c r="J1144" s="564">
        <v>11</v>
      </c>
      <c r="K1144" s="564">
        <v>17</v>
      </c>
      <c r="L1144" s="564">
        <v>4</v>
      </c>
      <c r="M1144" s="561" t="s">
        <v>137</v>
      </c>
      <c r="N1144" s="520">
        <v>43013518820000</v>
      </c>
      <c r="O1144" s="564" t="s">
        <v>1766</v>
      </c>
      <c r="P1144" s="564" t="s">
        <v>1772</v>
      </c>
      <c r="Q1144" s="564"/>
      <c r="R1144" s="564">
        <v>2</v>
      </c>
      <c r="S1144" s="558"/>
      <c r="T1144" s="558"/>
    </row>
    <row r="1145" spans="1:20" s="559" customFormat="1" ht="15" customHeight="1" x14ac:dyDescent="0.2">
      <c r="A1145" s="564">
        <v>13</v>
      </c>
      <c r="B1145" s="564">
        <v>2</v>
      </c>
      <c r="C1145" s="564">
        <v>2</v>
      </c>
      <c r="D1145" s="564">
        <v>2</v>
      </c>
      <c r="E1145" s="564">
        <v>2</v>
      </c>
      <c r="F1145" s="564">
        <v>2</v>
      </c>
      <c r="G1145" s="564" t="s">
        <v>490</v>
      </c>
      <c r="H1145" s="564">
        <v>1320.93</v>
      </c>
      <c r="I1145" s="564">
        <v>0</v>
      </c>
      <c r="J1145" s="564">
        <v>11</v>
      </c>
      <c r="K1145" s="564">
        <v>11</v>
      </c>
      <c r="L1145" s="564">
        <v>4</v>
      </c>
      <c r="M1145" s="561" t="s">
        <v>137</v>
      </c>
      <c r="N1145" s="520">
        <v>43013518820000</v>
      </c>
      <c r="O1145" s="564" t="s">
        <v>1766</v>
      </c>
      <c r="P1145" s="564" t="s">
        <v>1773</v>
      </c>
      <c r="Q1145" s="564"/>
      <c r="R1145" s="564">
        <v>2</v>
      </c>
      <c r="S1145" s="558"/>
      <c r="T1145" s="558"/>
    </row>
    <row r="1146" spans="1:20" s="559" customFormat="1" ht="15" customHeight="1" x14ac:dyDescent="0.2">
      <c r="A1146" s="564">
        <v>13</v>
      </c>
      <c r="B1146" s="564">
        <v>2</v>
      </c>
      <c r="C1146" s="564">
        <v>2</v>
      </c>
      <c r="D1146" s="564">
        <v>2</v>
      </c>
      <c r="E1146" s="564">
        <v>2</v>
      </c>
      <c r="F1146" s="564">
        <v>2</v>
      </c>
      <c r="G1146" s="564" t="s">
        <v>493</v>
      </c>
      <c r="H1146" s="564">
        <v>1320.93</v>
      </c>
      <c r="I1146" s="564">
        <v>0</v>
      </c>
      <c r="J1146" s="564">
        <v>11</v>
      </c>
      <c r="K1146" s="564">
        <v>11</v>
      </c>
      <c r="L1146" s="564">
        <v>4</v>
      </c>
      <c r="M1146" s="561" t="s">
        <v>137</v>
      </c>
      <c r="N1146" s="520">
        <v>43013518820000</v>
      </c>
      <c r="O1146" s="564" t="s">
        <v>1766</v>
      </c>
      <c r="P1146" s="564" t="s">
        <v>1774</v>
      </c>
      <c r="Q1146" s="564"/>
      <c r="R1146" s="564">
        <v>2</v>
      </c>
      <c r="S1146" s="558"/>
      <c r="T1146" s="558"/>
    </row>
    <row r="1147" spans="1:20" s="559" customFormat="1" ht="15" customHeight="1" x14ac:dyDescent="0.2">
      <c r="A1147" s="564">
        <v>13</v>
      </c>
      <c r="B1147" s="564">
        <v>2</v>
      </c>
      <c r="C1147" s="564">
        <v>2</v>
      </c>
      <c r="D1147" s="564">
        <v>2</v>
      </c>
      <c r="E1147" s="564">
        <v>2</v>
      </c>
      <c r="F1147" s="564">
        <v>2</v>
      </c>
      <c r="G1147" s="564" t="s">
        <v>474</v>
      </c>
      <c r="H1147" s="564">
        <v>1316.23</v>
      </c>
      <c r="I1147" s="564">
        <v>87</v>
      </c>
      <c r="J1147" s="564">
        <v>21</v>
      </c>
      <c r="K1147" s="564">
        <v>23</v>
      </c>
      <c r="L1147" s="564">
        <v>3</v>
      </c>
      <c r="M1147" s="561" t="s">
        <v>137</v>
      </c>
      <c r="N1147" s="520">
        <v>43013518820000</v>
      </c>
      <c r="O1147" s="564" t="s">
        <v>1766</v>
      </c>
      <c r="P1147" s="564" t="s">
        <v>1775</v>
      </c>
      <c r="Q1147" s="564"/>
      <c r="R1147" s="564">
        <v>2</v>
      </c>
      <c r="S1147" s="558"/>
      <c r="T1147" s="558"/>
    </row>
    <row r="1148" spans="1:20" s="559" customFormat="1" ht="15" customHeight="1" x14ac:dyDescent="0.2">
      <c r="A1148" s="564">
        <v>13</v>
      </c>
      <c r="B1148" s="564">
        <v>2</v>
      </c>
      <c r="C1148" s="564">
        <v>2</v>
      </c>
      <c r="D1148" s="564">
        <v>2</v>
      </c>
      <c r="E1148" s="564">
        <v>2</v>
      </c>
      <c r="F1148" s="564">
        <v>2</v>
      </c>
      <c r="G1148" s="521" t="s">
        <v>477</v>
      </c>
      <c r="H1148" s="564">
        <v>1316.23</v>
      </c>
      <c r="I1148" s="564">
        <v>87</v>
      </c>
      <c r="J1148" s="564">
        <v>21</v>
      </c>
      <c r="K1148" s="564">
        <v>23</v>
      </c>
      <c r="L1148" s="564">
        <v>3</v>
      </c>
      <c r="M1148" s="561" t="s">
        <v>137</v>
      </c>
      <c r="N1148" s="520">
        <v>43013518820000</v>
      </c>
      <c r="O1148" s="564" t="s">
        <v>1766</v>
      </c>
      <c r="P1148" s="564" t="s">
        <v>1776</v>
      </c>
      <c r="Q1148" s="564"/>
      <c r="R1148" s="564">
        <v>2</v>
      </c>
      <c r="S1148" s="558"/>
      <c r="T1148" s="558"/>
    </row>
    <row r="1149" spans="1:20" s="559" customFormat="1" ht="15" customHeight="1" x14ac:dyDescent="0.2">
      <c r="A1149" s="564">
        <v>13</v>
      </c>
      <c r="B1149" s="564">
        <v>2</v>
      </c>
      <c r="C1149" s="564">
        <v>2</v>
      </c>
      <c r="D1149" s="564">
        <v>2</v>
      </c>
      <c r="E1149" s="564">
        <v>2</v>
      </c>
      <c r="F1149" s="564">
        <v>2</v>
      </c>
      <c r="G1149" s="564" t="s">
        <v>479</v>
      </c>
      <c r="H1149" s="564">
        <v>1312.7049999999999</v>
      </c>
      <c r="I1149" s="564">
        <v>89</v>
      </c>
      <c r="J1149" s="564">
        <v>32</v>
      </c>
      <c r="K1149" s="564">
        <v>25</v>
      </c>
      <c r="L1149" s="564">
        <v>2</v>
      </c>
      <c r="M1149" s="561" t="s">
        <v>137</v>
      </c>
      <c r="N1149" s="520">
        <v>43013518820000</v>
      </c>
      <c r="O1149" s="564" t="s">
        <v>1766</v>
      </c>
      <c r="P1149" s="564" t="s">
        <v>1777</v>
      </c>
      <c r="Q1149" s="564"/>
      <c r="R1149" s="564">
        <v>2</v>
      </c>
      <c r="S1149" s="558"/>
      <c r="T1149" s="558"/>
    </row>
    <row r="1150" spans="1:20" s="559" customFormat="1" ht="15" customHeight="1" x14ac:dyDescent="0.2">
      <c r="A1150" s="564">
        <v>13</v>
      </c>
      <c r="B1150" s="564">
        <v>2</v>
      </c>
      <c r="C1150" s="564">
        <v>2</v>
      </c>
      <c r="D1150" s="564">
        <v>2</v>
      </c>
      <c r="E1150" s="564">
        <v>2</v>
      </c>
      <c r="F1150" s="564">
        <v>2</v>
      </c>
      <c r="G1150" s="564" t="s">
        <v>485</v>
      </c>
      <c r="H1150" s="564">
        <v>1312.7049999999999</v>
      </c>
      <c r="I1150" s="564">
        <v>89</v>
      </c>
      <c r="J1150" s="564">
        <v>32</v>
      </c>
      <c r="K1150" s="564">
        <v>25</v>
      </c>
      <c r="L1150" s="564">
        <v>2</v>
      </c>
      <c r="M1150" s="561" t="s">
        <v>137</v>
      </c>
      <c r="N1150" s="520">
        <v>43013518820000</v>
      </c>
      <c r="O1150" s="564" t="s">
        <v>1766</v>
      </c>
      <c r="P1150" s="564" t="s">
        <v>1778</v>
      </c>
      <c r="Q1150" s="564"/>
      <c r="R1150" s="564">
        <v>2</v>
      </c>
      <c r="S1150" s="558"/>
      <c r="T1150" s="558"/>
    </row>
    <row r="1151" spans="1:20" s="559" customFormat="1" ht="15" customHeight="1" x14ac:dyDescent="0.2">
      <c r="A1151" s="564">
        <v>13</v>
      </c>
      <c r="B1151" s="564">
        <v>2</v>
      </c>
      <c r="C1151" s="564">
        <v>2</v>
      </c>
      <c r="D1151" s="564">
        <v>2</v>
      </c>
      <c r="E1151" s="564">
        <v>2</v>
      </c>
      <c r="F1151" s="564">
        <v>2</v>
      </c>
      <c r="G1151" s="564" t="s">
        <v>487</v>
      </c>
      <c r="H1151" s="564">
        <v>1322.4649999999999</v>
      </c>
      <c r="I1151" s="564">
        <v>89</v>
      </c>
      <c r="J1151" s="564">
        <v>59</v>
      </c>
      <c r="K1151" s="564">
        <v>6</v>
      </c>
      <c r="L1151" s="564">
        <v>3</v>
      </c>
      <c r="M1151" s="561" t="s">
        <v>137</v>
      </c>
      <c r="N1151" s="520">
        <v>43013518820000</v>
      </c>
      <c r="O1151" s="564" t="s">
        <v>1766</v>
      </c>
      <c r="P1151" s="564" t="s">
        <v>1779</v>
      </c>
      <c r="Q1151" s="564"/>
      <c r="R1151" s="564">
        <v>2</v>
      </c>
      <c r="S1151" s="558"/>
      <c r="T1151" s="558"/>
    </row>
    <row r="1152" spans="1:20" s="559" customFormat="1" ht="15" customHeight="1" x14ac:dyDescent="0.2">
      <c r="A1152" s="564">
        <v>13</v>
      </c>
      <c r="B1152" s="564">
        <v>2</v>
      </c>
      <c r="C1152" s="564">
        <v>2</v>
      </c>
      <c r="D1152" s="564">
        <v>2</v>
      </c>
      <c r="E1152" s="564">
        <v>2</v>
      </c>
      <c r="F1152" s="564">
        <v>2</v>
      </c>
      <c r="G1152" s="521" t="s">
        <v>489</v>
      </c>
      <c r="H1152" s="564">
        <v>1322.4649999999999</v>
      </c>
      <c r="I1152" s="564">
        <v>89</v>
      </c>
      <c r="J1152" s="564">
        <v>59</v>
      </c>
      <c r="K1152" s="564">
        <v>6</v>
      </c>
      <c r="L1152" s="564">
        <v>3</v>
      </c>
      <c r="M1152" s="561" t="s">
        <v>137</v>
      </c>
      <c r="N1152" s="520">
        <v>43013518820000</v>
      </c>
      <c r="O1152" s="564" t="s">
        <v>1766</v>
      </c>
      <c r="P1152" s="564" t="s">
        <v>1780</v>
      </c>
      <c r="Q1152" s="564"/>
      <c r="R1152" s="564">
        <v>2</v>
      </c>
      <c r="S1152" s="558"/>
      <c r="T1152" s="558"/>
    </row>
    <row r="1153" spans="1:20" s="559" customFormat="1" ht="15" customHeight="1" x14ac:dyDescent="0.2">
      <c r="A1153" s="564">
        <v>13</v>
      </c>
      <c r="B1153" s="564">
        <v>2</v>
      </c>
      <c r="C1153" s="564">
        <v>2</v>
      </c>
      <c r="D1153" s="564">
        <v>2</v>
      </c>
      <c r="E1153" s="564">
        <v>2</v>
      </c>
      <c r="F1153" s="564">
        <v>2</v>
      </c>
      <c r="G1153" s="564" t="s">
        <v>491</v>
      </c>
      <c r="H1153" s="564">
        <v>1322.165</v>
      </c>
      <c r="I1153" s="564">
        <v>89</v>
      </c>
      <c r="J1153" s="564">
        <v>59</v>
      </c>
      <c r="K1153" s="564">
        <v>25</v>
      </c>
      <c r="L1153" s="564">
        <v>3</v>
      </c>
      <c r="M1153" s="561" t="s">
        <v>137</v>
      </c>
      <c r="N1153" s="520">
        <v>43013518820000</v>
      </c>
      <c r="O1153" s="564" t="s">
        <v>1766</v>
      </c>
      <c r="P1153" s="564" t="s">
        <v>1781</v>
      </c>
      <c r="Q1153" s="564"/>
      <c r="R1153" s="564">
        <v>2</v>
      </c>
      <c r="S1153" s="558"/>
      <c r="T1153" s="558"/>
    </row>
    <row r="1154" spans="1:20" s="559" customFormat="1" ht="15" customHeight="1" x14ac:dyDescent="0.2">
      <c r="A1154" s="564">
        <v>13</v>
      </c>
      <c r="B1154" s="564">
        <v>2</v>
      </c>
      <c r="C1154" s="564">
        <v>2</v>
      </c>
      <c r="D1154" s="564">
        <v>2</v>
      </c>
      <c r="E1154" s="564">
        <v>2</v>
      </c>
      <c r="F1154" s="564">
        <v>2</v>
      </c>
      <c r="G1154" s="564" t="s">
        <v>494</v>
      </c>
      <c r="H1154" s="564">
        <v>1322.165</v>
      </c>
      <c r="I1154" s="564">
        <v>89</v>
      </c>
      <c r="J1154" s="564">
        <v>59</v>
      </c>
      <c r="K1154" s="564">
        <v>25</v>
      </c>
      <c r="L1154" s="564">
        <v>3</v>
      </c>
      <c r="M1154" s="561" t="s">
        <v>137</v>
      </c>
      <c r="N1154" s="520">
        <v>43013518820000</v>
      </c>
      <c r="O1154" s="564" t="s">
        <v>1766</v>
      </c>
      <c r="P1154" s="564" t="s">
        <v>1782</v>
      </c>
      <c r="Q1154" s="564"/>
      <c r="R1154" s="564">
        <v>2</v>
      </c>
      <c r="S1154" s="558"/>
      <c r="T1154" s="558"/>
    </row>
    <row r="1155" spans="1:20" ht="15" customHeight="1" x14ac:dyDescent="0.25">
      <c r="A1155" s="564">
        <v>13</v>
      </c>
      <c r="B1155" s="564">
        <v>4</v>
      </c>
      <c r="C1155" s="564">
        <v>2</v>
      </c>
      <c r="D1155" s="564">
        <v>1</v>
      </c>
      <c r="E1155" s="564">
        <v>2</v>
      </c>
      <c r="F1155" s="564">
        <v>2</v>
      </c>
      <c r="G1155" s="564" t="s">
        <v>473</v>
      </c>
      <c r="H1155" s="564">
        <v>1322.4425000000001</v>
      </c>
      <c r="I1155" s="564">
        <v>0</v>
      </c>
      <c r="J1155" s="564">
        <v>9</v>
      </c>
      <c r="K1155" s="564">
        <v>43</v>
      </c>
      <c r="L1155" s="564">
        <v>1</v>
      </c>
      <c r="M1155" s="561" t="s">
        <v>137</v>
      </c>
      <c r="N1155" s="520"/>
      <c r="O1155" s="564"/>
      <c r="P1155" s="564" t="s">
        <v>1783</v>
      </c>
      <c r="Q1155" s="564"/>
      <c r="R1155" s="564">
        <v>1</v>
      </c>
    </row>
    <row r="1156" spans="1:20" ht="15" customHeight="1" x14ac:dyDescent="0.25">
      <c r="A1156" s="564">
        <v>13</v>
      </c>
      <c r="B1156" s="564">
        <v>4</v>
      </c>
      <c r="C1156" s="564">
        <v>2</v>
      </c>
      <c r="D1156" s="564">
        <v>1</v>
      </c>
      <c r="E1156" s="564">
        <v>2</v>
      </c>
      <c r="F1156" s="564">
        <v>2</v>
      </c>
      <c r="G1156" s="521" t="s">
        <v>476</v>
      </c>
      <c r="H1156" s="564">
        <v>1322.4425000000001</v>
      </c>
      <c r="I1156" s="564">
        <v>0</v>
      </c>
      <c r="J1156" s="564">
        <v>9</v>
      </c>
      <c r="K1156" s="564">
        <v>43</v>
      </c>
      <c r="L1156" s="564">
        <v>1</v>
      </c>
      <c r="M1156" s="561" t="s">
        <v>137</v>
      </c>
      <c r="N1156" s="520"/>
      <c r="O1156" s="564"/>
      <c r="P1156" s="564" t="s">
        <v>1784</v>
      </c>
      <c r="Q1156" s="564"/>
      <c r="R1156" s="564">
        <v>1</v>
      </c>
    </row>
    <row r="1157" spans="1:20" ht="15" customHeight="1" x14ac:dyDescent="0.25">
      <c r="A1157" s="564">
        <v>13</v>
      </c>
      <c r="B1157" s="564">
        <v>4</v>
      </c>
      <c r="C1157" s="564">
        <v>2</v>
      </c>
      <c r="D1157" s="564">
        <v>1</v>
      </c>
      <c r="E1157" s="564">
        <v>2</v>
      </c>
      <c r="F1157" s="564">
        <v>2</v>
      </c>
      <c r="G1157" s="564" t="s">
        <v>478</v>
      </c>
      <c r="H1157" s="564">
        <v>1322.4425000000001</v>
      </c>
      <c r="I1157" s="564">
        <v>0</v>
      </c>
      <c r="J1157" s="564">
        <v>9</v>
      </c>
      <c r="K1157" s="564">
        <v>43</v>
      </c>
      <c r="L1157" s="564">
        <v>1</v>
      </c>
      <c r="M1157" s="561" t="s">
        <v>137</v>
      </c>
      <c r="N1157" s="520"/>
      <c r="O1157" s="564"/>
      <c r="P1157" s="564" t="s">
        <v>1785</v>
      </c>
      <c r="Q1157" s="564"/>
      <c r="R1157" s="564">
        <v>1</v>
      </c>
    </row>
    <row r="1158" spans="1:20" ht="15" customHeight="1" x14ac:dyDescent="0.25">
      <c r="A1158" s="564">
        <v>13</v>
      </c>
      <c r="B1158" s="564">
        <v>4</v>
      </c>
      <c r="C1158" s="564">
        <v>2</v>
      </c>
      <c r="D1158" s="564">
        <v>1</v>
      </c>
      <c r="E1158" s="564">
        <v>2</v>
      </c>
      <c r="F1158" s="564">
        <v>2</v>
      </c>
      <c r="G1158" s="564" t="s">
        <v>484</v>
      </c>
      <c r="H1158" s="564">
        <v>1322.4425000000001</v>
      </c>
      <c r="I1158" s="564">
        <v>0</v>
      </c>
      <c r="J1158" s="564">
        <v>9</v>
      </c>
      <c r="K1158" s="564">
        <v>43</v>
      </c>
      <c r="L1158" s="564">
        <v>1</v>
      </c>
      <c r="M1158" s="561" t="s">
        <v>137</v>
      </c>
      <c r="N1158" s="520"/>
      <c r="O1158" s="564"/>
      <c r="P1158" s="564" t="s">
        <v>1786</v>
      </c>
      <c r="Q1158" s="564"/>
      <c r="R1158" s="564">
        <v>1</v>
      </c>
    </row>
    <row r="1159" spans="1:20" ht="15" customHeight="1" x14ac:dyDescent="0.25">
      <c r="A1159" s="564">
        <v>13</v>
      </c>
      <c r="B1159" s="564">
        <v>4</v>
      </c>
      <c r="C1159" s="564">
        <v>2</v>
      </c>
      <c r="D1159" s="564">
        <v>1</v>
      </c>
      <c r="E1159" s="564">
        <v>2</v>
      </c>
      <c r="F1159" s="564">
        <v>2</v>
      </c>
      <c r="G1159" s="564" t="s">
        <v>486</v>
      </c>
      <c r="H1159" s="564">
        <v>1320.855</v>
      </c>
      <c r="I1159" s="564">
        <v>0</v>
      </c>
      <c r="J1159" s="564">
        <v>4</v>
      </c>
      <c r="K1159" s="564">
        <v>13</v>
      </c>
      <c r="L1159" s="564">
        <v>4</v>
      </c>
      <c r="M1159" s="561" t="s">
        <v>137</v>
      </c>
      <c r="N1159" s="520"/>
      <c r="O1159" s="564"/>
      <c r="P1159" s="564" t="s">
        <v>1787</v>
      </c>
      <c r="Q1159" s="564"/>
      <c r="R1159" s="564">
        <v>1</v>
      </c>
    </row>
    <row r="1160" spans="1:20" ht="15" customHeight="1" x14ac:dyDescent="0.25">
      <c r="A1160" s="564">
        <v>13</v>
      </c>
      <c r="B1160" s="564">
        <v>4</v>
      </c>
      <c r="C1160" s="564">
        <v>2</v>
      </c>
      <c r="D1160" s="564">
        <v>1</v>
      </c>
      <c r="E1160" s="564">
        <v>2</v>
      </c>
      <c r="F1160" s="564">
        <v>2</v>
      </c>
      <c r="G1160" s="521" t="s">
        <v>488</v>
      </c>
      <c r="H1160" s="564">
        <v>1320.855</v>
      </c>
      <c r="I1160" s="564">
        <v>0</v>
      </c>
      <c r="J1160" s="564">
        <v>4</v>
      </c>
      <c r="K1160" s="564">
        <v>13</v>
      </c>
      <c r="L1160" s="564">
        <v>4</v>
      </c>
      <c r="M1160" s="561" t="s">
        <v>137</v>
      </c>
      <c r="N1160" s="520"/>
      <c r="O1160" s="564"/>
      <c r="P1160" s="564" t="s">
        <v>1788</v>
      </c>
      <c r="Q1160" s="564"/>
      <c r="R1160" s="564">
        <v>1</v>
      </c>
    </row>
    <row r="1161" spans="1:20" ht="15" customHeight="1" x14ac:dyDescent="0.25">
      <c r="A1161" s="564">
        <v>13</v>
      </c>
      <c r="B1161" s="564">
        <v>4</v>
      </c>
      <c r="C1161" s="564">
        <v>2</v>
      </c>
      <c r="D1161" s="564">
        <v>1</v>
      </c>
      <c r="E1161" s="564">
        <v>2</v>
      </c>
      <c r="F1161" s="564">
        <v>2</v>
      </c>
      <c r="G1161" s="564" t="s">
        <v>490</v>
      </c>
      <c r="H1161" s="564">
        <v>1320.2650000000001</v>
      </c>
      <c r="I1161" s="564">
        <v>0</v>
      </c>
      <c r="J1161" s="564">
        <v>4</v>
      </c>
      <c r="K1161" s="564">
        <v>11</v>
      </c>
      <c r="L1161" s="564">
        <v>4</v>
      </c>
      <c r="M1161" s="561" t="s">
        <v>137</v>
      </c>
      <c r="N1161" s="520"/>
      <c r="O1161" s="564"/>
      <c r="P1161" s="564" t="s">
        <v>1789</v>
      </c>
      <c r="Q1161" s="564"/>
      <c r="R1161" s="564">
        <v>1</v>
      </c>
    </row>
    <row r="1162" spans="1:20" ht="15" customHeight="1" x14ac:dyDescent="0.25">
      <c r="A1162" s="564">
        <v>13</v>
      </c>
      <c r="B1162" s="564">
        <v>4</v>
      </c>
      <c r="C1162" s="564">
        <v>2</v>
      </c>
      <c r="D1162" s="564">
        <v>1</v>
      </c>
      <c r="E1162" s="564">
        <v>2</v>
      </c>
      <c r="F1162" s="564">
        <v>2</v>
      </c>
      <c r="G1162" s="564" t="s">
        <v>493</v>
      </c>
      <c r="H1162" s="564">
        <v>1320.2650000000001</v>
      </c>
      <c r="I1162" s="564">
        <v>0</v>
      </c>
      <c r="J1162" s="564">
        <v>4</v>
      </c>
      <c r="K1162" s="564">
        <v>11</v>
      </c>
      <c r="L1162" s="564">
        <v>4</v>
      </c>
      <c r="M1162" s="561" t="s">
        <v>137</v>
      </c>
      <c r="N1162" s="520"/>
      <c r="O1162" s="564"/>
      <c r="P1162" s="564" t="s">
        <v>1790</v>
      </c>
      <c r="Q1162" s="564"/>
      <c r="R1162" s="564">
        <v>1</v>
      </c>
    </row>
    <row r="1163" spans="1:20" ht="15" customHeight="1" x14ac:dyDescent="0.25">
      <c r="A1163" s="564">
        <v>13</v>
      </c>
      <c r="B1163" s="564">
        <v>4</v>
      </c>
      <c r="C1163" s="564">
        <v>2</v>
      </c>
      <c r="D1163" s="564">
        <v>1</v>
      </c>
      <c r="E1163" s="564">
        <v>2</v>
      </c>
      <c r="F1163" s="564">
        <v>2</v>
      </c>
      <c r="G1163" s="564" t="s">
        <v>474</v>
      </c>
      <c r="H1163" s="564">
        <v>1328.43</v>
      </c>
      <c r="I1163" s="564">
        <v>89</v>
      </c>
      <c r="J1163" s="564">
        <v>45</v>
      </c>
      <c r="K1163" s="564">
        <v>38</v>
      </c>
      <c r="L1163" s="564">
        <v>2</v>
      </c>
      <c r="M1163" s="561" t="s">
        <v>137</v>
      </c>
      <c r="N1163" s="520"/>
      <c r="O1163" s="564"/>
      <c r="P1163" s="564" t="s">
        <v>1791</v>
      </c>
      <c r="Q1163" s="564"/>
      <c r="R1163" s="564">
        <v>1</v>
      </c>
    </row>
    <row r="1164" spans="1:20" ht="15" customHeight="1" x14ac:dyDescent="0.25">
      <c r="A1164" s="564">
        <v>13</v>
      </c>
      <c r="B1164" s="564">
        <v>4</v>
      </c>
      <c r="C1164" s="564">
        <v>2</v>
      </c>
      <c r="D1164" s="564">
        <v>1</v>
      </c>
      <c r="E1164" s="564">
        <v>2</v>
      </c>
      <c r="F1164" s="564">
        <v>2</v>
      </c>
      <c r="G1164" s="521" t="s">
        <v>477</v>
      </c>
      <c r="H1164" s="564">
        <v>1328.43</v>
      </c>
      <c r="I1164" s="564">
        <v>89</v>
      </c>
      <c r="J1164" s="564">
        <v>45</v>
      </c>
      <c r="K1164" s="564">
        <v>38</v>
      </c>
      <c r="L1164" s="564">
        <v>2</v>
      </c>
      <c r="M1164" s="561" t="s">
        <v>137</v>
      </c>
      <c r="N1164" s="520"/>
      <c r="O1164" s="564"/>
      <c r="P1164" s="564" t="s">
        <v>1792</v>
      </c>
      <c r="Q1164" s="564"/>
      <c r="R1164" s="564">
        <v>1</v>
      </c>
    </row>
    <row r="1165" spans="1:20" ht="15" customHeight="1" x14ac:dyDescent="0.25">
      <c r="A1165" s="564">
        <v>13</v>
      </c>
      <c r="B1165" s="564">
        <v>4</v>
      </c>
      <c r="C1165" s="564">
        <v>2</v>
      </c>
      <c r="D1165" s="564">
        <v>1</v>
      </c>
      <c r="E1165" s="564">
        <v>2</v>
      </c>
      <c r="F1165" s="564">
        <v>2</v>
      </c>
      <c r="G1165" s="564" t="s">
        <v>479</v>
      </c>
      <c r="H1165" s="564">
        <v>1319.9</v>
      </c>
      <c r="I1165" s="564">
        <v>89</v>
      </c>
      <c r="J1165" s="564">
        <v>47</v>
      </c>
      <c r="K1165" s="564">
        <v>32</v>
      </c>
      <c r="L1165" s="564">
        <v>3</v>
      </c>
      <c r="M1165" s="561" t="s">
        <v>137</v>
      </c>
      <c r="N1165" s="520"/>
      <c r="O1165" s="564"/>
      <c r="P1165" s="564" t="s">
        <v>1793</v>
      </c>
      <c r="Q1165" s="564"/>
      <c r="R1165" s="564">
        <v>1</v>
      </c>
    </row>
    <row r="1166" spans="1:20" ht="15" customHeight="1" x14ac:dyDescent="0.25">
      <c r="A1166" s="564">
        <v>13</v>
      </c>
      <c r="B1166" s="564">
        <v>4</v>
      </c>
      <c r="C1166" s="564">
        <v>2</v>
      </c>
      <c r="D1166" s="564">
        <v>1</v>
      </c>
      <c r="E1166" s="564">
        <v>2</v>
      </c>
      <c r="F1166" s="564">
        <v>2</v>
      </c>
      <c r="G1166" s="564" t="s">
        <v>485</v>
      </c>
      <c r="H1166" s="564">
        <v>1319.23</v>
      </c>
      <c r="I1166" s="564">
        <v>89</v>
      </c>
      <c r="J1166" s="564">
        <v>46</v>
      </c>
      <c r="K1166" s="564">
        <v>32</v>
      </c>
      <c r="L1166" s="564">
        <v>3</v>
      </c>
      <c r="M1166" s="561" t="s">
        <v>137</v>
      </c>
      <c r="N1166" s="520"/>
      <c r="O1166" s="564"/>
      <c r="P1166" s="564" t="s">
        <v>1794</v>
      </c>
      <c r="Q1166" s="564"/>
      <c r="R1166" s="564">
        <v>1</v>
      </c>
    </row>
    <row r="1167" spans="1:20" ht="15" customHeight="1" x14ac:dyDescent="0.25">
      <c r="A1167" s="564">
        <v>13</v>
      </c>
      <c r="B1167" s="564">
        <v>4</v>
      </c>
      <c r="C1167" s="564">
        <v>2</v>
      </c>
      <c r="D1167" s="564">
        <v>1</v>
      </c>
      <c r="E1167" s="564">
        <v>2</v>
      </c>
      <c r="F1167" s="564">
        <v>2</v>
      </c>
      <c r="G1167" s="564" t="s">
        <v>487</v>
      </c>
      <c r="H1167" s="564">
        <v>1317.915</v>
      </c>
      <c r="I1167" s="564">
        <v>88</v>
      </c>
      <c r="J1167" s="564">
        <v>9</v>
      </c>
      <c r="K1167" s="564">
        <v>50</v>
      </c>
      <c r="L1167" s="564">
        <v>1</v>
      </c>
      <c r="M1167" s="561" t="s">
        <v>137</v>
      </c>
      <c r="N1167" s="520"/>
      <c r="O1167" s="564"/>
      <c r="P1167" s="564" t="s">
        <v>1795</v>
      </c>
      <c r="Q1167" s="564"/>
      <c r="R1167" s="564">
        <v>1</v>
      </c>
    </row>
    <row r="1168" spans="1:20" ht="15" customHeight="1" x14ac:dyDescent="0.25">
      <c r="A1168" s="564">
        <v>13</v>
      </c>
      <c r="B1168" s="564">
        <v>4</v>
      </c>
      <c r="C1168" s="564">
        <v>2</v>
      </c>
      <c r="D1168" s="564">
        <v>1</v>
      </c>
      <c r="E1168" s="564">
        <v>2</v>
      </c>
      <c r="F1168" s="564">
        <v>2</v>
      </c>
      <c r="G1168" s="521" t="s">
        <v>489</v>
      </c>
      <c r="H1168" s="564">
        <v>1317.915</v>
      </c>
      <c r="I1168" s="564">
        <v>88</v>
      </c>
      <c r="J1168" s="564">
        <v>9</v>
      </c>
      <c r="K1168" s="564">
        <v>50</v>
      </c>
      <c r="L1168" s="564">
        <v>1</v>
      </c>
      <c r="M1168" s="561" t="s">
        <v>137</v>
      </c>
      <c r="N1168" s="520"/>
      <c r="O1168" s="564"/>
      <c r="P1168" s="564" t="s">
        <v>1796</v>
      </c>
      <c r="Q1168" s="564"/>
      <c r="R1168" s="564">
        <v>1</v>
      </c>
    </row>
    <row r="1169" spans="1:18" ht="15" customHeight="1" x14ac:dyDescent="0.25">
      <c r="A1169" s="564">
        <v>13</v>
      </c>
      <c r="B1169" s="564">
        <v>4</v>
      </c>
      <c r="C1169" s="564">
        <v>2</v>
      </c>
      <c r="D1169" s="564">
        <v>1</v>
      </c>
      <c r="E1169" s="564">
        <v>2</v>
      </c>
      <c r="F1169" s="564">
        <v>2</v>
      </c>
      <c r="G1169" s="564" t="s">
        <v>491</v>
      </c>
      <c r="H1169" s="564">
        <v>1317.915</v>
      </c>
      <c r="I1169" s="564">
        <v>88</v>
      </c>
      <c r="J1169" s="564">
        <v>9</v>
      </c>
      <c r="K1169" s="564">
        <v>50</v>
      </c>
      <c r="L1169" s="564">
        <v>1</v>
      </c>
      <c r="M1169" s="561" t="s">
        <v>137</v>
      </c>
      <c r="N1169" s="520"/>
      <c r="O1169" s="564"/>
      <c r="P1169" s="564" t="s">
        <v>1797</v>
      </c>
      <c r="Q1169" s="564"/>
      <c r="R1169" s="564">
        <v>1</v>
      </c>
    </row>
    <row r="1170" spans="1:18" ht="15" customHeight="1" x14ac:dyDescent="0.25">
      <c r="A1170" s="564">
        <v>13</v>
      </c>
      <c r="B1170" s="564">
        <v>4</v>
      </c>
      <c r="C1170" s="564">
        <v>2</v>
      </c>
      <c r="D1170" s="564">
        <v>1</v>
      </c>
      <c r="E1170" s="564">
        <v>2</v>
      </c>
      <c r="F1170" s="564">
        <v>2</v>
      </c>
      <c r="G1170" s="564" t="s">
        <v>494</v>
      </c>
      <c r="H1170" s="564">
        <v>1317.915</v>
      </c>
      <c r="I1170" s="564">
        <v>88</v>
      </c>
      <c r="J1170" s="564">
        <v>9</v>
      </c>
      <c r="K1170" s="564">
        <v>50</v>
      </c>
      <c r="L1170" s="564">
        <v>1</v>
      </c>
      <c r="M1170" s="561" t="s">
        <v>137</v>
      </c>
      <c r="N1170" s="520"/>
      <c r="O1170" s="564"/>
      <c r="P1170" s="564" t="s">
        <v>1798</v>
      </c>
      <c r="Q1170" s="564"/>
      <c r="R1170" s="564">
        <v>1</v>
      </c>
    </row>
    <row r="1171" spans="1:18" ht="15" customHeight="1" x14ac:dyDescent="0.25">
      <c r="A1171" s="553">
        <v>14</v>
      </c>
      <c r="B1171" s="553">
        <v>7</v>
      </c>
      <c r="C1171" s="553">
        <v>2</v>
      </c>
      <c r="D1171" s="553">
        <v>20</v>
      </c>
      <c r="E1171" s="553">
        <v>1</v>
      </c>
      <c r="F1171" s="553">
        <v>1</v>
      </c>
      <c r="G1171" s="553" t="s">
        <v>473</v>
      </c>
      <c r="H1171" s="553">
        <v>1331.63</v>
      </c>
      <c r="I1171" s="553">
        <v>1</v>
      </c>
      <c r="J1171" s="553">
        <v>36</v>
      </c>
      <c r="K1171" s="553">
        <v>19</v>
      </c>
      <c r="L1171" s="553">
        <v>4</v>
      </c>
      <c r="M1171" s="505" t="s">
        <v>312</v>
      </c>
      <c r="N1171" s="500">
        <v>43047562820000</v>
      </c>
      <c r="O1171" s="553" t="s">
        <v>1799</v>
      </c>
      <c r="P1171" s="650" t="s">
        <v>1800</v>
      </c>
      <c r="Q1171" s="564" t="s">
        <v>583</v>
      </c>
      <c r="R1171" s="564">
        <v>2</v>
      </c>
    </row>
    <row r="1172" spans="1:18" ht="15" customHeight="1" x14ac:dyDescent="0.25">
      <c r="A1172" s="553">
        <v>14</v>
      </c>
      <c r="B1172" s="553">
        <v>7</v>
      </c>
      <c r="C1172" s="553">
        <v>2</v>
      </c>
      <c r="D1172" s="553">
        <v>20</v>
      </c>
      <c r="E1172" s="553">
        <v>1</v>
      </c>
      <c r="F1172" s="553">
        <v>1</v>
      </c>
      <c r="G1172" s="502" t="s">
        <v>476</v>
      </c>
      <c r="H1172" s="553">
        <v>1331.54</v>
      </c>
      <c r="I1172" s="553">
        <v>1</v>
      </c>
      <c r="J1172" s="553">
        <v>36</v>
      </c>
      <c r="K1172" s="553">
        <v>19</v>
      </c>
      <c r="L1172" s="553">
        <v>4</v>
      </c>
      <c r="M1172" s="505" t="s">
        <v>312</v>
      </c>
      <c r="N1172" s="500">
        <v>43047562820000</v>
      </c>
      <c r="O1172" s="553" t="s">
        <v>1799</v>
      </c>
      <c r="P1172" s="650" t="s">
        <v>1801</v>
      </c>
      <c r="Q1172" s="564" t="s">
        <v>583</v>
      </c>
      <c r="R1172" s="564">
        <v>2</v>
      </c>
    </row>
    <row r="1173" spans="1:18" ht="15" customHeight="1" x14ac:dyDescent="0.25">
      <c r="A1173" s="553">
        <v>14</v>
      </c>
      <c r="B1173" s="553">
        <v>7</v>
      </c>
      <c r="C1173" s="553">
        <v>2</v>
      </c>
      <c r="D1173" s="553">
        <v>20</v>
      </c>
      <c r="E1173" s="553">
        <v>1</v>
      </c>
      <c r="F1173" s="553">
        <v>1</v>
      </c>
      <c r="G1173" s="553" t="s">
        <v>478</v>
      </c>
      <c r="H1173" s="553">
        <v>1335.095</v>
      </c>
      <c r="I1173" s="553">
        <v>1</v>
      </c>
      <c r="J1173" s="553">
        <v>34</v>
      </c>
      <c r="K1173" s="553">
        <v>31</v>
      </c>
      <c r="L1173" s="553">
        <v>4</v>
      </c>
      <c r="M1173" s="505" t="s">
        <v>312</v>
      </c>
      <c r="N1173" s="500">
        <v>43047562820000</v>
      </c>
      <c r="O1173" s="553" t="s">
        <v>1799</v>
      </c>
      <c r="P1173" s="650" t="s">
        <v>1802</v>
      </c>
      <c r="Q1173" s="564" t="s">
        <v>583</v>
      </c>
      <c r="R1173" s="564">
        <v>2</v>
      </c>
    </row>
    <row r="1174" spans="1:18" ht="15" customHeight="1" x14ac:dyDescent="0.25">
      <c r="A1174" s="553">
        <v>14</v>
      </c>
      <c r="B1174" s="553">
        <v>7</v>
      </c>
      <c r="C1174" s="553">
        <v>2</v>
      </c>
      <c r="D1174" s="553">
        <v>20</v>
      </c>
      <c r="E1174" s="553">
        <v>1</v>
      </c>
      <c r="F1174" s="553">
        <v>1</v>
      </c>
      <c r="G1174" s="553" t="s">
        <v>484</v>
      </c>
      <c r="H1174" s="553">
        <v>1335.095</v>
      </c>
      <c r="I1174" s="553">
        <v>1</v>
      </c>
      <c r="J1174" s="553">
        <v>34</v>
      </c>
      <c r="K1174" s="553">
        <v>31</v>
      </c>
      <c r="L1174" s="553">
        <v>4</v>
      </c>
      <c r="M1174" s="505" t="s">
        <v>312</v>
      </c>
      <c r="N1174" s="500">
        <v>43047562820000</v>
      </c>
      <c r="O1174" s="553" t="s">
        <v>1799</v>
      </c>
      <c r="P1174" s="650" t="s">
        <v>1803</v>
      </c>
      <c r="Q1174" s="564" t="s">
        <v>583</v>
      </c>
      <c r="R1174" s="564">
        <v>2</v>
      </c>
    </row>
    <row r="1175" spans="1:18" ht="15" customHeight="1" x14ac:dyDescent="0.25">
      <c r="A1175" s="553">
        <v>14</v>
      </c>
      <c r="B1175" s="553">
        <v>7</v>
      </c>
      <c r="C1175" s="553">
        <v>2</v>
      </c>
      <c r="D1175" s="553">
        <v>20</v>
      </c>
      <c r="E1175" s="553">
        <v>1</v>
      </c>
      <c r="F1175" s="553">
        <v>1</v>
      </c>
      <c r="G1175" s="553" t="s">
        <v>486</v>
      </c>
      <c r="H1175" s="553">
        <v>1322.98</v>
      </c>
      <c r="I1175" s="553">
        <v>0</v>
      </c>
      <c r="J1175" s="553">
        <v>34</v>
      </c>
      <c r="K1175" s="553">
        <v>35</v>
      </c>
      <c r="L1175" s="553">
        <v>4</v>
      </c>
      <c r="M1175" s="505" t="s">
        <v>312</v>
      </c>
      <c r="N1175" s="500">
        <v>43047562820000</v>
      </c>
      <c r="O1175" s="553" t="s">
        <v>1799</v>
      </c>
      <c r="P1175" s="650" t="s">
        <v>1804</v>
      </c>
      <c r="Q1175" s="564" t="s">
        <v>583</v>
      </c>
      <c r="R1175" s="564">
        <v>2</v>
      </c>
    </row>
    <row r="1176" spans="1:18" ht="15" customHeight="1" x14ac:dyDescent="0.25">
      <c r="A1176" s="553">
        <v>14</v>
      </c>
      <c r="B1176" s="553">
        <v>7</v>
      </c>
      <c r="C1176" s="553">
        <v>2</v>
      </c>
      <c r="D1176" s="553">
        <v>20</v>
      </c>
      <c r="E1176" s="553">
        <v>1</v>
      </c>
      <c r="F1176" s="553">
        <v>1</v>
      </c>
      <c r="G1176" s="502" t="s">
        <v>488</v>
      </c>
      <c r="H1176" s="553">
        <v>1326.92</v>
      </c>
      <c r="I1176" s="553">
        <v>0</v>
      </c>
      <c r="J1176" s="553">
        <v>33</v>
      </c>
      <c r="K1176" s="553">
        <v>46</v>
      </c>
      <c r="L1176" s="553">
        <v>4</v>
      </c>
      <c r="M1176" s="505" t="s">
        <v>312</v>
      </c>
      <c r="N1176" s="500">
        <v>43047562820000</v>
      </c>
      <c r="O1176" s="553" t="s">
        <v>1799</v>
      </c>
      <c r="P1176" s="650" t="s">
        <v>1805</v>
      </c>
      <c r="Q1176" s="564" t="s">
        <v>583</v>
      </c>
      <c r="R1176" s="564">
        <v>2</v>
      </c>
    </row>
    <row r="1177" spans="1:18" ht="15" customHeight="1" x14ac:dyDescent="0.25">
      <c r="A1177" s="553">
        <v>14</v>
      </c>
      <c r="B1177" s="553">
        <v>7</v>
      </c>
      <c r="C1177" s="553">
        <v>2</v>
      </c>
      <c r="D1177" s="553">
        <v>20</v>
      </c>
      <c r="E1177" s="553">
        <v>1</v>
      </c>
      <c r="F1177" s="553">
        <v>1</v>
      </c>
      <c r="G1177" s="553" t="s">
        <v>490</v>
      </c>
      <c r="H1177" s="553">
        <v>1328.24</v>
      </c>
      <c r="I1177" s="553">
        <v>2</v>
      </c>
      <c r="J1177" s="553">
        <v>34</v>
      </c>
      <c r="K1177" s="553">
        <v>32</v>
      </c>
      <c r="L1177" s="553">
        <v>4</v>
      </c>
      <c r="M1177" s="505" t="s">
        <v>312</v>
      </c>
      <c r="N1177" s="500">
        <v>43047562820000</v>
      </c>
      <c r="O1177" s="553" t="s">
        <v>1799</v>
      </c>
      <c r="P1177" s="650" t="s">
        <v>1806</v>
      </c>
      <c r="Q1177" s="564" t="s">
        <v>583</v>
      </c>
      <c r="R1177" s="564">
        <v>2</v>
      </c>
    </row>
    <row r="1178" spans="1:18" ht="15" customHeight="1" x14ac:dyDescent="0.25">
      <c r="A1178" s="553">
        <v>14</v>
      </c>
      <c r="B1178" s="553">
        <v>7</v>
      </c>
      <c r="C1178" s="553">
        <v>2</v>
      </c>
      <c r="D1178" s="553">
        <v>20</v>
      </c>
      <c r="E1178" s="553">
        <v>1</v>
      </c>
      <c r="F1178" s="553">
        <v>1</v>
      </c>
      <c r="G1178" s="553" t="s">
        <v>493</v>
      </c>
      <c r="H1178" s="553">
        <v>1331.91</v>
      </c>
      <c r="I1178" s="553">
        <v>2</v>
      </c>
      <c r="J1178" s="553">
        <v>37</v>
      </c>
      <c r="K1178" s="553">
        <v>53</v>
      </c>
      <c r="L1178" s="553">
        <v>4</v>
      </c>
      <c r="M1178" s="505" t="s">
        <v>312</v>
      </c>
      <c r="N1178" s="500">
        <v>43047562820000</v>
      </c>
      <c r="O1178" s="553" t="s">
        <v>1799</v>
      </c>
      <c r="P1178" s="650" t="s">
        <v>1807</v>
      </c>
      <c r="Q1178" s="564" t="s">
        <v>583</v>
      </c>
      <c r="R1178" s="564">
        <v>2</v>
      </c>
    </row>
    <row r="1179" spans="1:18" ht="15" customHeight="1" x14ac:dyDescent="0.25">
      <c r="A1179" s="553">
        <v>14</v>
      </c>
      <c r="B1179" s="553">
        <v>7</v>
      </c>
      <c r="C1179" s="553">
        <v>2</v>
      </c>
      <c r="D1179" s="553">
        <v>20</v>
      </c>
      <c r="E1179" s="553">
        <v>1</v>
      </c>
      <c r="F1179" s="553">
        <v>1</v>
      </c>
      <c r="G1179" s="553" t="s">
        <v>474</v>
      </c>
      <c r="H1179" s="553">
        <v>1354</v>
      </c>
      <c r="I1179" s="553">
        <v>88</v>
      </c>
      <c r="J1179" s="553">
        <v>26</v>
      </c>
      <c r="K1179" s="553">
        <v>6</v>
      </c>
      <c r="L1179" s="553">
        <v>3</v>
      </c>
      <c r="M1179" s="505" t="s">
        <v>312</v>
      </c>
      <c r="N1179" s="500">
        <v>43047562820000</v>
      </c>
      <c r="O1179" s="553" t="s">
        <v>1799</v>
      </c>
      <c r="P1179" s="650" t="s">
        <v>1808</v>
      </c>
      <c r="Q1179" s="564" t="s">
        <v>583</v>
      </c>
      <c r="R1179" s="564">
        <v>2</v>
      </c>
    </row>
    <row r="1180" spans="1:18" ht="15" customHeight="1" x14ac:dyDescent="0.25">
      <c r="A1180" s="553">
        <v>14</v>
      </c>
      <c r="B1180" s="553">
        <v>7</v>
      </c>
      <c r="C1180" s="553">
        <v>2</v>
      </c>
      <c r="D1180" s="553">
        <v>20</v>
      </c>
      <c r="E1180" s="553">
        <v>1</v>
      </c>
      <c r="F1180" s="553">
        <v>1</v>
      </c>
      <c r="G1180" s="502" t="s">
        <v>477</v>
      </c>
      <c r="H1180" s="553">
        <v>1332.18</v>
      </c>
      <c r="I1180" s="553">
        <v>88</v>
      </c>
      <c r="J1180" s="553">
        <v>21</v>
      </c>
      <c r="K1180" s="553">
        <v>25</v>
      </c>
      <c r="L1180" s="553">
        <v>3</v>
      </c>
      <c r="M1180" s="505" t="s">
        <v>312</v>
      </c>
      <c r="N1180" s="500">
        <v>43047562820000</v>
      </c>
      <c r="O1180" s="553" t="s">
        <v>1799</v>
      </c>
      <c r="P1180" s="650" t="s">
        <v>1809</v>
      </c>
      <c r="Q1180" s="564" t="s">
        <v>583</v>
      </c>
      <c r="R1180" s="564">
        <v>2</v>
      </c>
    </row>
    <row r="1181" spans="1:18" ht="15" customHeight="1" x14ac:dyDescent="0.25">
      <c r="A1181" s="553">
        <v>14</v>
      </c>
      <c r="B1181" s="553">
        <v>7</v>
      </c>
      <c r="C1181" s="553">
        <v>2</v>
      </c>
      <c r="D1181" s="553">
        <v>20</v>
      </c>
      <c r="E1181" s="553">
        <v>1</v>
      </c>
      <c r="F1181" s="553">
        <v>1</v>
      </c>
      <c r="G1181" s="553" t="s">
        <v>479</v>
      </c>
      <c r="H1181" s="553">
        <v>1294.75</v>
      </c>
      <c r="I1181" s="553">
        <v>88</v>
      </c>
      <c r="J1181" s="553">
        <v>59</v>
      </c>
      <c r="K1181" s="553">
        <v>51</v>
      </c>
      <c r="L1181" s="553">
        <v>3</v>
      </c>
      <c r="M1181" s="505" t="s">
        <v>312</v>
      </c>
      <c r="N1181" s="500">
        <v>43047562820000</v>
      </c>
      <c r="O1181" s="553" t="s">
        <v>1799</v>
      </c>
      <c r="P1181" s="650" t="s">
        <v>1810</v>
      </c>
      <c r="Q1181" s="564" t="s">
        <v>583</v>
      </c>
      <c r="R1181" s="564">
        <v>2</v>
      </c>
    </row>
    <row r="1182" spans="1:18" ht="15" customHeight="1" x14ac:dyDescent="0.25">
      <c r="A1182" s="553">
        <v>14</v>
      </c>
      <c r="B1182" s="553">
        <v>7</v>
      </c>
      <c r="C1182" s="553">
        <v>2</v>
      </c>
      <c r="D1182" s="553">
        <v>20</v>
      </c>
      <c r="E1182" s="553">
        <v>1</v>
      </c>
      <c r="F1182" s="553">
        <v>1</v>
      </c>
      <c r="G1182" s="553" t="s">
        <v>485</v>
      </c>
      <c r="H1182" s="553">
        <v>1349.78</v>
      </c>
      <c r="I1182" s="553">
        <v>88</v>
      </c>
      <c r="J1182" s="553">
        <v>35</v>
      </c>
      <c r="K1182" s="553">
        <v>19</v>
      </c>
      <c r="L1182" s="553">
        <v>3</v>
      </c>
      <c r="M1182" s="505" t="s">
        <v>312</v>
      </c>
      <c r="N1182" s="500">
        <v>43047562820000</v>
      </c>
      <c r="O1182" s="553" t="s">
        <v>1799</v>
      </c>
      <c r="P1182" s="650" t="s">
        <v>1811</v>
      </c>
      <c r="Q1182" s="564" t="s">
        <v>583</v>
      </c>
      <c r="R1182" s="564">
        <v>2</v>
      </c>
    </row>
    <row r="1183" spans="1:18" ht="15" customHeight="1" x14ac:dyDescent="0.25">
      <c r="A1183" s="553">
        <v>14</v>
      </c>
      <c r="B1183" s="553">
        <v>7</v>
      </c>
      <c r="C1183" s="553">
        <v>2</v>
      </c>
      <c r="D1183" s="553">
        <v>20</v>
      </c>
      <c r="E1183" s="553">
        <v>1</v>
      </c>
      <c r="F1183" s="553">
        <v>1</v>
      </c>
      <c r="G1183" s="553" t="s">
        <v>487</v>
      </c>
      <c r="H1183" s="553">
        <v>1332.67</v>
      </c>
      <c r="I1183" s="553">
        <v>88</v>
      </c>
      <c r="J1183" s="553">
        <v>7</v>
      </c>
      <c r="K1183" s="553">
        <v>53</v>
      </c>
      <c r="L1183" s="553">
        <v>3</v>
      </c>
      <c r="M1183" s="505" t="s">
        <v>312</v>
      </c>
      <c r="N1183" s="500">
        <v>43047562820000</v>
      </c>
      <c r="O1183" s="553" t="s">
        <v>1799</v>
      </c>
      <c r="P1183" s="650" t="s">
        <v>1812</v>
      </c>
      <c r="Q1183" s="564" t="s">
        <v>583</v>
      </c>
      <c r="R1183" s="564">
        <v>2</v>
      </c>
    </row>
    <row r="1184" spans="1:18" ht="15" customHeight="1" x14ac:dyDescent="0.25">
      <c r="A1184" s="553">
        <v>14</v>
      </c>
      <c r="B1184" s="553">
        <v>7</v>
      </c>
      <c r="C1184" s="553">
        <v>2</v>
      </c>
      <c r="D1184" s="553">
        <v>20</v>
      </c>
      <c r="E1184" s="553">
        <v>1</v>
      </c>
      <c r="F1184" s="553">
        <v>1</v>
      </c>
      <c r="G1184" s="502" t="s">
        <v>489</v>
      </c>
      <c r="H1184" s="553">
        <v>1332.67</v>
      </c>
      <c r="I1184" s="553">
        <v>88</v>
      </c>
      <c r="J1184" s="553">
        <v>7</v>
      </c>
      <c r="K1184" s="553">
        <v>53</v>
      </c>
      <c r="L1184" s="553">
        <v>3</v>
      </c>
      <c r="M1184" s="505" t="s">
        <v>312</v>
      </c>
      <c r="N1184" s="500">
        <v>43047562820000</v>
      </c>
      <c r="O1184" s="553" t="s">
        <v>1799</v>
      </c>
      <c r="P1184" s="650" t="s">
        <v>1813</v>
      </c>
      <c r="Q1184" s="564" t="s">
        <v>583</v>
      </c>
      <c r="R1184" s="564">
        <v>2</v>
      </c>
    </row>
    <row r="1185" spans="1:18" ht="15" customHeight="1" x14ac:dyDescent="0.25">
      <c r="A1185" s="553">
        <v>14</v>
      </c>
      <c r="B1185" s="553">
        <v>7</v>
      </c>
      <c r="C1185" s="553">
        <v>2</v>
      </c>
      <c r="D1185" s="553">
        <v>20</v>
      </c>
      <c r="E1185" s="553">
        <v>1</v>
      </c>
      <c r="F1185" s="553">
        <v>1</v>
      </c>
      <c r="G1185" s="553" t="s">
        <v>491</v>
      </c>
      <c r="H1185" s="553">
        <v>1332.585</v>
      </c>
      <c r="I1185" s="553">
        <v>88</v>
      </c>
      <c r="J1185" s="553">
        <v>31</v>
      </c>
      <c r="K1185" s="553">
        <v>54</v>
      </c>
      <c r="L1185" s="553">
        <v>3</v>
      </c>
      <c r="M1185" s="505" t="s">
        <v>312</v>
      </c>
      <c r="N1185" s="500">
        <v>43047562820000</v>
      </c>
      <c r="O1185" s="553" t="s">
        <v>1799</v>
      </c>
      <c r="P1185" s="650" t="s">
        <v>1814</v>
      </c>
      <c r="Q1185" s="564" t="s">
        <v>583</v>
      </c>
      <c r="R1185" s="564">
        <v>2</v>
      </c>
    </row>
    <row r="1186" spans="1:18" ht="15" customHeight="1" x14ac:dyDescent="0.25">
      <c r="A1186" s="553">
        <v>14</v>
      </c>
      <c r="B1186" s="553">
        <v>7</v>
      </c>
      <c r="C1186" s="553">
        <v>2</v>
      </c>
      <c r="D1186" s="553">
        <v>20</v>
      </c>
      <c r="E1186" s="553">
        <v>1</v>
      </c>
      <c r="F1186" s="553">
        <v>1</v>
      </c>
      <c r="G1186" s="553" t="s">
        <v>494</v>
      </c>
      <c r="H1186" s="553">
        <v>1332.585</v>
      </c>
      <c r="I1186" s="553">
        <v>88</v>
      </c>
      <c r="J1186" s="553">
        <v>31</v>
      </c>
      <c r="K1186" s="553">
        <v>54</v>
      </c>
      <c r="L1186" s="553">
        <v>3</v>
      </c>
      <c r="M1186" s="505" t="s">
        <v>312</v>
      </c>
      <c r="N1186" s="500">
        <v>43047562820000</v>
      </c>
      <c r="O1186" s="553" t="s">
        <v>1799</v>
      </c>
      <c r="P1186" s="650" t="s">
        <v>1815</v>
      </c>
      <c r="Q1186" s="564" t="s">
        <v>583</v>
      </c>
      <c r="R1186" s="564">
        <v>2</v>
      </c>
    </row>
    <row r="1187" spans="1:18" ht="15" customHeight="1" x14ac:dyDescent="0.25">
      <c r="A1187" s="553">
        <v>14</v>
      </c>
      <c r="B1187" s="553">
        <v>2</v>
      </c>
      <c r="C1187" s="553">
        <v>2</v>
      </c>
      <c r="D1187" s="553">
        <v>3</v>
      </c>
      <c r="E1187" s="553">
        <v>2</v>
      </c>
      <c r="F1187" s="553">
        <v>2</v>
      </c>
      <c r="G1187" s="553" t="s">
        <v>473</v>
      </c>
      <c r="H1187" s="553">
        <v>1316.97</v>
      </c>
      <c r="I1187" s="553">
        <v>0</v>
      </c>
      <c r="J1187" s="553">
        <v>13</v>
      </c>
      <c r="K1187" s="553">
        <v>58</v>
      </c>
      <c r="L1187" s="553">
        <v>3</v>
      </c>
      <c r="M1187" s="505" t="s">
        <v>137</v>
      </c>
      <c r="N1187" s="500">
        <v>43013538440000</v>
      </c>
      <c r="O1187" s="553" t="s">
        <v>1716</v>
      </c>
      <c r="P1187" s="650" t="s">
        <v>1816</v>
      </c>
      <c r="Q1187" s="564" t="s">
        <v>583</v>
      </c>
      <c r="R1187" s="564">
        <v>1</v>
      </c>
    </row>
    <row r="1188" spans="1:18" ht="15" customHeight="1" x14ac:dyDescent="0.25">
      <c r="A1188" s="553">
        <v>14</v>
      </c>
      <c r="B1188" s="553">
        <v>2</v>
      </c>
      <c r="C1188" s="553">
        <v>2</v>
      </c>
      <c r="D1188" s="553">
        <v>3</v>
      </c>
      <c r="E1188" s="553">
        <v>2</v>
      </c>
      <c r="F1188" s="553">
        <v>2</v>
      </c>
      <c r="G1188" s="502" t="s">
        <v>476</v>
      </c>
      <c r="H1188" s="553">
        <v>1316.97</v>
      </c>
      <c r="I1188" s="553">
        <v>0</v>
      </c>
      <c r="J1188" s="553">
        <v>13</v>
      </c>
      <c r="K1188" s="553">
        <v>58</v>
      </c>
      <c r="L1188" s="553">
        <v>3</v>
      </c>
      <c r="M1188" s="505" t="s">
        <v>137</v>
      </c>
      <c r="N1188" s="500">
        <v>43013538440000</v>
      </c>
      <c r="O1188" s="553" t="s">
        <v>1716</v>
      </c>
      <c r="P1188" s="650" t="s">
        <v>1817</v>
      </c>
      <c r="Q1188" s="564" t="s">
        <v>583</v>
      </c>
      <c r="R1188" s="564">
        <v>1</v>
      </c>
    </row>
    <row r="1189" spans="1:18" ht="15" customHeight="1" x14ac:dyDescent="0.25">
      <c r="A1189" s="553">
        <v>14</v>
      </c>
      <c r="B1189" s="553">
        <v>2</v>
      </c>
      <c r="C1189" s="553">
        <v>2</v>
      </c>
      <c r="D1189" s="553">
        <v>3</v>
      </c>
      <c r="E1189" s="553">
        <v>2</v>
      </c>
      <c r="F1189" s="553">
        <v>2</v>
      </c>
      <c r="G1189" s="553" t="s">
        <v>478</v>
      </c>
      <c r="H1189" s="553">
        <v>1316.97</v>
      </c>
      <c r="I1189" s="553">
        <v>0</v>
      </c>
      <c r="J1189" s="553">
        <v>13</v>
      </c>
      <c r="K1189" s="553">
        <v>58</v>
      </c>
      <c r="L1189" s="553">
        <v>3</v>
      </c>
      <c r="M1189" s="505" t="s">
        <v>137</v>
      </c>
      <c r="N1189" s="500">
        <v>43013538440000</v>
      </c>
      <c r="O1189" s="553" t="s">
        <v>1716</v>
      </c>
      <c r="P1189" s="650" t="s">
        <v>1818</v>
      </c>
      <c r="Q1189" s="564" t="s">
        <v>583</v>
      </c>
      <c r="R1189" s="564">
        <v>1</v>
      </c>
    </row>
    <row r="1190" spans="1:18" ht="15" customHeight="1" x14ac:dyDescent="0.25">
      <c r="A1190" s="553">
        <v>14</v>
      </c>
      <c r="B1190" s="553">
        <v>2</v>
      </c>
      <c r="C1190" s="553">
        <v>2</v>
      </c>
      <c r="D1190" s="553">
        <v>3</v>
      </c>
      <c r="E1190" s="553">
        <v>2</v>
      </c>
      <c r="F1190" s="553">
        <v>2</v>
      </c>
      <c r="G1190" s="553" t="s">
        <v>484</v>
      </c>
      <c r="H1190" s="553">
        <v>1316.97</v>
      </c>
      <c r="I1190" s="553">
        <v>0</v>
      </c>
      <c r="J1190" s="553">
        <v>13</v>
      </c>
      <c r="K1190" s="553">
        <v>58</v>
      </c>
      <c r="L1190" s="553">
        <v>3</v>
      </c>
      <c r="M1190" s="505" t="s">
        <v>137</v>
      </c>
      <c r="N1190" s="500">
        <v>43013538440000</v>
      </c>
      <c r="O1190" s="553" t="s">
        <v>1716</v>
      </c>
      <c r="P1190" s="650" t="s">
        <v>1819</v>
      </c>
      <c r="Q1190" s="564" t="s">
        <v>583</v>
      </c>
      <c r="R1190" s="564">
        <v>1</v>
      </c>
    </row>
    <row r="1191" spans="1:18" ht="15" customHeight="1" x14ac:dyDescent="0.25">
      <c r="A1191" s="553">
        <v>14</v>
      </c>
      <c r="B1191" s="553">
        <v>2</v>
      </c>
      <c r="C1191" s="553">
        <v>2</v>
      </c>
      <c r="D1191" s="553">
        <v>3</v>
      </c>
      <c r="E1191" s="553">
        <v>2</v>
      </c>
      <c r="F1191" s="553">
        <v>2</v>
      </c>
      <c r="G1191" s="553" t="s">
        <v>486</v>
      </c>
      <c r="H1191" s="553">
        <v>1313.67</v>
      </c>
      <c r="I1191" s="553">
        <v>0</v>
      </c>
      <c r="J1191" s="553">
        <v>12</v>
      </c>
      <c r="K1191" s="553">
        <v>44</v>
      </c>
      <c r="L1191" s="553">
        <v>3</v>
      </c>
      <c r="M1191" s="505" t="s">
        <v>137</v>
      </c>
      <c r="N1191" s="500">
        <v>43013538440000</v>
      </c>
      <c r="O1191" s="553" t="s">
        <v>1716</v>
      </c>
      <c r="P1191" s="650" t="s">
        <v>1820</v>
      </c>
      <c r="Q1191" s="564" t="s">
        <v>583</v>
      </c>
      <c r="R1191" s="564">
        <v>1</v>
      </c>
    </row>
    <row r="1192" spans="1:18" ht="15" customHeight="1" x14ac:dyDescent="0.25">
      <c r="A1192" s="553">
        <v>14</v>
      </c>
      <c r="B1192" s="553">
        <v>2</v>
      </c>
      <c r="C1192" s="553">
        <v>2</v>
      </c>
      <c r="D1192" s="553">
        <v>3</v>
      </c>
      <c r="E1192" s="553">
        <v>2</v>
      </c>
      <c r="F1192" s="553">
        <v>2</v>
      </c>
      <c r="G1192" s="502" t="s">
        <v>488</v>
      </c>
      <c r="H1192" s="553">
        <v>1313.53</v>
      </c>
      <c r="I1192" s="553">
        <v>0</v>
      </c>
      <c r="J1192" s="553">
        <v>12</v>
      </c>
      <c r="K1192" s="553">
        <v>18</v>
      </c>
      <c r="L1192" s="553">
        <v>3</v>
      </c>
      <c r="M1192" s="505" t="s">
        <v>137</v>
      </c>
      <c r="N1192" s="500">
        <v>43013538440000</v>
      </c>
      <c r="O1192" s="553" t="s">
        <v>1716</v>
      </c>
      <c r="P1192" s="650" t="s">
        <v>1821</v>
      </c>
      <c r="Q1192" s="564" t="s">
        <v>583</v>
      </c>
      <c r="R1192" s="564">
        <v>1</v>
      </c>
    </row>
    <row r="1193" spans="1:18" ht="15" customHeight="1" x14ac:dyDescent="0.25">
      <c r="A1193" s="553">
        <v>14</v>
      </c>
      <c r="B1193" s="553">
        <v>2</v>
      </c>
      <c r="C1193" s="553">
        <v>2</v>
      </c>
      <c r="D1193" s="553">
        <v>3</v>
      </c>
      <c r="E1193" s="553">
        <v>2</v>
      </c>
      <c r="F1193" s="553">
        <v>2</v>
      </c>
      <c r="G1193" s="553" t="s">
        <v>490</v>
      </c>
      <c r="H1193" s="553">
        <v>1313.55</v>
      </c>
      <c r="I1193" s="553">
        <v>0</v>
      </c>
      <c r="J1193" s="553">
        <v>12</v>
      </c>
      <c r="K1193" s="553">
        <v>25</v>
      </c>
      <c r="L1193" s="553">
        <v>3</v>
      </c>
      <c r="M1193" s="505" t="s">
        <v>137</v>
      </c>
      <c r="N1193" s="500">
        <v>43013538440000</v>
      </c>
      <c r="O1193" s="553" t="s">
        <v>1716</v>
      </c>
      <c r="P1193" s="650" t="s">
        <v>1822</v>
      </c>
      <c r="Q1193" s="564" t="s">
        <v>583</v>
      </c>
      <c r="R1193" s="564">
        <v>1</v>
      </c>
    </row>
    <row r="1194" spans="1:18" ht="15" customHeight="1" x14ac:dyDescent="0.25">
      <c r="A1194" s="553">
        <v>14</v>
      </c>
      <c r="B1194" s="553">
        <v>2</v>
      </c>
      <c r="C1194" s="553">
        <v>2</v>
      </c>
      <c r="D1194" s="553">
        <v>3</v>
      </c>
      <c r="E1194" s="553">
        <v>2</v>
      </c>
      <c r="F1194" s="553">
        <v>2</v>
      </c>
      <c r="G1194" s="553" t="s">
        <v>493</v>
      </c>
      <c r="H1194" s="553">
        <v>1313.69</v>
      </c>
      <c r="I1194" s="553">
        <v>0</v>
      </c>
      <c r="J1194" s="553">
        <v>12</v>
      </c>
      <c r="K1194" s="553">
        <v>40</v>
      </c>
      <c r="L1194" s="553">
        <v>3</v>
      </c>
      <c r="M1194" s="505" t="s">
        <v>137</v>
      </c>
      <c r="N1194" s="500">
        <v>43013538440000</v>
      </c>
      <c r="O1194" s="553" t="s">
        <v>1716</v>
      </c>
      <c r="P1194" s="650" t="s">
        <v>1823</v>
      </c>
      <c r="Q1194" s="564" t="s">
        <v>583</v>
      </c>
      <c r="R1194" s="564">
        <v>1</v>
      </c>
    </row>
    <row r="1195" spans="1:18" ht="15" customHeight="1" x14ac:dyDescent="0.25">
      <c r="A1195" s="553">
        <v>14</v>
      </c>
      <c r="B1195" s="553">
        <v>2</v>
      </c>
      <c r="C1195" s="553">
        <v>2</v>
      </c>
      <c r="D1195" s="553">
        <v>3</v>
      </c>
      <c r="E1195" s="553">
        <v>2</v>
      </c>
      <c r="F1195" s="553">
        <v>2</v>
      </c>
      <c r="G1195" s="553" t="s">
        <v>474</v>
      </c>
      <c r="H1195" s="553">
        <v>1321.0025000000001</v>
      </c>
      <c r="I1195" s="553">
        <v>89</v>
      </c>
      <c r="J1195" s="553">
        <v>49</v>
      </c>
      <c r="K1195" s="553">
        <v>43</v>
      </c>
      <c r="L1195" s="553">
        <v>3</v>
      </c>
      <c r="M1195" s="505" t="s">
        <v>137</v>
      </c>
      <c r="N1195" s="500">
        <v>43013538440000</v>
      </c>
      <c r="O1195" s="553" t="s">
        <v>1716</v>
      </c>
      <c r="P1195" s="650" t="s">
        <v>1824</v>
      </c>
      <c r="Q1195" s="564" t="s">
        <v>583</v>
      </c>
      <c r="R1195" s="564">
        <v>1</v>
      </c>
    </row>
    <row r="1196" spans="1:18" ht="15" customHeight="1" x14ac:dyDescent="0.25">
      <c r="A1196" s="553">
        <v>14</v>
      </c>
      <c r="B1196" s="553">
        <v>2</v>
      </c>
      <c r="C1196" s="553">
        <v>2</v>
      </c>
      <c r="D1196" s="553">
        <v>3</v>
      </c>
      <c r="E1196" s="553">
        <v>2</v>
      </c>
      <c r="F1196" s="553">
        <v>2</v>
      </c>
      <c r="G1196" s="502" t="s">
        <v>477</v>
      </c>
      <c r="H1196" s="553">
        <v>1321.0025000000001</v>
      </c>
      <c r="I1196" s="553">
        <v>89</v>
      </c>
      <c r="J1196" s="553">
        <v>49</v>
      </c>
      <c r="K1196" s="553">
        <v>43</v>
      </c>
      <c r="L1196" s="553">
        <v>3</v>
      </c>
      <c r="M1196" s="505" t="s">
        <v>137</v>
      </c>
      <c r="N1196" s="500">
        <v>43013538440000</v>
      </c>
      <c r="O1196" s="553" t="s">
        <v>1716</v>
      </c>
      <c r="P1196" s="650" t="s">
        <v>1825</v>
      </c>
      <c r="Q1196" s="564" t="s">
        <v>583</v>
      </c>
      <c r="R1196" s="564">
        <v>1</v>
      </c>
    </row>
    <row r="1197" spans="1:18" ht="15" customHeight="1" x14ac:dyDescent="0.25">
      <c r="A1197" s="553">
        <v>14</v>
      </c>
      <c r="B1197" s="553">
        <v>2</v>
      </c>
      <c r="C1197" s="553">
        <v>2</v>
      </c>
      <c r="D1197" s="553">
        <v>3</v>
      </c>
      <c r="E1197" s="553">
        <v>2</v>
      </c>
      <c r="F1197" s="553">
        <v>2</v>
      </c>
      <c r="G1197" s="553" t="s">
        <v>479</v>
      </c>
      <c r="H1197" s="553">
        <v>1321.0025000000001</v>
      </c>
      <c r="I1197" s="553">
        <v>89</v>
      </c>
      <c r="J1197" s="553">
        <v>49</v>
      </c>
      <c r="K1197" s="553">
        <v>43</v>
      </c>
      <c r="L1197" s="553">
        <v>3</v>
      </c>
      <c r="M1197" s="505" t="s">
        <v>137</v>
      </c>
      <c r="N1197" s="500">
        <v>43013538440000</v>
      </c>
      <c r="O1197" s="553" t="s">
        <v>1716</v>
      </c>
      <c r="P1197" s="650" t="s">
        <v>1826</v>
      </c>
      <c r="Q1197" s="564" t="s">
        <v>583</v>
      </c>
      <c r="R1197" s="564">
        <v>1</v>
      </c>
    </row>
    <row r="1198" spans="1:18" ht="15" customHeight="1" x14ac:dyDescent="0.25">
      <c r="A1198" s="553">
        <v>14</v>
      </c>
      <c r="B1198" s="553">
        <v>2</v>
      </c>
      <c r="C1198" s="553">
        <v>2</v>
      </c>
      <c r="D1198" s="553">
        <v>3</v>
      </c>
      <c r="E1198" s="553">
        <v>2</v>
      </c>
      <c r="F1198" s="553">
        <v>2</v>
      </c>
      <c r="G1198" s="553" t="s">
        <v>485</v>
      </c>
      <c r="H1198" s="553">
        <v>1321.0025000000001</v>
      </c>
      <c r="I1198" s="553">
        <v>89</v>
      </c>
      <c r="J1198" s="553">
        <v>49</v>
      </c>
      <c r="K1198" s="553">
        <v>43</v>
      </c>
      <c r="L1198" s="553">
        <v>3</v>
      </c>
      <c r="M1198" s="505" t="s">
        <v>137</v>
      </c>
      <c r="N1198" s="500">
        <v>43013538440000</v>
      </c>
      <c r="O1198" s="553" t="s">
        <v>1716</v>
      </c>
      <c r="P1198" s="650" t="s">
        <v>1827</v>
      </c>
      <c r="Q1198" s="564" t="s">
        <v>583</v>
      </c>
      <c r="R1198" s="564">
        <v>1</v>
      </c>
    </row>
    <row r="1199" spans="1:18" ht="15" customHeight="1" x14ac:dyDescent="0.25">
      <c r="A1199" s="553">
        <v>14</v>
      </c>
      <c r="B1199" s="553">
        <v>2</v>
      </c>
      <c r="C1199" s="553">
        <v>2</v>
      </c>
      <c r="D1199" s="553">
        <v>3</v>
      </c>
      <c r="E1199" s="553">
        <v>2</v>
      </c>
      <c r="F1199" s="553">
        <v>2</v>
      </c>
      <c r="G1199" s="553" t="s">
        <v>487</v>
      </c>
      <c r="H1199" s="553">
        <v>1320.395</v>
      </c>
      <c r="I1199" s="553">
        <v>89</v>
      </c>
      <c r="J1199" s="553">
        <v>56</v>
      </c>
      <c r="K1199" s="553">
        <v>28</v>
      </c>
      <c r="L1199" s="553">
        <v>4</v>
      </c>
      <c r="M1199" s="505" t="s">
        <v>137</v>
      </c>
      <c r="N1199" s="500">
        <v>43013538440000</v>
      </c>
      <c r="O1199" s="553" t="s">
        <v>1716</v>
      </c>
      <c r="P1199" s="650" t="s">
        <v>1828</v>
      </c>
      <c r="Q1199" s="564" t="s">
        <v>583</v>
      </c>
      <c r="R1199" s="564">
        <v>1</v>
      </c>
    </row>
    <row r="1200" spans="1:18" ht="15" customHeight="1" x14ac:dyDescent="0.25">
      <c r="A1200" s="553">
        <v>14</v>
      </c>
      <c r="B1200" s="553">
        <v>2</v>
      </c>
      <c r="C1200" s="553">
        <v>2</v>
      </c>
      <c r="D1200" s="553">
        <v>3</v>
      </c>
      <c r="E1200" s="553">
        <v>2</v>
      </c>
      <c r="F1200" s="553">
        <v>2</v>
      </c>
      <c r="G1200" s="502" t="s">
        <v>489</v>
      </c>
      <c r="H1200" s="553">
        <v>1320.395</v>
      </c>
      <c r="I1200" s="553">
        <v>89</v>
      </c>
      <c r="J1200" s="553">
        <v>56</v>
      </c>
      <c r="K1200" s="553">
        <v>28</v>
      </c>
      <c r="L1200" s="553">
        <v>4</v>
      </c>
      <c r="M1200" s="505" t="s">
        <v>137</v>
      </c>
      <c r="N1200" s="500">
        <v>43013538440000</v>
      </c>
      <c r="O1200" s="553" t="s">
        <v>1716</v>
      </c>
      <c r="P1200" s="650" t="s">
        <v>1829</v>
      </c>
      <c r="Q1200" s="564" t="s">
        <v>583</v>
      </c>
      <c r="R1200" s="564">
        <v>1</v>
      </c>
    </row>
    <row r="1201" spans="1:20" ht="15" customHeight="1" x14ac:dyDescent="0.25">
      <c r="A1201" s="553">
        <v>14</v>
      </c>
      <c r="B1201" s="553">
        <v>2</v>
      </c>
      <c r="C1201" s="553">
        <v>2</v>
      </c>
      <c r="D1201" s="553">
        <v>3</v>
      </c>
      <c r="E1201" s="553">
        <v>2</v>
      </c>
      <c r="F1201" s="553">
        <v>2</v>
      </c>
      <c r="G1201" s="553" t="s">
        <v>491</v>
      </c>
      <c r="H1201" s="553">
        <v>1322.8150000000001</v>
      </c>
      <c r="I1201" s="553">
        <v>89</v>
      </c>
      <c r="J1201" s="553">
        <v>18</v>
      </c>
      <c r="K1201" s="553">
        <v>29</v>
      </c>
      <c r="L1201" s="553">
        <v>3</v>
      </c>
      <c r="M1201" s="505" t="s">
        <v>137</v>
      </c>
      <c r="N1201" s="500">
        <v>43013538440000</v>
      </c>
      <c r="O1201" s="553" t="s">
        <v>1716</v>
      </c>
      <c r="P1201" s="650" t="s">
        <v>1830</v>
      </c>
      <c r="Q1201" s="564" t="s">
        <v>583</v>
      </c>
      <c r="R1201" s="564">
        <v>1</v>
      </c>
    </row>
    <row r="1202" spans="1:20" ht="15" customHeight="1" x14ac:dyDescent="0.25">
      <c r="A1202" s="553">
        <v>14</v>
      </c>
      <c r="B1202" s="553">
        <v>2</v>
      </c>
      <c r="C1202" s="553">
        <v>2</v>
      </c>
      <c r="D1202" s="553">
        <v>3</v>
      </c>
      <c r="E1202" s="553">
        <v>2</v>
      </c>
      <c r="F1202" s="553">
        <v>2</v>
      </c>
      <c r="G1202" s="553" t="s">
        <v>494</v>
      </c>
      <c r="H1202" s="553">
        <v>1322.8150000000001</v>
      </c>
      <c r="I1202" s="553">
        <v>89</v>
      </c>
      <c r="J1202" s="553">
        <v>18</v>
      </c>
      <c r="K1202" s="553">
        <v>29</v>
      </c>
      <c r="L1202" s="553">
        <v>3</v>
      </c>
      <c r="M1202" s="505" t="s">
        <v>137</v>
      </c>
      <c r="N1202" s="500">
        <v>43013538440000</v>
      </c>
      <c r="O1202" s="553" t="s">
        <v>1716</v>
      </c>
      <c r="P1202" s="650" t="s">
        <v>1831</v>
      </c>
      <c r="Q1202" s="564" t="s">
        <v>583</v>
      </c>
      <c r="R1202" s="564">
        <v>1</v>
      </c>
    </row>
    <row r="1203" spans="1:20" s="484" customFormat="1" ht="15" customHeight="1" x14ac:dyDescent="0.25">
      <c r="A1203" s="553">
        <v>14</v>
      </c>
      <c r="B1203" s="553">
        <v>4</v>
      </c>
      <c r="C1203" s="553">
        <v>2</v>
      </c>
      <c r="D1203" s="553">
        <v>2</v>
      </c>
      <c r="E1203" s="553">
        <v>1</v>
      </c>
      <c r="F1203" s="553">
        <v>2</v>
      </c>
      <c r="G1203" s="553" t="s">
        <v>473</v>
      </c>
      <c r="H1203" s="553">
        <v>2069.41</v>
      </c>
      <c r="I1203" s="553">
        <v>1</v>
      </c>
      <c r="J1203" s="553">
        <v>6</v>
      </c>
      <c r="K1203" s="553">
        <v>43</v>
      </c>
      <c r="L1203" s="553">
        <v>4</v>
      </c>
      <c r="M1203" s="505" t="s">
        <v>312</v>
      </c>
      <c r="N1203" s="500">
        <v>43047561140000</v>
      </c>
      <c r="O1203" s="553" t="s">
        <v>1832</v>
      </c>
      <c r="P1203" s="650" t="s">
        <v>1833</v>
      </c>
      <c r="Q1203" s="564" t="s">
        <v>583</v>
      </c>
      <c r="R1203" s="564">
        <v>2</v>
      </c>
      <c r="S1203" s="493"/>
      <c r="T1203" s="493"/>
    </row>
    <row r="1204" spans="1:20" s="484" customFormat="1" ht="15" customHeight="1" x14ac:dyDescent="0.25">
      <c r="A1204" s="553">
        <v>14</v>
      </c>
      <c r="B1204" s="553">
        <v>4</v>
      </c>
      <c r="C1204" s="553">
        <v>2</v>
      </c>
      <c r="D1204" s="553">
        <v>2</v>
      </c>
      <c r="E1204" s="553">
        <v>1</v>
      </c>
      <c r="F1204" s="553">
        <v>2</v>
      </c>
      <c r="G1204" s="502" t="s">
        <v>476</v>
      </c>
      <c r="H1204" s="501">
        <v>1318.3150000000001</v>
      </c>
      <c r="I1204" s="553">
        <v>1</v>
      </c>
      <c r="J1204" s="553">
        <v>5</v>
      </c>
      <c r="K1204" s="553">
        <v>4</v>
      </c>
      <c r="L1204" s="553">
        <v>4</v>
      </c>
      <c r="M1204" s="505" t="s">
        <v>312</v>
      </c>
      <c r="N1204" s="500">
        <v>43047561140000</v>
      </c>
      <c r="O1204" s="553" t="s">
        <v>1832</v>
      </c>
      <c r="P1204" s="650" t="s">
        <v>1834</v>
      </c>
      <c r="Q1204" s="564" t="s">
        <v>583</v>
      </c>
      <c r="R1204" s="564">
        <v>2</v>
      </c>
      <c r="S1204" s="493"/>
      <c r="T1204" s="493"/>
    </row>
    <row r="1205" spans="1:20" s="484" customFormat="1" ht="15" customHeight="1" x14ac:dyDescent="0.25">
      <c r="A1205" s="553">
        <v>14</v>
      </c>
      <c r="B1205" s="553">
        <v>4</v>
      </c>
      <c r="C1205" s="553">
        <v>2</v>
      </c>
      <c r="D1205" s="553">
        <v>2</v>
      </c>
      <c r="E1205" s="553">
        <v>1</v>
      </c>
      <c r="F1205" s="553">
        <v>2</v>
      </c>
      <c r="G1205" s="553" t="s">
        <v>478</v>
      </c>
      <c r="H1205" s="501">
        <v>1318.3150000000001</v>
      </c>
      <c r="I1205" s="553">
        <v>1</v>
      </c>
      <c r="J1205" s="553">
        <v>5</v>
      </c>
      <c r="K1205" s="553">
        <v>4</v>
      </c>
      <c r="L1205" s="553">
        <v>4</v>
      </c>
      <c r="M1205" s="505" t="s">
        <v>312</v>
      </c>
      <c r="N1205" s="500">
        <v>43047561140000</v>
      </c>
      <c r="O1205" s="553" t="s">
        <v>1832</v>
      </c>
      <c r="P1205" s="650" t="s">
        <v>1835</v>
      </c>
      <c r="Q1205" s="564" t="s">
        <v>583</v>
      </c>
      <c r="R1205" s="564">
        <v>2</v>
      </c>
      <c r="S1205" s="493"/>
      <c r="T1205" s="493"/>
    </row>
    <row r="1206" spans="1:20" s="484" customFormat="1" ht="15" customHeight="1" x14ac:dyDescent="0.25">
      <c r="A1206" s="553">
        <v>14</v>
      </c>
      <c r="B1206" s="553">
        <v>4</v>
      </c>
      <c r="C1206" s="553">
        <v>2</v>
      </c>
      <c r="D1206" s="553">
        <v>2</v>
      </c>
      <c r="E1206" s="553">
        <v>1</v>
      </c>
      <c r="F1206" s="553">
        <v>2</v>
      </c>
      <c r="G1206" s="553" t="s">
        <v>484</v>
      </c>
      <c r="H1206" s="553">
        <v>574.46</v>
      </c>
      <c r="I1206" s="553">
        <v>1</v>
      </c>
      <c r="J1206" s="553">
        <v>4</v>
      </c>
      <c r="K1206" s="553">
        <v>47</v>
      </c>
      <c r="L1206" s="553">
        <v>4</v>
      </c>
      <c r="M1206" s="505" t="s">
        <v>312</v>
      </c>
      <c r="N1206" s="500">
        <v>43047561140000</v>
      </c>
      <c r="O1206" s="553" t="s">
        <v>1832</v>
      </c>
      <c r="P1206" s="650" t="s">
        <v>1836</v>
      </c>
      <c r="Q1206" s="564" t="s">
        <v>583</v>
      </c>
      <c r="R1206" s="564">
        <v>2</v>
      </c>
      <c r="S1206" s="493"/>
      <c r="T1206" s="493"/>
    </row>
    <row r="1207" spans="1:20" s="484" customFormat="1" ht="15" customHeight="1" x14ac:dyDescent="0.25">
      <c r="A1207" s="553">
        <v>14</v>
      </c>
      <c r="B1207" s="553">
        <v>4</v>
      </c>
      <c r="C1207" s="553">
        <v>2</v>
      </c>
      <c r="D1207" s="553">
        <v>2</v>
      </c>
      <c r="E1207" s="553">
        <v>1</v>
      </c>
      <c r="F1207" s="553">
        <v>2</v>
      </c>
      <c r="G1207" s="553" t="s">
        <v>486</v>
      </c>
      <c r="H1207" s="553">
        <v>1331.25</v>
      </c>
      <c r="I1207" s="553">
        <v>2</v>
      </c>
      <c r="J1207" s="553">
        <v>41</v>
      </c>
      <c r="K1207" s="553">
        <v>41</v>
      </c>
      <c r="L1207" s="553">
        <v>4</v>
      </c>
      <c r="M1207" s="505" t="s">
        <v>312</v>
      </c>
      <c r="N1207" s="500">
        <v>43047561140000</v>
      </c>
      <c r="O1207" s="553" t="s">
        <v>1832</v>
      </c>
      <c r="P1207" s="650" t="s">
        <v>1837</v>
      </c>
      <c r="Q1207" s="564" t="s">
        <v>583</v>
      </c>
      <c r="R1207" s="564">
        <v>2</v>
      </c>
      <c r="S1207" s="493"/>
      <c r="T1207" s="493"/>
    </row>
    <row r="1208" spans="1:20" s="484" customFormat="1" ht="15" customHeight="1" x14ac:dyDescent="0.25">
      <c r="A1208" s="553">
        <v>14</v>
      </c>
      <c r="B1208" s="553">
        <v>4</v>
      </c>
      <c r="C1208" s="553">
        <v>2</v>
      </c>
      <c r="D1208" s="553">
        <v>2</v>
      </c>
      <c r="E1208" s="553">
        <v>1</v>
      </c>
      <c r="F1208" s="553">
        <v>2</v>
      </c>
      <c r="G1208" s="502" t="s">
        <v>488</v>
      </c>
      <c r="H1208" s="553">
        <v>1331.25</v>
      </c>
      <c r="I1208" s="553">
        <v>2</v>
      </c>
      <c r="J1208" s="553">
        <v>41</v>
      </c>
      <c r="K1208" s="553">
        <v>41</v>
      </c>
      <c r="L1208" s="553">
        <v>4</v>
      </c>
      <c r="M1208" s="505" t="s">
        <v>312</v>
      </c>
      <c r="N1208" s="500">
        <v>43047561140000</v>
      </c>
      <c r="O1208" s="553" t="s">
        <v>1832</v>
      </c>
      <c r="P1208" s="650" t="s">
        <v>1838</v>
      </c>
      <c r="Q1208" s="564" t="s">
        <v>583</v>
      </c>
      <c r="R1208" s="564">
        <v>2</v>
      </c>
      <c r="S1208" s="493"/>
      <c r="T1208" s="493"/>
    </row>
    <row r="1209" spans="1:20" s="484" customFormat="1" ht="15" customHeight="1" x14ac:dyDescent="0.25">
      <c r="A1209" s="553">
        <v>14</v>
      </c>
      <c r="B1209" s="553">
        <v>4</v>
      </c>
      <c r="C1209" s="553">
        <v>2</v>
      </c>
      <c r="D1209" s="553">
        <v>2</v>
      </c>
      <c r="E1209" s="553">
        <v>1</v>
      </c>
      <c r="F1209" s="553">
        <v>2</v>
      </c>
      <c r="G1209" s="553" t="s">
        <v>490</v>
      </c>
      <c r="H1209" s="553">
        <v>1331.2149999999999</v>
      </c>
      <c r="I1209" s="553">
        <v>2</v>
      </c>
      <c r="J1209" s="553">
        <v>41</v>
      </c>
      <c r="K1209" s="553">
        <v>47</v>
      </c>
      <c r="L1209" s="553">
        <v>4</v>
      </c>
      <c r="M1209" s="505" t="s">
        <v>312</v>
      </c>
      <c r="N1209" s="500">
        <v>43047561140000</v>
      </c>
      <c r="O1209" s="553" t="s">
        <v>1832</v>
      </c>
      <c r="P1209" s="650" t="s">
        <v>1839</v>
      </c>
      <c r="Q1209" s="564" t="s">
        <v>583</v>
      </c>
      <c r="R1209" s="564">
        <v>2</v>
      </c>
      <c r="S1209" s="493"/>
      <c r="T1209" s="493"/>
    </row>
    <row r="1210" spans="1:20" s="484" customFormat="1" ht="15" customHeight="1" x14ac:dyDescent="0.25">
      <c r="A1210" s="553">
        <v>14</v>
      </c>
      <c r="B1210" s="553">
        <v>4</v>
      </c>
      <c r="C1210" s="553">
        <v>2</v>
      </c>
      <c r="D1210" s="553">
        <v>2</v>
      </c>
      <c r="E1210" s="553">
        <v>1</v>
      </c>
      <c r="F1210" s="553">
        <v>2</v>
      </c>
      <c r="G1210" s="553" t="s">
        <v>493</v>
      </c>
      <c r="H1210" s="553">
        <v>1331.2149999999999</v>
      </c>
      <c r="I1210" s="553">
        <v>2</v>
      </c>
      <c r="J1210" s="553">
        <v>41</v>
      </c>
      <c r="K1210" s="553">
        <v>47</v>
      </c>
      <c r="L1210" s="553">
        <v>4</v>
      </c>
      <c r="M1210" s="505" t="s">
        <v>312</v>
      </c>
      <c r="N1210" s="500">
        <v>43047561140000</v>
      </c>
      <c r="O1210" s="553" t="s">
        <v>1832</v>
      </c>
      <c r="P1210" s="650" t="s">
        <v>1840</v>
      </c>
      <c r="Q1210" s="564" t="s">
        <v>583</v>
      </c>
      <c r="R1210" s="564">
        <v>2</v>
      </c>
      <c r="S1210" s="493"/>
      <c r="T1210" s="493"/>
    </row>
    <row r="1211" spans="1:20" s="484" customFormat="1" ht="15" customHeight="1" x14ac:dyDescent="0.25">
      <c r="A1211" s="553">
        <v>14</v>
      </c>
      <c r="B1211" s="553">
        <v>4</v>
      </c>
      <c r="C1211" s="553">
        <v>2</v>
      </c>
      <c r="D1211" s="553">
        <v>2</v>
      </c>
      <c r="E1211" s="553">
        <v>1</v>
      </c>
      <c r="F1211" s="553">
        <v>2</v>
      </c>
      <c r="G1211" s="553" t="s">
        <v>474</v>
      </c>
      <c r="H1211" s="553">
        <v>1099.7</v>
      </c>
      <c r="I1211" s="553">
        <v>87</v>
      </c>
      <c r="J1211" s="553">
        <v>30</v>
      </c>
      <c r="K1211" s="553">
        <v>14</v>
      </c>
      <c r="L1211" s="553">
        <v>3</v>
      </c>
      <c r="M1211" s="505" t="s">
        <v>312</v>
      </c>
      <c r="N1211" s="500">
        <v>43047561140000</v>
      </c>
      <c r="O1211" s="553" t="s">
        <v>1832</v>
      </c>
      <c r="P1211" s="650" t="s">
        <v>1841</v>
      </c>
      <c r="Q1211" s="564" t="s">
        <v>583</v>
      </c>
      <c r="R1211" s="564">
        <v>2</v>
      </c>
      <c r="S1211" s="493"/>
      <c r="T1211" s="493"/>
    </row>
    <row r="1212" spans="1:20" s="484" customFormat="1" ht="15" customHeight="1" x14ac:dyDescent="0.25">
      <c r="A1212" s="553">
        <v>14</v>
      </c>
      <c r="B1212" s="553">
        <v>4</v>
      </c>
      <c r="C1212" s="553">
        <v>2</v>
      </c>
      <c r="D1212" s="553">
        <v>2</v>
      </c>
      <c r="E1212" s="553">
        <v>1</v>
      </c>
      <c r="F1212" s="553">
        <v>2</v>
      </c>
      <c r="G1212" s="502" t="s">
        <v>477</v>
      </c>
      <c r="H1212" s="553">
        <v>1320.403333333333</v>
      </c>
      <c r="I1212" s="553">
        <v>87</v>
      </c>
      <c r="J1212" s="553">
        <v>29</v>
      </c>
      <c r="K1212" s="553">
        <v>32</v>
      </c>
      <c r="L1212" s="553">
        <v>3</v>
      </c>
      <c r="M1212" s="505" t="s">
        <v>312</v>
      </c>
      <c r="N1212" s="500">
        <v>43047561140000</v>
      </c>
      <c r="O1212" s="553" t="s">
        <v>1832</v>
      </c>
      <c r="P1212" s="650" t="s">
        <v>1842</v>
      </c>
      <c r="Q1212" s="564" t="s">
        <v>583</v>
      </c>
      <c r="R1212" s="564">
        <v>2</v>
      </c>
      <c r="S1212" s="493"/>
      <c r="T1212" s="493"/>
    </row>
    <row r="1213" spans="1:20" s="484" customFormat="1" ht="15" customHeight="1" x14ac:dyDescent="0.25">
      <c r="A1213" s="553">
        <v>14</v>
      </c>
      <c r="B1213" s="553">
        <v>4</v>
      </c>
      <c r="C1213" s="553">
        <v>2</v>
      </c>
      <c r="D1213" s="553">
        <v>2</v>
      </c>
      <c r="E1213" s="553">
        <v>1</v>
      </c>
      <c r="F1213" s="553">
        <v>2</v>
      </c>
      <c r="G1213" s="553" t="s">
        <v>479</v>
      </c>
      <c r="H1213" s="553">
        <v>1320.403333333333</v>
      </c>
      <c r="I1213" s="553">
        <v>87</v>
      </c>
      <c r="J1213" s="553">
        <v>29</v>
      </c>
      <c r="K1213" s="553">
        <v>32</v>
      </c>
      <c r="L1213" s="553">
        <v>3</v>
      </c>
      <c r="M1213" s="505" t="s">
        <v>312</v>
      </c>
      <c r="N1213" s="500">
        <v>43047561140000</v>
      </c>
      <c r="O1213" s="553" t="s">
        <v>1832</v>
      </c>
      <c r="P1213" s="650" t="s">
        <v>1843</v>
      </c>
      <c r="Q1213" s="564" t="s">
        <v>583</v>
      </c>
      <c r="R1213" s="564">
        <v>2</v>
      </c>
      <c r="S1213" s="493"/>
      <c r="T1213" s="493"/>
    </row>
    <row r="1214" spans="1:20" s="484" customFormat="1" ht="15" customHeight="1" x14ac:dyDescent="0.25">
      <c r="A1214" s="553">
        <v>14</v>
      </c>
      <c r="B1214" s="553">
        <v>4</v>
      </c>
      <c r="C1214" s="553">
        <v>2</v>
      </c>
      <c r="D1214" s="553">
        <v>2</v>
      </c>
      <c r="E1214" s="553">
        <v>1</v>
      </c>
      <c r="F1214" s="553">
        <v>2</v>
      </c>
      <c r="G1214" s="553" t="s">
        <v>485</v>
      </c>
      <c r="H1214" s="553">
        <v>1320.403333333333</v>
      </c>
      <c r="I1214" s="553">
        <v>87</v>
      </c>
      <c r="J1214" s="553">
        <v>29</v>
      </c>
      <c r="K1214" s="553">
        <v>32</v>
      </c>
      <c r="L1214" s="553">
        <v>3</v>
      </c>
      <c r="M1214" s="505" t="s">
        <v>312</v>
      </c>
      <c r="N1214" s="500">
        <v>43047561140000</v>
      </c>
      <c r="O1214" s="553" t="s">
        <v>1832</v>
      </c>
      <c r="P1214" s="650" t="s">
        <v>1844</v>
      </c>
      <c r="Q1214" s="564" t="s">
        <v>583</v>
      </c>
      <c r="R1214" s="564">
        <v>2</v>
      </c>
      <c r="S1214" s="493"/>
      <c r="T1214" s="493"/>
    </row>
    <row r="1215" spans="1:20" s="484" customFormat="1" ht="15" customHeight="1" x14ac:dyDescent="0.25">
      <c r="A1215" s="553">
        <v>14</v>
      </c>
      <c r="B1215" s="553">
        <v>4</v>
      </c>
      <c r="C1215" s="553">
        <v>2</v>
      </c>
      <c r="D1215" s="553">
        <v>2</v>
      </c>
      <c r="E1215" s="553">
        <v>1</v>
      </c>
      <c r="F1215" s="553">
        <v>2</v>
      </c>
      <c r="G1215" s="553" t="s">
        <v>487</v>
      </c>
      <c r="H1215" s="553">
        <v>1204.99</v>
      </c>
      <c r="I1215" s="553">
        <v>88</v>
      </c>
      <c r="J1215" s="553">
        <v>12</v>
      </c>
      <c r="K1215" s="553">
        <v>32</v>
      </c>
      <c r="L1215" s="553">
        <v>2</v>
      </c>
      <c r="M1215" s="505" t="s">
        <v>312</v>
      </c>
      <c r="N1215" s="500">
        <v>43047561140000</v>
      </c>
      <c r="O1215" s="553" t="s">
        <v>1832</v>
      </c>
      <c r="P1215" s="650" t="s">
        <v>1845</v>
      </c>
      <c r="Q1215" s="564" t="s">
        <v>583</v>
      </c>
      <c r="R1215" s="564">
        <v>2</v>
      </c>
      <c r="S1215" s="493"/>
      <c r="T1215" s="493"/>
    </row>
    <row r="1216" spans="1:20" s="484" customFormat="1" ht="15" customHeight="1" x14ac:dyDescent="0.25">
      <c r="A1216" s="553">
        <v>14</v>
      </c>
      <c r="B1216" s="553">
        <v>4</v>
      </c>
      <c r="C1216" s="553">
        <v>2</v>
      </c>
      <c r="D1216" s="553">
        <v>2</v>
      </c>
      <c r="E1216" s="553">
        <v>1</v>
      </c>
      <c r="F1216" s="553">
        <v>2</v>
      </c>
      <c r="G1216" s="502" t="s">
        <v>489</v>
      </c>
      <c r="H1216" s="553">
        <v>1318.01</v>
      </c>
      <c r="I1216" s="553">
        <v>88</v>
      </c>
      <c r="J1216" s="553">
        <v>9</v>
      </c>
      <c r="K1216" s="553">
        <v>24</v>
      </c>
      <c r="L1216" s="553">
        <v>3</v>
      </c>
      <c r="M1216" s="505" t="s">
        <v>312</v>
      </c>
      <c r="N1216" s="500">
        <v>43047561140000</v>
      </c>
      <c r="O1216" s="553" t="s">
        <v>1832</v>
      </c>
      <c r="P1216" s="650" t="s">
        <v>1846</v>
      </c>
      <c r="Q1216" s="564" t="s">
        <v>583</v>
      </c>
      <c r="R1216" s="564">
        <v>2</v>
      </c>
      <c r="S1216" s="493"/>
      <c r="T1216" s="493"/>
    </row>
    <row r="1217" spans="1:20" s="484" customFormat="1" ht="15" customHeight="1" x14ac:dyDescent="0.25">
      <c r="A1217" s="553">
        <v>14</v>
      </c>
      <c r="B1217" s="553">
        <v>4</v>
      </c>
      <c r="C1217" s="553">
        <v>2</v>
      </c>
      <c r="D1217" s="553">
        <v>2</v>
      </c>
      <c r="E1217" s="553">
        <v>1</v>
      </c>
      <c r="F1217" s="553">
        <v>2</v>
      </c>
      <c r="G1217" s="553" t="s">
        <v>491</v>
      </c>
      <c r="H1217" s="553">
        <v>1318.03</v>
      </c>
      <c r="I1217" s="553">
        <v>88</v>
      </c>
      <c r="J1217" s="553">
        <v>9</v>
      </c>
      <c r="K1217" s="553">
        <v>30</v>
      </c>
      <c r="L1217" s="553">
        <v>3</v>
      </c>
      <c r="M1217" s="505" t="s">
        <v>312</v>
      </c>
      <c r="N1217" s="500">
        <v>43047561140000</v>
      </c>
      <c r="O1217" s="553" t="s">
        <v>1832</v>
      </c>
      <c r="P1217" s="650" t="s">
        <v>1847</v>
      </c>
      <c r="Q1217" s="564" t="s">
        <v>583</v>
      </c>
      <c r="R1217" s="564">
        <v>2</v>
      </c>
      <c r="S1217" s="493"/>
      <c r="T1217" s="493"/>
    </row>
    <row r="1218" spans="1:20" s="484" customFormat="1" ht="15" customHeight="1" x14ac:dyDescent="0.25">
      <c r="A1218" s="553">
        <v>14</v>
      </c>
      <c r="B1218" s="553">
        <v>4</v>
      </c>
      <c r="C1218" s="553">
        <v>2</v>
      </c>
      <c r="D1218" s="553">
        <v>2</v>
      </c>
      <c r="E1218" s="553">
        <v>1</v>
      </c>
      <c r="F1218" s="553">
        <v>2</v>
      </c>
      <c r="G1218" s="553" t="s">
        <v>494</v>
      </c>
      <c r="H1218" s="553">
        <v>1386.61</v>
      </c>
      <c r="I1218" s="553">
        <v>87</v>
      </c>
      <c r="J1218" s="553">
        <v>30</v>
      </c>
      <c r="K1218" s="553">
        <v>54</v>
      </c>
      <c r="L1218" s="553">
        <v>3</v>
      </c>
      <c r="M1218" s="505" t="s">
        <v>312</v>
      </c>
      <c r="N1218" s="500">
        <v>43047561140000</v>
      </c>
      <c r="O1218" s="553" t="s">
        <v>1832</v>
      </c>
      <c r="P1218" s="650" t="s">
        <v>1848</v>
      </c>
      <c r="Q1218" s="564" t="s">
        <v>583</v>
      </c>
      <c r="R1218" s="564">
        <v>2</v>
      </c>
      <c r="S1218" s="493"/>
      <c r="T1218" s="493"/>
    </row>
    <row r="1219" spans="1:20" s="498" customFormat="1" ht="15" customHeight="1" x14ac:dyDescent="0.25">
      <c r="A1219" s="553">
        <v>14</v>
      </c>
      <c r="B1219" s="553">
        <v>3</v>
      </c>
      <c r="C1219" s="553">
        <v>2</v>
      </c>
      <c r="D1219" s="553">
        <v>4</v>
      </c>
      <c r="E1219" s="553">
        <v>2</v>
      </c>
      <c r="F1219" s="553">
        <v>2</v>
      </c>
      <c r="G1219" s="553" t="s">
        <v>473</v>
      </c>
      <c r="H1219" s="553">
        <v>1318.9549999999999</v>
      </c>
      <c r="I1219" s="517">
        <v>0</v>
      </c>
      <c r="J1219" s="553">
        <v>6</v>
      </c>
      <c r="K1219" s="553">
        <v>29</v>
      </c>
      <c r="L1219" s="553">
        <v>1</v>
      </c>
      <c r="M1219" s="561" t="s">
        <v>137</v>
      </c>
      <c r="N1219" s="500"/>
      <c r="O1219" s="564"/>
      <c r="P1219" s="564" t="s">
        <v>1849</v>
      </c>
      <c r="Q1219" s="564"/>
      <c r="R1219" s="564">
        <v>1</v>
      </c>
      <c r="S1219" s="484"/>
      <c r="T1219" s="484"/>
    </row>
    <row r="1220" spans="1:20" s="498" customFormat="1" ht="15" customHeight="1" x14ac:dyDescent="0.25">
      <c r="A1220" s="553">
        <v>14</v>
      </c>
      <c r="B1220" s="553">
        <v>3</v>
      </c>
      <c r="C1220" s="553">
        <v>2</v>
      </c>
      <c r="D1220" s="553">
        <v>4</v>
      </c>
      <c r="E1220" s="553">
        <v>2</v>
      </c>
      <c r="F1220" s="553">
        <v>2</v>
      </c>
      <c r="G1220" s="502" t="s">
        <v>476</v>
      </c>
      <c r="H1220" s="553">
        <v>1318.9549999999999</v>
      </c>
      <c r="I1220" s="517">
        <v>0</v>
      </c>
      <c r="J1220" s="553">
        <v>6</v>
      </c>
      <c r="K1220" s="553">
        <v>29</v>
      </c>
      <c r="L1220" s="553">
        <v>1</v>
      </c>
      <c r="M1220" s="561" t="s">
        <v>137</v>
      </c>
      <c r="N1220" s="500"/>
      <c r="O1220" s="564"/>
      <c r="P1220" s="564" t="s">
        <v>1850</v>
      </c>
      <c r="Q1220" s="564"/>
      <c r="R1220" s="564">
        <v>1</v>
      </c>
      <c r="S1220" s="484"/>
      <c r="T1220" s="484"/>
    </row>
    <row r="1221" spans="1:20" s="498" customFormat="1" ht="15" customHeight="1" x14ac:dyDescent="0.25">
      <c r="A1221" s="553">
        <v>14</v>
      </c>
      <c r="B1221" s="553">
        <v>3</v>
      </c>
      <c r="C1221" s="553">
        <v>2</v>
      </c>
      <c r="D1221" s="553">
        <v>4</v>
      </c>
      <c r="E1221" s="553">
        <v>2</v>
      </c>
      <c r="F1221" s="553">
        <v>2</v>
      </c>
      <c r="G1221" s="553" t="s">
        <v>478</v>
      </c>
      <c r="H1221" s="553">
        <v>1319.7750000000001</v>
      </c>
      <c r="I1221" s="517">
        <v>0</v>
      </c>
      <c r="J1221" s="553">
        <v>5</v>
      </c>
      <c r="K1221" s="553">
        <v>40</v>
      </c>
      <c r="L1221" s="553">
        <v>3</v>
      </c>
      <c r="M1221" s="561" t="s">
        <v>137</v>
      </c>
      <c r="N1221" s="500"/>
      <c r="O1221" s="564"/>
      <c r="P1221" s="564" t="s">
        <v>1851</v>
      </c>
      <c r="Q1221" s="564"/>
      <c r="R1221" s="564">
        <v>1</v>
      </c>
      <c r="S1221" s="484"/>
      <c r="T1221" s="484"/>
    </row>
    <row r="1222" spans="1:20" s="498" customFormat="1" ht="15" customHeight="1" x14ac:dyDescent="0.25">
      <c r="A1222" s="553">
        <v>14</v>
      </c>
      <c r="B1222" s="553">
        <v>3</v>
      </c>
      <c r="C1222" s="553">
        <v>2</v>
      </c>
      <c r="D1222" s="553">
        <v>4</v>
      </c>
      <c r="E1222" s="553">
        <v>2</v>
      </c>
      <c r="F1222" s="553">
        <v>2</v>
      </c>
      <c r="G1222" s="553" t="s">
        <v>484</v>
      </c>
      <c r="H1222" s="553">
        <v>1319.7750000000001</v>
      </c>
      <c r="I1222" s="517">
        <v>0</v>
      </c>
      <c r="J1222" s="553">
        <v>5</v>
      </c>
      <c r="K1222" s="553">
        <v>40</v>
      </c>
      <c r="L1222" s="553">
        <v>3</v>
      </c>
      <c r="M1222" s="561" t="s">
        <v>137</v>
      </c>
      <c r="N1222" s="500"/>
      <c r="O1222" s="564"/>
      <c r="P1222" s="564" t="s">
        <v>1852</v>
      </c>
      <c r="Q1222" s="564"/>
      <c r="R1222" s="564">
        <v>1</v>
      </c>
      <c r="S1222" s="484"/>
      <c r="T1222" s="484"/>
    </row>
    <row r="1223" spans="1:20" s="498" customFormat="1" ht="15" customHeight="1" x14ac:dyDescent="0.25">
      <c r="A1223" s="553">
        <v>14</v>
      </c>
      <c r="B1223" s="553">
        <v>3</v>
      </c>
      <c r="C1223" s="553">
        <v>2</v>
      </c>
      <c r="D1223" s="553">
        <v>4</v>
      </c>
      <c r="E1223" s="553">
        <v>2</v>
      </c>
      <c r="F1223" s="553">
        <v>2</v>
      </c>
      <c r="G1223" s="553" t="s">
        <v>486</v>
      </c>
      <c r="H1223" s="553">
        <v>1321.23</v>
      </c>
      <c r="I1223" s="517">
        <v>0</v>
      </c>
      <c r="J1223" s="553">
        <v>4</v>
      </c>
      <c r="K1223" s="553">
        <v>20</v>
      </c>
      <c r="L1223" s="553">
        <v>1</v>
      </c>
      <c r="M1223" s="561" t="s">
        <v>137</v>
      </c>
      <c r="N1223" s="500"/>
      <c r="O1223" s="564"/>
      <c r="P1223" s="564" t="s">
        <v>1853</v>
      </c>
      <c r="Q1223" s="564"/>
      <c r="R1223" s="564">
        <v>1</v>
      </c>
      <c r="S1223" s="484"/>
      <c r="T1223" s="484"/>
    </row>
    <row r="1224" spans="1:20" s="498" customFormat="1" ht="15" customHeight="1" x14ac:dyDescent="0.25">
      <c r="A1224" s="553">
        <v>14</v>
      </c>
      <c r="B1224" s="553">
        <v>3</v>
      </c>
      <c r="C1224" s="553">
        <v>2</v>
      </c>
      <c r="D1224" s="553">
        <v>4</v>
      </c>
      <c r="E1224" s="553">
        <v>2</v>
      </c>
      <c r="F1224" s="553">
        <v>2</v>
      </c>
      <c r="G1224" s="502" t="s">
        <v>488</v>
      </c>
      <c r="H1224" s="553">
        <v>1321.23</v>
      </c>
      <c r="I1224" s="517">
        <v>0</v>
      </c>
      <c r="J1224" s="553">
        <v>4</v>
      </c>
      <c r="K1224" s="553">
        <v>20</v>
      </c>
      <c r="L1224" s="553">
        <v>1</v>
      </c>
      <c r="M1224" s="561" t="s">
        <v>137</v>
      </c>
      <c r="N1224" s="500"/>
      <c r="O1224" s="564"/>
      <c r="P1224" s="564" t="s">
        <v>1854</v>
      </c>
      <c r="Q1224" s="564"/>
      <c r="R1224" s="564">
        <v>1</v>
      </c>
      <c r="S1224" s="484"/>
      <c r="T1224" s="484"/>
    </row>
    <row r="1225" spans="1:20" s="498" customFormat="1" ht="15" customHeight="1" x14ac:dyDescent="0.25">
      <c r="A1225" s="553">
        <v>14</v>
      </c>
      <c r="B1225" s="553">
        <v>3</v>
      </c>
      <c r="C1225" s="553">
        <v>2</v>
      </c>
      <c r="D1225" s="553">
        <v>4</v>
      </c>
      <c r="E1225" s="553">
        <v>2</v>
      </c>
      <c r="F1225" s="553">
        <v>2</v>
      </c>
      <c r="G1225" s="553" t="s">
        <v>490</v>
      </c>
      <c r="H1225" s="553">
        <v>1324.3</v>
      </c>
      <c r="I1225" s="517">
        <v>0</v>
      </c>
      <c r="J1225" s="553">
        <v>31</v>
      </c>
      <c r="K1225" s="553">
        <v>56</v>
      </c>
      <c r="L1225" s="553">
        <v>1</v>
      </c>
      <c r="M1225" s="561" t="s">
        <v>137</v>
      </c>
      <c r="N1225" s="500"/>
      <c r="O1225" s="564"/>
      <c r="P1225" s="564" t="s">
        <v>1855</v>
      </c>
      <c r="Q1225" s="564"/>
      <c r="R1225" s="564">
        <v>1</v>
      </c>
      <c r="S1225" s="484"/>
      <c r="T1225" s="484"/>
    </row>
    <row r="1226" spans="1:20" s="498" customFormat="1" ht="15" customHeight="1" x14ac:dyDescent="0.25">
      <c r="A1226" s="553">
        <v>14</v>
      </c>
      <c r="B1226" s="553">
        <v>3</v>
      </c>
      <c r="C1226" s="553">
        <v>2</v>
      </c>
      <c r="D1226" s="553">
        <v>4</v>
      </c>
      <c r="E1226" s="553">
        <v>2</v>
      </c>
      <c r="F1226" s="553">
        <v>2</v>
      </c>
      <c r="G1226" s="553" t="s">
        <v>493</v>
      </c>
      <c r="H1226" s="553">
        <v>1324.3</v>
      </c>
      <c r="I1226" s="517">
        <v>0</v>
      </c>
      <c r="J1226" s="553">
        <v>31</v>
      </c>
      <c r="K1226" s="553">
        <v>56</v>
      </c>
      <c r="L1226" s="553">
        <v>1</v>
      </c>
      <c r="M1226" s="561" t="s">
        <v>137</v>
      </c>
      <c r="N1226" s="500"/>
      <c r="O1226" s="564"/>
      <c r="P1226" s="564" t="s">
        <v>1856</v>
      </c>
      <c r="Q1226" s="564"/>
      <c r="R1226" s="564">
        <v>1</v>
      </c>
      <c r="S1226" s="484"/>
      <c r="T1226" s="484"/>
    </row>
    <row r="1227" spans="1:20" s="498" customFormat="1" ht="15" customHeight="1" x14ac:dyDescent="0.25">
      <c r="A1227" s="553">
        <v>14</v>
      </c>
      <c r="B1227" s="553">
        <v>3</v>
      </c>
      <c r="C1227" s="553">
        <v>2</v>
      </c>
      <c r="D1227" s="553">
        <v>4</v>
      </c>
      <c r="E1227" s="553">
        <v>2</v>
      </c>
      <c r="F1227" s="553">
        <v>2</v>
      </c>
      <c r="G1227" s="553" t="s">
        <v>474</v>
      </c>
      <c r="H1227" s="553">
        <v>1305.03</v>
      </c>
      <c r="I1227" s="517">
        <v>89</v>
      </c>
      <c r="J1227" s="553">
        <v>38</v>
      </c>
      <c r="K1227" s="553">
        <v>23</v>
      </c>
      <c r="L1227" s="553">
        <v>2</v>
      </c>
      <c r="M1227" s="561" t="s">
        <v>137</v>
      </c>
      <c r="N1227" s="500"/>
      <c r="O1227" s="564"/>
      <c r="P1227" s="564" t="s">
        <v>1857</v>
      </c>
      <c r="Q1227" s="564"/>
      <c r="R1227" s="564">
        <v>1</v>
      </c>
      <c r="S1227" s="484"/>
      <c r="T1227" s="484"/>
    </row>
    <row r="1228" spans="1:20" s="498" customFormat="1" ht="15" customHeight="1" x14ac:dyDescent="0.25">
      <c r="A1228" s="553">
        <v>14</v>
      </c>
      <c r="B1228" s="553">
        <v>3</v>
      </c>
      <c r="C1228" s="553">
        <v>2</v>
      </c>
      <c r="D1228" s="553">
        <v>4</v>
      </c>
      <c r="E1228" s="553">
        <v>2</v>
      </c>
      <c r="F1228" s="553">
        <v>2</v>
      </c>
      <c r="G1228" s="502" t="s">
        <v>477</v>
      </c>
      <c r="H1228" s="553">
        <v>1305.03</v>
      </c>
      <c r="I1228" s="517">
        <v>89</v>
      </c>
      <c r="J1228" s="553">
        <v>38</v>
      </c>
      <c r="K1228" s="553">
        <v>23</v>
      </c>
      <c r="L1228" s="553">
        <v>2</v>
      </c>
      <c r="M1228" s="561" t="s">
        <v>137</v>
      </c>
      <c r="N1228" s="500"/>
      <c r="O1228" s="564"/>
      <c r="P1228" s="564" t="s">
        <v>1858</v>
      </c>
      <c r="Q1228" s="564"/>
      <c r="R1228" s="564">
        <v>1</v>
      </c>
      <c r="S1228" s="484"/>
      <c r="T1228" s="484"/>
    </row>
    <row r="1229" spans="1:20" s="498" customFormat="1" ht="15" customHeight="1" x14ac:dyDescent="0.25">
      <c r="A1229" s="553">
        <v>14</v>
      </c>
      <c r="B1229" s="553">
        <v>3</v>
      </c>
      <c r="C1229" s="553">
        <v>2</v>
      </c>
      <c r="D1229" s="553">
        <v>4</v>
      </c>
      <c r="E1229" s="553">
        <v>2</v>
      </c>
      <c r="F1229" s="553">
        <v>2</v>
      </c>
      <c r="G1229" s="553" t="s">
        <v>479</v>
      </c>
      <c r="H1229" s="553">
        <v>1319.845</v>
      </c>
      <c r="I1229" s="517">
        <v>89</v>
      </c>
      <c r="J1229" s="553">
        <v>43</v>
      </c>
      <c r="K1229" s="553">
        <v>5</v>
      </c>
      <c r="L1229" s="553">
        <v>2</v>
      </c>
      <c r="M1229" s="561" t="s">
        <v>137</v>
      </c>
      <c r="N1229" s="500"/>
      <c r="O1229" s="564"/>
      <c r="P1229" s="564" t="s">
        <v>1859</v>
      </c>
      <c r="Q1229" s="564"/>
      <c r="R1229" s="564">
        <v>1</v>
      </c>
      <c r="S1229" s="484"/>
      <c r="T1229" s="484"/>
    </row>
    <row r="1230" spans="1:20" s="498" customFormat="1" ht="15" customHeight="1" x14ac:dyDescent="0.25">
      <c r="A1230" s="553">
        <v>14</v>
      </c>
      <c r="B1230" s="553">
        <v>3</v>
      </c>
      <c r="C1230" s="553">
        <v>2</v>
      </c>
      <c r="D1230" s="553">
        <v>4</v>
      </c>
      <c r="E1230" s="553">
        <v>2</v>
      </c>
      <c r="F1230" s="553">
        <v>2</v>
      </c>
      <c r="G1230" s="553" t="s">
        <v>485</v>
      </c>
      <c r="H1230" s="553">
        <v>1319.845</v>
      </c>
      <c r="I1230" s="517">
        <v>89</v>
      </c>
      <c r="J1230" s="553">
        <v>43</v>
      </c>
      <c r="K1230" s="553">
        <v>5</v>
      </c>
      <c r="L1230" s="553">
        <v>2</v>
      </c>
      <c r="M1230" s="561" t="s">
        <v>137</v>
      </c>
      <c r="N1230" s="500"/>
      <c r="O1230" s="564"/>
      <c r="P1230" s="564" t="s">
        <v>1860</v>
      </c>
      <c r="Q1230" s="564"/>
      <c r="R1230" s="564">
        <v>1</v>
      </c>
      <c r="S1230" s="484"/>
      <c r="T1230" s="484"/>
    </row>
    <row r="1231" spans="1:20" s="498" customFormat="1" ht="15" customHeight="1" x14ac:dyDescent="0.25">
      <c r="A1231" s="553">
        <v>14</v>
      </c>
      <c r="B1231" s="553">
        <v>3</v>
      </c>
      <c r="C1231" s="553">
        <v>2</v>
      </c>
      <c r="D1231" s="553">
        <v>4</v>
      </c>
      <c r="E1231" s="553">
        <v>2</v>
      </c>
      <c r="F1231" s="553">
        <v>2</v>
      </c>
      <c r="G1231" s="553" t="s">
        <v>487</v>
      </c>
      <c r="H1231" s="553">
        <v>1313.93</v>
      </c>
      <c r="I1231" s="517">
        <v>89</v>
      </c>
      <c r="J1231" s="553">
        <v>54</v>
      </c>
      <c r="K1231" s="553">
        <v>35</v>
      </c>
      <c r="L1231" s="553">
        <v>2</v>
      </c>
      <c r="M1231" s="561" t="s">
        <v>137</v>
      </c>
      <c r="N1231" s="500"/>
      <c r="O1231" s="564"/>
      <c r="P1231" s="564" t="s">
        <v>1861</v>
      </c>
      <c r="Q1231" s="564"/>
      <c r="R1231" s="564">
        <v>1</v>
      </c>
      <c r="S1231" s="484"/>
      <c r="T1231" s="484"/>
    </row>
    <row r="1232" spans="1:20" s="498" customFormat="1" ht="15" customHeight="1" x14ac:dyDescent="0.25">
      <c r="A1232" s="553">
        <v>14</v>
      </c>
      <c r="B1232" s="553">
        <v>3</v>
      </c>
      <c r="C1232" s="553">
        <v>2</v>
      </c>
      <c r="D1232" s="553">
        <v>4</v>
      </c>
      <c r="E1232" s="553">
        <v>2</v>
      </c>
      <c r="F1232" s="553">
        <v>2</v>
      </c>
      <c r="G1232" s="502" t="s">
        <v>489</v>
      </c>
      <c r="H1232" s="553">
        <v>1317.65</v>
      </c>
      <c r="I1232" s="517">
        <v>89</v>
      </c>
      <c r="J1232" s="553">
        <v>47</v>
      </c>
      <c r="K1232" s="553">
        <v>41</v>
      </c>
      <c r="L1232" s="553">
        <v>2</v>
      </c>
      <c r="M1232" s="561" t="s">
        <v>137</v>
      </c>
      <c r="N1232" s="500"/>
      <c r="O1232" s="564"/>
      <c r="P1232" s="564" t="s">
        <v>1862</v>
      </c>
      <c r="Q1232" s="564"/>
      <c r="R1232" s="564">
        <v>1</v>
      </c>
      <c r="S1232" s="484"/>
      <c r="T1232" s="484"/>
    </row>
    <row r="1233" spans="1:20" s="498" customFormat="1" ht="15" customHeight="1" x14ac:dyDescent="0.25">
      <c r="A1233" s="553">
        <v>14</v>
      </c>
      <c r="B1233" s="553">
        <v>3</v>
      </c>
      <c r="C1233" s="553">
        <v>2</v>
      </c>
      <c r="D1233" s="553">
        <v>4</v>
      </c>
      <c r="E1233" s="553">
        <v>2</v>
      </c>
      <c r="F1233" s="553">
        <v>2</v>
      </c>
      <c r="G1233" s="553" t="s">
        <v>491</v>
      </c>
      <c r="H1233" s="553">
        <v>1322.7149999999999</v>
      </c>
      <c r="I1233" s="517">
        <v>89</v>
      </c>
      <c r="J1233" s="553">
        <v>48</v>
      </c>
      <c r="K1233" s="553">
        <v>8</v>
      </c>
      <c r="L1233" s="553">
        <v>2</v>
      </c>
      <c r="M1233" s="561" t="s">
        <v>137</v>
      </c>
      <c r="N1233" s="500"/>
      <c r="O1233" s="564"/>
      <c r="P1233" s="564" t="s">
        <v>1863</v>
      </c>
      <c r="Q1233" s="564"/>
      <c r="R1233" s="564">
        <v>1</v>
      </c>
      <c r="S1233" s="484"/>
      <c r="T1233" s="484"/>
    </row>
    <row r="1234" spans="1:20" s="498" customFormat="1" ht="15" customHeight="1" x14ac:dyDescent="0.25">
      <c r="A1234" s="553">
        <v>14</v>
      </c>
      <c r="B1234" s="553">
        <v>3</v>
      </c>
      <c r="C1234" s="553">
        <v>2</v>
      </c>
      <c r="D1234" s="553">
        <v>4</v>
      </c>
      <c r="E1234" s="553">
        <v>2</v>
      </c>
      <c r="F1234" s="553">
        <v>2</v>
      </c>
      <c r="G1234" s="553" t="s">
        <v>494</v>
      </c>
      <c r="H1234" s="553">
        <v>1322.7149999999999</v>
      </c>
      <c r="I1234" s="517">
        <v>89</v>
      </c>
      <c r="J1234" s="553">
        <v>48</v>
      </c>
      <c r="K1234" s="553">
        <v>8</v>
      </c>
      <c r="L1234" s="553">
        <v>2</v>
      </c>
      <c r="M1234" s="561" t="s">
        <v>137</v>
      </c>
      <c r="N1234" s="500"/>
      <c r="O1234" s="564"/>
      <c r="P1234" s="564" t="s">
        <v>1864</v>
      </c>
      <c r="Q1234" s="564"/>
      <c r="R1234" s="564">
        <v>1</v>
      </c>
      <c r="S1234" s="484"/>
      <c r="T1234" s="484"/>
    </row>
    <row r="1235" spans="1:20" ht="15" customHeight="1" x14ac:dyDescent="0.25">
      <c r="A1235" s="564">
        <v>14</v>
      </c>
      <c r="B1235" s="564">
        <v>4</v>
      </c>
      <c r="C1235" s="564">
        <v>2</v>
      </c>
      <c r="D1235" s="564">
        <v>1</v>
      </c>
      <c r="E1235" s="564">
        <v>2</v>
      </c>
      <c r="F1235" s="564">
        <v>2</v>
      </c>
      <c r="G1235" s="564" t="s">
        <v>473</v>
      </c>
      <c r="H1235" s="564">
        <v>1320.91</v>
      </c>
      <c r="I1235" s="564">
        <v>0</v>
      </c>
      <c r="J1235" s="564">
        <v>1</v>
      </c>
      <c r="K1235" s="564">
        <v>21</v>
      </c>
      <c r="L1235" s="564">
        <v>4</v>
      </c>
      <c r="M1235" s="561" t="s">
        <v>137</v>
      </c>
      <c r="N1235" s="520"/>
      <c r="O1235" s="564"/>
      <c r="P1235" s="564" t="s">
        <v>1865</v>
      </c>
      <c r="Q1235" s="564"/>
      <c r="R1235" s="564">
        <v>2</v>
      </c>
    </row>
    <row r="1236" spans="1:20" ht="15" customHeight="1" x14ac:dyDescent="0.25">
      <c r="A1236" s="564">
        <v>14</v>
      </c>
      <c r="B1236" s="564">
        <v>4</v>
      </c>
      <c r="C1236" s="564">
        <v>2</v>
      </c>
      <c r="D1236" s="564">
        <v>1</v>
      </c>
      <c r="E1236" s="564">
        <v>2</v>
      </c>
      <c r="F1236" s="564">
        <v>2</v>
      </c>
      <c r="G1236" s="521" t="s">
        <v>476</v>
      </c>
      <c r="H1236" s="564">
        <v>1320.91</v>
      </c>
      <c r="I1236" s="564">
        <v>0</v>
      </c>
      <c r="J1236" s="564">
        <v>1</v>
      </c>
      <c r="K1236" s="564">
        <v>21</v>
      </c>
      <c r="L1236" s="564">
        <v>4</v>
      </c>
      <c r="M1236" s="561" t="s">
        <v>137</v>
      </c>
      <c r="N1236" s="520"/>
      <c r="O1236" s="564"/>
      <c r="P1236" s="564" t="s">
        <v>1866</v>
      </c>
      <c r="Q1236" s="564"/>
      <c r="R1236" s="564">
        <v>2</v>
      </c>
    </row>
    <row r="1237" spans="1:20" ht="15" customHeight="1" x14ac:dyDescent="0.25">
      <c r="A1237" s="564">
        <v>14</v>
      </c>
      <c r="B1237" s="564">
        <v>4</v>
      </c>
      <c r="C1237" s="564">
        <v>2</v>
      </c>
      <c r="D1237" s="564">
        <v>1</v>
      </c>
      <c r="E1237" s="564">
        <v>2</v>
      </c>
      <c r="F1237" s="564">
        <v>2</v>
      </c>
      <c r="G1237" s="564" t="s">
        <v>478</v>
      </c>
      <c r="H1237" s="564">
        <v>1320.91</v>
      </c>
      <c r="I1237" s="564">
        <v>0</v>
      </c>
      <c r="J1237" s="564">
        <v>1</v>
      </c>
      <c r="K1237" s="564">
        <v>21</v>
      </c>
      <c r="L1237" s="564">
        <v>0</v>
      </c>
      <c r="M1237" s="561" t="s">
        <v>137</v>
      </c>
      <c r="N1237" s="520"/>
      <c r="O1237" s="564"/>
      <c r="P1237" s="564" t="s">
        <v>1867</v>
      </c>
      <c r="Q1237" s="564"/>
      <c r="R1237" s="564">
        <v>2</v>
      </c>
    </row>
    <row r="1238" spans="1:20" ht="15" customHeight="1" x14ac:dyDescent="0.25">
      <c r="A1238" s="564">
        <v>14</v>
      </c>
      <c r="B1238" s="564">
        <v>4</v>
      </c>
      <c r="C1238" s="564">
        <v>2</v>
      </c>
      <c r="D1238" s="564">
        <v>1</v>
      </c>
      <c r="E1238" s="564">
        <v>2</v>
      </c>
      <c r="F1238" s="564">
        <v>2</v>
      </c>
      <c r="G1238" s="564" t="s">
        <v>484</v>
      </c>
      <c r="H1238" s="564">
        <v>1320.91</v>
      </c>
      <c r="I1238" s="564">
        <v>0</v>
      </c>
      <c r="J1238" s="564">
        <v>1</v>
      </c>
      <c r="K1238" s="564">
        <v>21</v>
      </c>
      <c r="L1238" s="564">
        <v>0</v>
      </c>
      <c r="M1238" s="561" t="s">
        <v>137</v>
      </c>
      <c r="N1238" s="520"/>
      <c r="O1238" s="564"/>
      <c r="P1238" s="564" t="s">
        <v>1868</v>
      </c>
      <c r="Q1238" s="564"/>
      <c r="R1238" s="564">
        <v>2</v>
      </c>
    </row>
    <row r="1239" spans="1:20" ht="15" customHeight="1" x14ac:dyDescent="0.25">
      <c r="A1239" s="564">
        <v>14</v>
      </c>
      <c r="B1239" s="564">
        <v>4</v>
      </c>
      <c r="C1239" s="564">
        <v>2</v>
      </c>
      <c r="D1239" s="564">
        <v>1</v>
      </c>
      <c r="E1239" s="564">
        <v>2</v>
      </c>
      <c r="F1239" s="564">
        <v>2</v>
      </c>
      <c r="G1239" s="564" t="s">
        <v>486</v>
      </c>
      <c r="H1239" s="564">
        <v>1322.4425000000001</v>
      </c>
      <c r="I1239" s="564">
        <v>0</v>
      </c>
      <c r="J1239" s="564">
        <v>9</v>
      </c>
      <c r="K1239" s="564">
        <v>43</v>
      </c>
      <c r="L1239" s="564">
        <v>1</v>
      </c>
      <c r="M1239" s="561" t="s">
        <v>137</v>
      </c>
      <c r="N1239" s="520"/>
      <c r="O1239" s="564"/>
      <c r="P1239" s="564" t="s">
        <v>1869</v>
      </c>
      <c r="Q1239" s="564"/>
      <c r="R1239" s="564">
        <v>2</v>
      </c>
    </row>
    <row r="1240" spans="1:20" ht="15" customHeight="1" x14ac:dyDescent="0.25">
      <c r="A1240" s="564">
        <v>14</v>
      </c>
      <c r="B1240" s="564">
        <v>4</v>
      </c>
      <c r="C1240" s="564">
        <v>2</v>
      </c>
      <c r="D1240" s="564">
        <v>1</v>
      </c>
      <c r="E1240" s="564">
        <v>2</v>
      </c>
      <c r="F1240" s="564">
        <v>2</v>
      </c>
      <c r="G1240" s="521" t="s">
        <v>488</v>
      </c>
      <c r="H1240" s="564">
        <v>1322.4425000000001</v>
      </c>
      <c r="I1240" s="564">
        <v>0</v>
      </c>
      <c r="J1240" s="564">
        <v>9</v>
      </c>
      <c r="K1240" s="564">
        <v>43</v>
      </c>
      <c r="L1240" s="564">
        <v>1</v>
      </c>
      <c r="M1240" s="561" t="s">
        <v>137</v>
      </c>
      <c r="N1240" s="520"/>
      <c r="O1240" s="564"/>
      <c r="P1240" s="564" t="s">
        <v>1870</v>
      </c>
      <c r="Q1240" s="564"/>
      <c r="R1240" s="564">
        <v>2</v>
      </c>
    </row>
    <row r="1241" spans="1:20" ht="15" customHeight="1" x14ac:dyDescent="0.25">
      <c r="A1241" s="564">
        <v>14</v>
      </c>
      <c r="B1241" s="564">
        <v>4</v>
      </c>
      <c r="C1241" s="564">
        <v>2</v>
      </c>
      <c r="D1241" s="564">
        <v>1</v>
      </c>
      <c r="E1241" s="564">
        <v>2</v>
      </c>
      <c r="F1241" s="564">
        <v>2</v>
      </c>
      <c r="G1241" s="564" t="s">
        <v>490</v>
      </c>
      <c r="H1241" s="564">
        <v>1322.4425000000001</v>
      </c>
      <c r="I1241" s="564">
        <v>0</v>
      </c>
      <c r="J1241" s="564">
        <v>9</v>
      </c>
      <c r="K1241" s="564">
        <v>43</v>
      </c>
      <c r="L1241" s="564">
        <v>1</v>
      </c>
      <c r="M1241" s="561" t="s">
        <v>137</v>
      </c>
      <c r="N1241" s="520"/>
      <c r="O1241" s="564"/>
      <c r="P1241" s="564" t="s">
        <v>1871</v>
      </c>
      <c r="Q1241" s="564"/>
      <c r="R1241" s="564">
        <v>2</v>
      </c>
    </row>
    <row r="1242" spans="1:20" ht="15" customHeight="1" x14ac:dyDescent="0.25">
      <c r="A1242" s="564">
        <v>14</v>
      </c>
      <c r="B1242" s="564">
        <v>4</v>
      </c>
      <c r="C1242" s="564">
        <v>2</v>
      </c>
      <c r="D1242" s="564">
        <v>1</v>
      </c>
      <c r="E1242" s="564">
        <v>2</v>
      </c>
      <c r="F1242" s="564">
        <v>2</v>
      </c>
      <c r="G1242" s="564" t="s">
        <v>493</v>
      </c>
      <c r="H1242" s="564">
        <v>1322.4425000000001</v>
      </c>
      <c r="I1242" s="564">
        <v>0</v>
      </c>
      <c r="J1242" s="564">
        <v>9</v>
      </c>
      <c r="K1242" s="564">
        <v>43</v>
      </c>
      <c r="L1242" s="564">
        <v>1</v>
      </c>
      <c r="M1242" s="561" t="s">
        <v>137</v>
      </c>
      <c r="N1242" s="520"/>
      <c r="O1242" s="564"/>
      <c r="P1242" s="564" t="s">
        <v>1872</v>
      </c>
      <c r="Q1242" s="564"/>
      <c r="R1242" s="564">
        <v>2</v>
      </c>
    </row>
    <row r="1243" spans="1:20" ht="15" customHeight="1" x14ac:dyDescent="0.25">
      <c r="A1243" s="564">
        <v>14</v>
      </c>
      <c r="B1243" s="564">
        <v>4</v>
      </c>
      <c r="C1243" s="564">
        <v>2</v>
      </c>
      <c r="D1243" s="564">
        <v>1</v>
      </c>
      <c r="E1243" s="564">
        <v>2</v>
      </c>
      <c r="F1243" s="564">
        <v>2</v>
      </c>
      <c r="G1243" s="564" t="s">
        <v>474</v>
      </c>
      <c r="H1243" s="564">
        <v>1319.3</v>
      </c>
      <c r="I1243" s="564">
        <v>89</v>
      </c>
      <c r="J1243" s="564">
        <v>57</v>
      </c>
      <c r="K1243" s="564">
        <v>50</v>
      </c>
      <c r="L1243" s="564">
        <v>4</v>
      </c>
      <c r="M1243" s="561" t="s">
        <v>137</v>
      </c>
      <c r="N1243" s="520"/>
      <c r="O1243" s="564"/>
      <c r="P1243" s="564" t="s">
        <v>1873</v>
      </c>
      <c r="Q1243" s="564"/>
      <c r="R1243" s="564">
        <v>2</v>
      </c>
    </row>
    <row r="1244" spans="1:20" ht="15" customHeight="1" x14ac:dyDescent="0.25">
      <c r="A1244" s="564">
        <v>14</v>
      </c>
      <c r="B1244" s="564">
        <v>4</v>
      </c>
      <c r="C1244" s="564">
        <v>2</v>
      </c>
      <c r="D1244" s="564">
        <v>1</v>
      </c>
      <c r="E1244" s="564">
        <v>2</v>
      </c>
      <c r="F1244" s="564">
        <v>2</v>
      </c>
      <c r="G1244" s="521" t="s">
        <v>477</v>
      </c>
      <c r="H1244" s="564">
        <v>1319.3</v>
      </c>
      <c r="I1244" s="564">
        <v>89</v>
      </c>
      <c r="J1244" s="564">
        <v>57</v>
      </c>
      <c r="K1244" s="564">
        <v>50</v>
      </c>
      <c r="L1244" s="564">
        <v>4</v>
      </c>
      <c r="M1244" s="561" t="s">
        <v>137</v>
      </c>
      <c r="N1244" s="520"/>
      <c r="O1244" s="564"/>
      <c r="P1244" s="564" t="s">
        <v>1874</v>
      </c>
      <c r="Q1244" s="564"/>
      <c r="R1244" s="564">
        <v>2</v>
      </c>
    </row>
    <row r="1245" spans="1:20" ht="15" customHeight="1" x14ac:dyDescent="0.25">
      <c r="A1245" s="564">
        <v>14</v>
      </c>
      <c r="B1245" s="564">
        <v>4</v>
      </c>
      <c r="C1245" s="564">
        <v>2</v>
      </c>
      <c r="D1245" s="564">
        <v>1</v>
      </c>
      <c r="E1245" s="564">
        <v>2</v>
      </c>
      <c r="F1245" s="564">
        <v>2</v>
      </c>
      <c r="G1245" s="564" t="s">
        <v>479</v>
      </c>
      <c r="H1245" s="564">
        <v>1319.3</v>
      </c>
      <c r="I1245" s="564">
        <v>89</v>
      </c>
      <c r="J1245" s="564">
        <v>57</v>
      </c>
      <c r="K1245" s="564">
        <v>50</v>
      </c>
      <c r="L1245" s="564">
        <v>4</v>
      </c>
      <c r="M1245" s="561" t="s">
        <v>137</v>
      </c>
      <c r="N1245" s="520"/>
      <c r="O1245" s="564"/>
      <c r="P1245" s="564" t="s">
        <v>1875</v>
      </c>
      <c r="Q1245" s="564"/>
      <c r="R1245" s="564">
        <v>2</v>
      </c>
    </row>
    <row r="1246" spans="1:20" ht="15" customHeight="1" x14ac:dyDescent="0.25">
      <c r="A1246" s="564">
        <v>14</v>
      </c>
      <c r="B1246" s="564">
        <v>4</v>
      </c>
      <c r="C1246" s="564">
        <v>2</v>
      </c>
      <c r="D1246" s="564">
        <v>1</v>
      </c>
      <c r="E1246" s="564">
        <v>2</v>
      </c>
      <c r="F1246" s="564">
        <v>2</v>
      </c>
      <c r="G1246" s="564" t="s">
        <v>485</v>
      </c>
      <c r="H1246" s="564">
        <v>1319.3</v>
      </c>
      <c r="I1246" s="564">
        <v>89</v>
      </c>
      <c r="J1246" s="564">
        <v>57</v>
      </c>
      <c r="K1246" s="564">
        <v>50</v>
      </c>
      <c r="L1246" s="564">
        <v>4</v>
      </c>
      <c r="M1246" s="561" t="s">
        <v>137</v>
      </c>
      <c r="N1246" s="520"/>
      <c r="O1246" s="564"/>
      <c r="P1246" s="564" t="s">
        <v>1876</v>
      </c>
      <c r="Q1246" s="564"/>
      <c r="R1246" s="564">
        <v>2</v>
      </c>
    </row>
    <row r="1247" spans="1:20" ht="15" customHeight="1" x14ac:dyDescent="0.25">
      <c r="A1247" s="564">
        <v>14</v>
      </c>
      <c r="B1247" s="564">
        <v>4</v>
      </c>
      <c r="C1247" s="564">
        <v>2</v>
      </c>
      <c r="D1247" s="564">
        <v>1</v>
      </c>
      <c r="E1247" s="564">
        <v>2</v>
      </c>
      <c r="F1247" s="564">
        <v>2</v>
      </c>
      <c r="G1247" s="564" t="s">
        <v>487</v>
      </c>
      <c r="H1247" s="564">
        <v>1321.58</v>
      </c>
      <c r="I1247" s="564">
        <v>89</v>
      </c>
      <c r="J1247" s="564">
        <v>53</v>
      </c>
      <c r="K1247" s="564">
        <v>6</v>
      </c>
      <c r="L1247" s="564">
        <v>3</v>
      </c>
      <c r="M1247" s="561" t="s">
        <v>137</v>
      </c>
      <c r="N1247" s="520"/>
      <c r="O1247" s="564"/>
      <c r="P1247" s="564" t="s">
        <v>1877</v>
      </c>
      <c r="Q1247" s="564"/>
      <c r="R1247" s="564">
        <v>2</v>
      </c>
    </row>
    <row r="1248" spans="1:20" ht="15" customHeight="1" x14ac:dyDescent="0.25">
      <c r="A1248" s="564">
        <v>14</v>
      </c>
      <c r="B1248" s="564">
        <v>4</v>
      </c>
      <c r="C1248" s="564">
        <v>2</v>
      </c>
      <c r="D1248" s="564">
        <v>1</v>
      </c>
      <c r="E1248" s="564">
        <v>2</v>
      </c>
      <c r="F1248" s="564">
        <v>2</v>
      </c>
      <c r="G1248" s="521" t="s">
        <v>489</v>
      </c>
      <c r="H1248" s="564">
        <v>1321.58</v>
      </c>
      <c r="I1248" s="564">
        <v>89</v>
      </c>
      <c r="J1248" s="564">
        <v>53</v>
      </c>
      <c r="K1248" s="564">
        <v>6</v>
      </c>
      <c r="L1248" s="564">
        <v>3</v>
      </c>
      <c r="M1248" s="561" t="s">
        <v>137</v>
      </c>
      <c r="N1248" s="520"/>
      <c r="O1248" s="564"/>
      <c r="P1248" s="564" t="s">
        <v>1878</v>
      </c>
      <c r="Q1248" s="564"/>
      <c r="R1248" s="564">
        <v>2</v>
      </c>
    </row>
    <row r="1249" spans="1:18" ht="15" customHeight="1" x14ac:dyDescent="0.25">
      <c r="A1249" s="564">
        <v>14</v>
      </c>
      <c r="B1249" s="564">
        <v>4</v>
      </c>
      <c r="C1249" s="564">
        <v>2</v>
      </c>
      <c r="D1249" s="564">
        <v>1</v>
      </c>
      <c r="E1249" s="564">
        <v>2</v>
      </c>
      <c r="F1249" s="564">
        <v>2</v>
      </c>
      <c r="G1249" s="564" t="s">
        <v>491</v>
      </c>
      <c r="H1249" s="564">
        <v>1321.58</v>
      </c>
      <c r="I1249" s="564">
        <v>89</v>
      </c>
      <c r="J1249" s="564">
        <v>53</v>
      </c>
      <c r="K1249" s="564">
        <v>6</v>
      </c>
      <c r="L1249" s="564">
        <v>3</v>
      </c>
      <c r="M1249" s="561" t="s">
        <v>137</v>
      </c>
      <c r="N1249" s="520"/>
      <c r="O1249" s="564"/>
      <c r="P1249" s="564" t="s">
        <v>1879</v>
      </c>
      <c r="Q1249" s="564"/>
      <c r="R1249" s="564">
        <v>2</v>
      </c>
    </row>
    <row r="1250" spans="1:18" ht="15" customHeight="1" x14ac:dyDescent="0.25">
      <c r="A1250" s="564">
        <v>14</v>
      </c>
      <c r="B1250" s="564">
        <v>4</v>
      </c>
      <c r="C1250" s="564">
        <v>2</v>
      </c>
      <c r="D1250" s="564">
        <v>1</v>
      </c>
      <c r="E1250" s="564">
        <v>2</v>
      </c>
      <c r="F1250" s="564">
        <v>2</v>
      </c>
      <c r="G1250" s="564" t="s">
        <v>494</v>
      </c>
      <c r="H1250" s="564">
        <v>1321.58</v>
      </c>
      <c r="I1250" s="564">
        <v>89</v>
      </c>
      <c r="J1250" s="564">
        <v>53</v>
      </c>
      <c r="K1250" s="564">
        <v>6</v>
      </c>
      <c r="L1250" s="564">
        <v>3</v>
      </c>
      <c r="M1250" s="561" t="s">
        <v>137</v>
      </c>
      <c r="N1250" s="520"/>
      <c r="O1250" s="564"/>
      <c r="P1250" s="564" t="s">
        <v>1880</v>
      </c>
      <c r="Q1250" s="564"/>
      <c r="R1250" s="564">
        <v>2</v>
      </c>
    </row>
    <row r="1251" spans="1:18" s="498" customFormat="1" ht="15" customHeight="1" x14ac:dyDescent="0.25">
      <c r="A1251" s="553">
        <v>15</v>
      </c>
      <c r="B1251" s="553">
        <v>20</v>
      </c>
      <c r="C1251" s="553">
        <v>2</v>
      </c>
      <c r="D1251" s="553">
        <v>21</v>
      </c>
      <c r="E1251" s="553">
        <v>1</v>
      </c>
      <c r="F1251" s="553">
        <v>1</v>
      </c>
      <c r="G1251" s="553" t="s">
        <v>473</v>
      </c>
      <c r="H1251" s="553">
        <v>1320.48</v>
      </c>
      <c r="I1251" s="553">
        <v>0</v>
      </c>
      <c r="J1251" s="553">
        <v>0</v>
      </c>
      <c r="K1251" s="553">
        <v>42</v>
      </c>
      <c r="L1251" s="553">
        <v>2</v>
      </c>
      <c r="M1251" s="505" t="s">
        <v>137</v>
      </c>
      <c r="N1251" s="500">
        <v>43019500930000</v>
      </c>
      <c r="O1251" s="553" t="s">
        <v>1484</v>
      </c>
      <c r="P1251" s="650" t="s">
        <v>1881</v>
      </c>
      <c r="Q1251" s="564" t="s">
        <v>583</v>
      </c>
      <c r="R1251" s="564">
        <v>1</v>
      </c>
    </row>
    <row r="1252" spans="1:18" s="498" customFormat="1" ht="15" customHeight="1" x14ac:dyDescent="0.25">
      <c r="A1252" s="553">
        <v>15</v>
      </c>
      <c r="B1252" s="553">
        <v>20</v>
      </c>
      <c r="C1252" s="553">
        <v>2</v>
      </c>
      <c r="D1252" s="553">
        <v>21</v>
      </c>
      <c r="E1252" s="553">
        <v>1</v>
      </c>
      <c r="F1252" s="553">
        <v>1</v>
      </c>
      <c r="G1252" s="502" t="s">
        <v>476</v>
      </c>
      <c r="H1252" s="553">
        <v>1320.48</v>
      </c>
      <c r="I1252" s="553">
        <v>0</v>
      </c>
      <c r="J1252" s="553">
        <v>0</v>
      </c>
      <c r="K1252" s="553">
        <v>42</v>
      </c>
      <c r="L1252" s="553">
        <v>2</v>
      </c>
      <c r="M1252" s="505" t="s">
        <v>137</v>
      </c>
      <c r="N1252" s="500">
        <v>43019500930000</v>
      </c>
      <c r="O1252" s="553" t="s">
        <v>1484</v>
      </c>
      <c r="P1252" s="650" t="s">
        <v>1882</v>
      </c>
      <c r="Q1252" s="564" t="s">
        <v>583</v>
      </c>
      <c r="R1252" s="564">
        <v>1</v>
      </c>
    </row>
    <row r="1253" spans="1:18" s="498" customFormat="1" ht="15" customHeight="1" x14ac:dyDescent="0.25">
      <c r="A1253" s="553">
        <v>15</v>
      </c>
      <c r="B1253" s="553">
        <v>20</v>
      </c>
      <c r="C1253" s="553">
        <v>2</v>
      </c>
      <c r="D1253" s="553">
        <v>21</v>
      </c>
      <c r="E1253" s="553">
        <v>1</v>
      </c>
      <c r="F1253" s="553">
        <v>1</v>
      </c>
      <c r="G1253" s="553" t="s">
        <v>478</v>
      </c>
      <c r="H1253" s="553">
        <v>1320.77</v>
      </c>
      <c r="I1253" s="553">
        <v>0</v>
      </c>
      <c r="J1253" s="553">
        <v>0</v>
      </c>
      <c r="K1253" s="553">
        <v>55</v>
      </c>
      <c r="L1253" s="553">
        <v>2</v>
      </c>
      <c r="M1253" s="505" t="s">
        <v>137</v>
      </c>
      <c r="N1253" s="500">
        <v>43019500930000</v>
      </c>
      <c r="O1253" s="553" t="s">
        <v>1484</v>
      </c>
      <c r="P1253" s="650" t="s">
        <v>1883</v>
      </c>
      <c r="Q1253" s="564" t="s">
        <v>583</v>
      </c>
      <c r="R1253" s="564">
        <v>1</v>
      </c>
    </row>
    <row r="1254" spans="1:18" s="498" customFormat="1" ht="15" customHeight="1" x14ac:dyDescent="0.25">
      <c r="A1254" s="553">
        <v>15</v>
      </c>
      <c r="B1254" s="553">
        <v>20</v>
      </c>
      <c r="C1254" s="553">
        <v>2</v>
      </c>
      <c r="D1254" s="553">
        <v>21</v>
      </c>
      <c r="E1254" s="553">
        <v>1</v>
      </c>
      <c r="F1254" s="553">
        <v>1</v>
      </c>
      <c r="G1254" s="553" t="s">
        <v>484</v>
      </c>
      <c r="H1254" s="553">
        <v>1320.77</v>
      </c>
      <c r="I1254" s="553">
        <v>0</v>
      </c>
      <c r="J1254" s="553">
        <v>0</v>
      </c>
      <c r="K1254" s="553">
        <v>55</v>
      </c>
      <c r="L1254" s="553">
        <v>2</v>
      </c>
      <c r="M1254" s="505" t="s">
        <v>137</v>
      </c>
      <c r="N1254" s="500">
        <v>43019500930000</v>
      </c>
      <c r="O1254" s="553" t="s">
        <v>1484</v>
      </c>
      <c r="P1254" s="650" t="s">
        <v>1884</v>
      </c>
      <c r="Q1254" s="564" t="s">
        <v>583</v>
      </c>
      <c r="R1254" s="564">
        <v>1</v>
      </c>
    </row>
    <row r="1255" spans="1:18" s="498" customFormat="1" ht="15" customHeight="1" x14ac:dyDescent="0.25">
      <c r="A1255" s="553">
        <v>15</v>
      </c>
      <c r="B1255" s="553">
        <v>20</v>
      </c>
      <c r="C1255" s="553">
        <v>2</v>
      </c>
      <c r="D1255" s="553">
        <v>21</v>
      </c>
      <c r="E1255" s="553">
        <v>1</v>
      </c>
      <c r="F1255" s="553">
        <v>1</v>
      </c>
      <c r="G1255" s="553" t="s">
        <v>486</v>
      </c>
      <c r="H1255" s="553">
        <v>1318.645</v>
      </c>
      <c r="I1255" s="553">
        <v>0</v>
      </c>
      <c r="J1255" s="553">
        <v>1</v>
      </c>
      <c r="K1255" s="553">
        <v>43</v>
      </c>
      <c r="L1255" s="553">
        <v>2</v>
      </c>
      <c r="M1255" s="505" t="s">
        <v>137</v>
      </c>
      <c r="N1255" s="500">
        <v>43019500930000</v>
      </c>
      <c r="O1255" s="553" t="s">
        <v>1484</v>
      </c>
      <c r="P1255" s="650" t="s">
        <v>1885</v>
      </c>
      <c r="Q1255" s="564" t="s">
        <v>583</v>
      </c>
      <c r="R1255" s="564">
        <v>1</v>
      </c>
    </row>
    <row r="1256" spans="1:18" s="498" customFormat="1" ht="15" customHeight="1" x14ac:dyDescent="0.25">
      <c r="A1256" s="553">
        <v>15</v>
      </c>
      <c r="B1256" s="553">
        <v>20</v>
      </c>
      <c r="C1256" s="553">
        <v>2</v>
      </c>
      <c r="D1256" s="553">
        <v>21</v>
      </c>
      <c r="E1256" s="553">
        <v>1</v>
      </c>
      <c r="F1256" s="553">
        <v>1</v>
      </c>
      <c r="G1256" s="502" t="s">
        <v>488</v>
      </c>
      <c r="H1256" s="553">
        <v>1318.645</v>
      </c>
      <c r="I1256" s="553">
        <v>0</v>
      </c>
      <c r="J1256" s="553">
        <v>1</v>
      </c>
      <c r="K1256" s="553">
        <v>43</v>
      </c>
      <c r="L1256" s="553">
        <v>2</v>
      </c>
      <c r="M1256" s="505" t="s">
        <v>137</v>
      </c>
      <c r="N1256" s="500">
        <v>43019500930000</v>
      </c>
      <c r="O1256" s="553" t="s">
        <v>1484</v>
      </c>
      <c r="P1256" s="650" t="s">
        <v>1886</v>
      </c>
      <c r="Q1256" s="564" t="s">
        <v>583</v>
      </c>
      <c r="R1256" s="564">
        <v>1</v>
      </c>
    </row>
    <row r="1257" spans="1:18" s="498" customFormat="1" ht="15" customHeight="1" x14ac:dyDescent="0.25">
      <c r="A1257" s="553">
        <v>15</v>
      </c>
      <c r="B1257" s="553">
        <v>20</v>
      </c>
      <c r="C1257" s="553">
        <v>2</v>
      </c>
      <c r="D1257" s="553">
        <v>21</v>
      </c>
      <c r="E1257" s="553">
        <v>1</v>
      </c>
      <c r="F1257" s="553">
        <v>1</v>
      </c>
      <c r="G1257" s="553" t="s">
        <v>490</v>
      </c>
      <c r="H1257" s="553">
        <v>1319.41</v>
      </c>
      <c r="I1257" s="553">
        <v>0</v>
      </c>
      <c r="J1257" s="553">
        <v>1</v>
      </c>
      <c r="K1257" s="553">
        <v>10</v>
      </c>
      <c r="L1257" s="553">
        <v>2</v>
      </c>
      <c r="M1257" s="505" t="s">
        <v>137</v>
      </c>
      <c r="N1257" s="500">
        <v>43019500930000</v>
      </c>
      <c r="O1257" s="553" t="s">
        <v>1484</v>
      </c>
      <c r="P1257" s="650" t="s">
        <v>1887</v>
      </c>
      <c r="Q1257" s="564" t="s">
        <v>583</v>
      </c>
      <c r="R1257" s="564">
        <v>1</v>
      </c>
    </row>
    <row r="1258" spans="1:18" s="498" customFormat="1" ht="15" customHeight="1" x14ac:dyDescent="0.25">
      <c r="A1258" s="553">
        <v>15</v>
      </c>
      <c r="B1258" s="553">
        <v>20</v>
      </c>
      <c r="C1258" s="553">
        <v>2</v>
      </c>
      <c r="D1258" s="553">
        <v>21</v>
      </c>
      <c r="E1258" s="553">
        <v>1</v>
      </c>
      <c r="F1258" s="553">
        <v>1</v>
      </c>
      <c r="G1258" s="553" t="s">
        <v>493</v>
      </c>
      <c r="H1258" s="553">
        <v>1319.41</v>
      </c>
      <c r="I1258" s="553">
        <v>0</v>
      </c>
      <c r="J1258" s="553">
        <v>1</v>
      </c>
      <c r="K1258" s="553">
        <v>10</v>
      </c>
      <c r="L1258" s="553">
        <v>2</v>
      </c>
      <c r="M1258" s="505" t="s">
        <v>137</v>
      </c>
      <c r="N1258" s="500">
        <v>43019500930000</v>
      </c>
      <c r="O1258" s="553" t="s">
        <v>1484</v>
      </c>
      <c r="P1258" s="650" t="s">
        <v>1888</v>
      </c>
      <c r="Q1258" s="564" t="s">
        <v>583</v>
      </c>
      <c r="R1258" s="564">
        <v>1</v>
      </c>
    </row>
    <row r="1259" spans="1:18" s="498" customFormat="1" ht="15" customHeight="1" x14ac:dyDescent="0.25">
      <c r="A1259" s="553">
        <v>15</v>
      </c>
      <c r="B1259" s="553">
        <v>20</v>
      </c>
      <c r="C1259" s="553">
        <v>2</v>
      </c>
      <c r="D1259" s="553">
        <v>21</v>
      </c>
      <c r="E1259" s="553">
        <v>1</v>
      </c>
      <c r="F1259" s="553">
        <v>1</v>
      </c>
      <c r="G1259" s="553" t="s">
        <v>474</v>
      </c>
      <c r="H1259" s="553">
        <v>1322.95</v>
      </c>
      <c r="I1259" s="553">
        <v>89</v>
      </c>
      <c r="J1259" s="553">
        <v>51</v>
      </c>
      <c r="K1259" s="553">
        <v>17</v>
      </c>
      <c r="L1259" s="553">
        <v>4</v>
      </c>
      <c r="M1259" s="505" t="s">
        <v>137</v>
      </c>
      <c r="N1259" s="500">
        <v>43019500930000</v>
      </c>
      <c r="O1259" s="553" t="s">
        <v>1484</v>
      </c>
      <c r="P1259" s="650" t="s">
        <v>1889</v>
      </c>
      <c r="Q1259" s="564" t="s">
        <v>583</v>
      </c>
      <c r="R1259" s="564">
        <v>1</v>
      </c>
    </row>
    <row r="1260" spans="1:18" s="498" customFormat="1" ht="15" customHeight="1" x14ac:dyDescent="0.25">
      <c r="A1260" s="553">
        <v>15</v>
      </c>
      <c r="B1260" s="553">
        <v>20</v>
      </c>
      <c r="C1260" s="553">
        <v>2</v>
      </c>
      <c r="D1260" s="553">
        <v>21</v>
      </c>
      <c r="E1260" s="553">
        <v>1</v>
      </c>
      <c r="F1260" s="553">
        <v>1</v>
      </c>
      <c r="G1260" s="502" t="s">
        <v>477</v>
      </c>
      <c r="H1260" s="553">
        <v>1322.95</v>
      </c>
      <c r="I1260" s="553">
        <v>89</v>
      </c>
      <c r="J1260" s="553">
        <v>51</v>
      </c>
      <c r="K1260" s="553">
        <v>17</v>
      </c>
      <c r="L1260" s="553">
        <v>4</v>
      </c>
      <c r="M1260" s="505" t="s">
        <v>137</v>
      </c>
      <c r="N1260" s="500">
        <v>43019500930000</v>
      </c>
      <c r="O1260" s="553" t="s">
        <v>1484</v>
      </c>
      <c r="P1260" s="650" t="s">
        <v>1890</v>
      </c>
      <c r="Q1260" s="564" t="s">
        <v>583</v>
      </c>
      <c r="R1260" s="564">
        <v>1</v>
      </c>
    </row>
    <row r="1261" spans="1:18" s="498" customFormat="1" ht="15" customHeight="1" x14ac:dyDescent="0.25">
      <c r="A1261" s="553">
        <v>15</v>
      </c>
      <c r="B1261" s="553">
        <v>20</v>
      </c>
      <c r="C1261" s="553">
        <v>2</v>
      </c>
      <c r="D1261" s="553">
        <v>21</v>
      </c>
      <c r="E1261" s="553">
        <v>1</v>
      </c>
      <c r="F1261" s="553">
        <v>1</v>
      </c>
      <c r="G1261" s="553" t="s">
        <v>479</v>
      </c>
      <c r="H1261" s="553">
        <v>1320.52</v>
      </c>
      <c r="I1261" s="553">
        <v>89</v>
      </c>
      <c r="J1261" s="553">
        <v>55</v>
      </c>
      <c r="K1261" s="553">
        <v>26</v>
      </c>
      <c r="L1261" s="553">
        <v>4</v>
      </c>
      <c r="M1261" s="505" t="s">
        <v>137</v>
      </c>
      <c r="N1261" s="500">
        <v>43019500930000</v>
      </c>
      <c r="O1261" s="553" t="s">
        <v>1484</v>
      </c>
      <c r="P1261" s="650" t="s">
        <v>1891</v>
      </c>
      <c r="Q1261" s="564" t="s">
        <v>583</v>
      </c>
      <c r="R1261" s="564">
        <v>1</v>
      </c>
    </row>
    <row r="1262" spans="1:18" s="498" customFormat="1" ht="15" customHeight="1" x14ac:dyDescent="0.25">
      <c r="A1262" s="553">
        <v>15</v>
      </c>
      <c r="B1262" s="553">
        <v>20</v>
      </c>
      <c r="C1262" s="553">
        <v>2</v>
      </c>
      <c r="D1262" s="553">
        <v>21</v>
      </c>
      <c r="E1262" s="553">
        <v>1</v>
      </c>
      <c r="F1262" s="553">
        <v>1</v>
      </c>
      <c r="G1262" s="553" t="s">
        <v>485</v>
      </c>
      <c r="H1262" s="553">
        <v>1320.52</v>
      </c>
      <c r="I1262" s="553">
        <v>89</v>
      </c>
      <c r="J1262" s="553">
        <v>55</v>
      </c>
      <c r="K1262" s="553">
        <v>26</v>
      </c>
      <c r="L1262" s="553">
        <v>4</v>
      </c>
      <c r="M1262" s="505" t="s">
        <v>137</v>
      </c>
      <c r="N1262" s="500">
        <v>43019500930000</v>
      </c>
      <c r="O1262" s="553" t="s">
        <v>1484</v>
      </c>
      <c r="P1262" s="650" t="s">
        <v>1892</v>
      </c>
      <c r="Q1262" s="564" t="s">
        <v>583</v>
      </c>
      <c r="R1262" s="564">
        <v>1</v>
      </c>
    </row>
    <row r="1263" spans="1:18" s="498" customFormat="1" ht="15" customHeight="1" x14ac:dyDescent="0.25">
      <c r="A1263" s="553">
        <v>15</v>
      </c>
      <c r="B1263" s="553">
        <v>20</v>
      </c>
      <c r="C1263" s="553">
        <v>2</v>
      </c>
      <c r="D1263" s="553">
        <v>21</v>
      </c>
      <c r="E1263" s="553">
        <v>1</v>
      </c>
      <c r="F1263" s="553">
        <v>1</v>
      </c>
      <c r="G1263" s="553" t="s">
        <v>487</v>
      </c>
      <c r="H1263" s="553">
        <v>1321.395</v>
      </c>
      <c r="I1263" s="553">
        <v>89</v>
      </c>
      <c r="J1263" s="553">
        <v>59</v>
      </c>
      <c r="K1263" s="553">
        <v>43</v>
      </c>
      <c r="L1263" s="553">
        <v>4</v>
      </c>
      <c r="M1263" s="505" t="s">
        <v>137</v>
      </c>
      <c r="N1263" s="500">
        <v>43019500930000</v>
      </c>
      <c r="O1263" s="553" t="s">
        <v>1484</v>
      </c>
      <c r="P1263" s="650" t="s">
        <v>1893</v>
      </c>
      <c r="Q1263" s="564" t="s">
        <v>583</v>
      </c>
      <c r="R1263" s="564">
        <v>1</v>
      </c>
    </row>
    <row r="1264" spans="1:18" s="498" customFormat="1" ht="15" customHeight="1" x14ac:dyDescent="0.25">
      <c r="A1264" s="553">
        <v>15</v>
      </c>
      <c r="B1264" s="553">
        <v>20</v>
      </c>
      <c r="C1264" s="553">
        <v>2</v>
      </c>
      <c r="D1264" s="553">
        <v>21</v>
      </c>
      <c r="E1264" s="553">
        <v>1</v>
      </c>
      <c r="F1264" s="553">
        <v>1</v>
      </c>
      <c r="G1264" s="502" t="s">
        <v>489</v>
      </c>
      <c r="H1264" s="553">
        <v>1321.395</v>
      </c>
      <c r="I1264" s="553">
        <v>89</v>
      </c>
      <c r="J1264" s="553">
        <v>59</v>
      </c>
      <c r="K1264" s="553">
        <v>43</v>
      </c>
      <c r="L1264" s="553">
        <v>4</v>
      </c>
      <c r="M1264" s="505" t="s">
        <v>137</v>
      </c>
      <c r="N1264" s="500">
        <v>43019500930000</v>
      </c>
      <c r="O1264" s="553" t="s">
        <v>1484</v>
      </c>
      <c r="P1264" s="650" t="s">
        <v>1894</v>
      </c>
      <c r="Q1264" s="564" t="s">
        <v>583</v>
      </c>
      <c r="R1264" s="564">
        <v>1</v>
      </c>
    </row>
    <row r="1265" spans="1:18" s="498" customFormat="1" ht="15" customHeight="1" x14ac:dyDescent="0.25">
      <c r="A1265" s="553">
        <v>15</v>
      </c>
      <c r="B1265" s="553">
        <v>20</v>
      </c>
      <c r="C1265" s="553">
        <v>2</v>
      </c>
      <c r="D1265" s="553">
        <v>21</v>
      </c>
      <c r="E1265" s="553">
        <v>1</v>
      </c>
      <c r="F1265" s="553">
        <v>1</v>
      </c>
      <c r="G1265" s="553" t="s">
        <v>491</v>
      </c>
      <c r="H1265" s="553">
        <v>1321.58</v>
      </c>
      <c r="I1265" s="553">
        <v>89</v>
      </c>
      <c r="J1265" s="553">
        <v>55</v>
      </c>
      <c r="K1265" s="553">
        <v>18</v>
      </c>
      <c r="L1265" s="553">
        <v>4</v>
      </c>
      <c r="M1265" s="505" t="s">
        <v>137</v>
      </c>
      <c r="N1265" s="500">
        <v>43019500930000</v>
      </c>
      <c r="O1265" s="553" t="s">
        <v>1484</v>
      </c>
      <c r="P1265" s="650" t="s">
        <v>1895</v>
      </c>
      <c r="Q1265" s="564" t="s">
        <v>583</v>
      </c>
      <c r="R1265" s="564">
        <v>1</v>
      </c>
    </row>
    <row r="1266" spans="1:18" s="498" customFormat="1" ht="15" customHeight="1" x14ac:dyDescent="0.25">
      <c r="A1266" s="553">
        <v>15</v>
      </c>
      <c r="B1266" s="553">
        <v>20</v>
      </c>
      <c r="C1266" s="553">
        <v>2</v>
      </c>
      <c r="D1266" s="553">
        <v>21</v>
      </c>
      <c r="E1266" s="553">
        <v>1</v>
      </c>
      <c r="F1266" s="553">
        <v>1</v>
      </c>
      <c r="G1266" s="553" t="s">
        <v>494</v>
      </c>
      <c r="H1266" s="553">
        <v>1321.58</v>
      </c>
      <c r="I1266" s="553">
        <v>89</v>
      </c>
      <c r="J1266" s="553">
        <v>55</v>
      </c>
      <c r="K1266" s="553">
        <v>18</v>
      </c>
      <c r="L1266" s="553">
        <v>4</v>
      </c>
      <c r="M1266" s="505" t="s">
        <v>137</v>
      </c>
      <c r="N1266" s="500">
        <v>43019500930000</v>
      </c>
      <c r="O1266" s="553" t="s">
        <v>1484</v>
      </c>
      <c r="P1266" s="650" t="s">
        <v>1896</v>
      </c>
      <c r="Q1266" s="564" t="s">
        <v>583</v>
      </c>
      <c r="R1266" s="564">
        <v>1</v>
      </c>
    </row>
    <row r="1267" spans="1:18" ht="15" customHeight="1" x14ac:dyDescent="0.25">
      <c r="A1267" s="553">
        <v>15</v>
      </c>
      <c r="B1267" s="553">
        <v>2</v>
      </c>
      <c r="C1267" s="553">
        <v>2</v>
      </c>
      <c r="D1267" s="553">
        <v>1</v>
      </c>
      <c r="E1267" s="553">
        <v>2</v>
      </c>
      <c r="F1267" s="553">
        <v>2</v>
      </c>
      <c r="G1267" s="553" t="s">
        <v>473</v>
      </c>
      <c r="H1267" s="553">
        <v>1319.9749999999999</v>
      </c>
      <c r="I1267" s="553">
        <v>0</v>
      </c>
      <c r="J1267" s="553">
        <v>20</v>
      </c>
      <c r="K1267" s="553">
        <v>57</v>
      </c>
      <c r="L1267" s="553">
        <v>4</v>
      </c>
      <c r="M1267" s="505" t="s">
        <v>137</v>
      </c>
      <c r="N1267" s="500">
        <v>43013539170000</v>
      </c>
      <c r="O1267" s="553" t="s">
        <v>1897</v>
      </c>
      <c r="P1267" s="650" t="s">
        <v>1898</v>
      </c>
      <c r="Q1267" s="564" t="s">
        <v>583</v>
      </c>
      <c r="R1267" s="564">
        <v>2</v>
      </c>
    </row>
    <row r="1268" spans="1:18" ht="15" customHeight="1" x14ac:dyDescent="0.25">
      <c r="A1268" s="553">
        <v>15</v>
      </c>
      <c r="B1268" s="553">
        <v>2</v>
      </c>
      <c r="C1268" s="553">
        <v>2</v>
      </c>
      <c r="D1268" s="553">
        <v>1</v>
      </c>
      <c r="E1268" s="553">
        <v>2</v>
      </c>
      <c r="F1268" s="553">
        <v>2</v>
      </c>
      <c r="G1268" s="502" t="s">
        <v>476</v>
      </c>
      <c r="H1268" s="553">
        <v>1319.9749999999999</v>
      </c>
      <c r="I1268" s="553">
        <v>0</v>
      </c>
      <c r="J1268" s="553">
        <v>20</v>
      </c>
      <c r="K1268" s="553">
        <v>57</v>
      </c>
      <c r="L1268" s="553">
        <v>4</v>
      </c>
      <c r="M1268" s="505" t="s">
        <v>137</v>
      </c>
      <c r="N1268" s="500">
        <v>43013539170000</v>
      </c>
      <c r="O1268" s="553" t="s">
        <v>1897</v>
      </c>
      <c r="P1268" s="650" t="s">
        <v>1899</v>
      </c>
      <c r="Q1268" s="564" t="s">
        <v>583</v>
      </c>
      <c r="R1268" s="564">
        <v>2</v>
      </c>
    </row>
    <row r="1269" spans="1:18" ht="15" customHeight="1" x14ac:dyDescent="0.25">
      <c r="A1269" s="553">
        <v>15</v>
      </c>
      <c r="B1269" s="553">
        <v>2</v>
      </c>
      <c r="C1269" s="553">
        <v>2</v>
      </c>
      <c r="D1269" s="553">
        <v>1</v>
      </c>
      <c r="E1269" s="553">
        <v>2</v>
      </c>
      <c r="F1269" s="553">
        <v>2</v>
      </c>
      <c r="G1269" s="553" t="s">
        <v>478</v>
      </c>
      <c r="H1269" s="553">
        <v>1320.23</v>
      </c>
      <c r="I1269" s="553">
        <v>0</v>
      </c>
      <c r="J1269" s="553">
        <v>20</v>
      </c>
      <c r="K1269" s="553">
        <v>19</v>
      </c>
      <c r="L1269" s="553">
        <v>4</v>
      </c>
      <c r="M1269" s="505" t="s">
        <v>137</v>
      </c>
      <c r="N1269" s="500">
        <v>43013539170000</v>
      </c>
      <c r="O1269" s="553" t="s">
        <v>1897</v>
      </c>
      <c r="P1269" s="650" t="s">
        <v>1900</v>
      </c>
      <c r="Q1269" s="564" t="s">
        <v>583</v>
      </c>
      <c r="R1269" s="564">
        <v>2</v>
      </c>
    </row>
    <row r="1270" spans="1:18" ht="15" customHeight="1" x14ac:dyDescent="0.25">
      <c r="A1270" s="553">
        <v>15</v>
      </c>
      <c r="B1270" s="553">
        <v>2</v>
      </c>
      <c r="C1270" s="553">
        <v>2</v>
      </c>
      <c r="D1270" s="553">
        <v>1</v>
      </c>
      <c r="E1270" s="553">
        <v>2</v>
      </c>
      <c r="F1270" s="553">
        <v>2</v>
      </c>
      <c r="G1270" s="553" t="s">
        <v>484</v>
      </c>
      <c r="H1270" s="553">
        <v>1320.23</v>
      </c>
      <c r="I1270" s="553">
        <v>0</v>
      </c>
      <c r="J1270" s="553">
        <v>20</v>
      </c>
      <c r="K1270" s="553">
        <v>19</v>
      </c>
      <c r="L1270" s="553">
        <v>4</v>
      </c>
      <c r="M1270" s="505" t="s">
        <v>137</v>
      </c>
      <c r="N1270" s="500">
        <v>43013539170000</v>
      </c>
      <c r="O1270" s="553" t="s">
        <v>1897</v>
      </c>
      <c r="P1270" s="650" t="s">
        <v>1901</v>
      </c>
      <c r="Q1270" s="564" t="s">
        <v>583</v>
      </c>
      <c r="R1270" s="564">
        <v>2</v>
      </c>
    </row>
    <row r="1271" spans="1:18" ht="15" customHeight="1" x14ac:dyDescent="0.25">
      <c r="A1271" s="553">
        <v>15</v>
      </c>
      <c r="B1271" s="553">
        <v>2</v>
      </c>
      <c r="C1271" s="553">
        <v>2</v>
      </c>
      <c r="D1271" s="553">
        <v>1</v>
      </c>
      <c r="E1271" s="553">
        <v>2</v>
      </c>
      <c r="F1271" s="553">
        <v>2</v>
      </c>
      <c r="G1271" s="553" t="s">
        <v>486</v>
      </c>
      <c r="H1271" s="553">
        <v>1320.9349999999999</v>
      </c>
      <c r="I1271" s="553">
        <v>0</v>
      </c>
      <c r="J1271" s="553">
        <v>12</v>
      </c>
      <c r="K1271" s="553">
        <v>24</v>
      </c>
      <c r="L1271" s="553">
        <v>4</v>
      </c>
      <c r="M1271" s="505" t="s">
        <v>137</v>
      </c>
      <c r="N1271" s="500">
        <v>43013539170000</v>
      </c>
      <c r="O1271" s="553" t="s">
        <v>1897</v>
      </c>
      <c r="P1271" s="650" t="s">
        <v>1902</v>
      </c>
      <c r="Q1271" s="564" t="s">
        <v>583</v>
      </c>
      <c r="R1271" s="564">
        <v>2</v>
      </c>
    </row>
    <row r="1272" spans="1:18" ht="15" customHeight="1" x14ac:dyDescent="0.25">
      <c r="A1272" s="553">
        <v>15</v>
      </c>
      <c r="B1272" s="553">
        <v>2</v>
      </c>
      <c r="C1272" s="553">
        <v>2</v>
      </c>
      <c r="D1272" s="553">
        <v>1</v>
      </c>
      <c r="E1272" s="553">
        <v>2</v>
      </c>
      <c r="F1272" s="553">
        <v>2</v>
      </c>
      <c r="G1272" s="502" t="s">
        <v>488</v>
      </c>
      <c r="H1272" s="553">
        <v>1320.9349999999999</v>
      </c>
      <c r="I1272" s="553">
        <v>0</v>
      </c>
      <c r="J1272" s="553">
        <v>12</v>
      </c>
      <c r="K1272" s="553">
        <v>24</v>
      </c>
      <c r="L1272" s="553">
        <v>4</v>
      </c>
      <c r="M1272" s="505" t="s">
        <v>137</v>
      </c>
      <c r="N1272" s="500">
        <v>43013539170000</v>
      </c>
      <c r="O1272" s="553" t="s">
        <v>1897</v>
      </c>
      <c r="P1272" s="650" t="s">
        <v>1903</v>
      </c>
      <c r="Q1272" s="564" t="s">
        <v>583</v>
      </c>
      <c r="R1272" s="564">
        <v>2</v>
      </c>
    </row>
    <row r="1273" spans="1:18" ht="15" customHeight="1" x14ac:dyDescent="0.25">
      <c r="A1273" s="553">
        <v>15</v>
      </c>
      <c r="B1273" s="553">
        <v>2</v>
      </c>
      <c r="C1273" s="553">
        <v>2</v>
      </c>
      <c r="D1273" s="553">
        <v>1</v>
      </c>
      <c r="E1273" s="553">
        <v>2</v>
      </c>
      <c r="F1273" s="553">
        <v>2</v>
      </c>
      <c r="G1273" s="553" t="s">
        <v>490</v>
      </c>
      <c r="H1273" s="553">
        <v>1320.9</v>
      </c>
      <c r="I1273" s="553">
        <v>0</v>
      </c>
      <c r="J1273" s="553">
        <v>12</v>
      </c>
      <c r="K1273" s="553">
        <v>21</v>
      </c>
      <c r="L1273" s="553">
        <v>1</v>
      </c>
      <c r="M1273" s="505" t="s">
        <v>137</v>
      </c>
      <c r="N1273" s="500">
        <v>43013539170000</v>
      </c>
      <c r="O1273" s="553" t="s">
        <v>1897</v>
      </c>
      <c r="P1273" s="650" t="s">
        <v>1904</v>
      </c>
      <c r="Q1273" s="564" t="s">
        <v>583</v>
      </c>
      <c r="R1273" s="564">
        <v>2</v>
      </c>
    </row>
    <row r="1274" spans="1:18" ht="15" customHeight="1" x14ac:dyDescent="0.25">
      <c r="A1274" s="553">
        <v>15</v>
      </c>
      <c r="B1274" s="553">
        <v>2</v>
      </c>
      <c r="C1274" s="553">
        <v>2</v>
      </c>
      <c r="D1274" s="553">
        <v>1</v>
      </c>
      <c r="E1274" s="553">
        <v>2</v>
      </c>
      <c r="F1274" s="553">
        <v>2</v>
      </c>
      <c r="G1274" s="553" t="s">
        <v>493</v>
      </c>
      <c r="H1274" s="553">
        <v>1320.9</v>
      </c>
      <c r="I1274" s="553">
        <v>0</v>
      </c>
      <c r="J1274" s="553">
        <v>12</v>
      </c>
      <c r="K1274" s="553">
        <v>21</v>
      </c>
      <c r="L1274" s="553">
        <v>1</v>
      </c>
      <c r="M1274" s="505" t="s">
        <v>137</v>
      </c>
      <c r="N1274" s="500">
        <v>43013539170000</v>
      </c>
      <c r="O1274" s="553" t="s">
        <v>1897</v>
      </c>
      <c r="P1274" s="650" t="s">
        <v>1905</v>
      </c>
      <c r="Q1274" s="564" t="s">
        <v>583</v>
      </c>
      <c r="R1274" s="564">
        <v>2</v>
      </c>
    </row>
    <row r="1275" spans="1:18" ht="15" customHeight="1" x14ac:dyDescent="0.25">
      <c r="A1275" s="553">
        <v>15</v>
      </c>
      <c r="B1275" s="553">
        <v>2</v>
      </c>
      <c r="C1275" s="553">
        <v>2</v>
      </c>
      <c r="D1275" s="553">
        <v>1</v>
      </c>
      <c r="E1275" s="553">
        <v>2</v>
      </c>
      <c r="F1275" s="553">
        <v>2</v>
      </c>
      <c r="G1275" s="553" t="s">
        <v>474</v>
      </c>
      <c r="H1275" s="553">
        <v>1325.14</v>
      </c>
      <c r="I1275" s="553">
        <v>89</v>
      </c>
      <c r="J1275" s="553">
        <v>34</v>
      </c>
      <c r="K1275" s="553">
        <v>53</v>
      </c>
      <c r="L1275" s="553">
        <v>3</v>
      </c>
      <c r="M1275" s="505" t="s">
        <v>137</v>
      </c>
      <c r="N1275" s="500">
        <v>43013539170000</v>
      </c>
      <c r="O1275" s="553" t="s">
        <v>1897</v>
      </c>
      <c r="P1275" s="650" t="s">
        <v>1906</v>
      </c>
      <c r="Q1275" s="564" t="s">
        <v>583</v>
      </c>
      <c r="R1275" s="564">
        <v>2</v>
      </c>
    </row>
    <row r="1276" spans="1:18" ht="15" customHeight="1" x14ac:dyDescent="0.25">
      <c r="A1276" s="553">
        <v>15</v>
      </c>
      <c r="B1276" s="553">
        <v>2</v>
      </c>
      <c r="C1276" s="553">
        <v>2</v>
      </c>
      <c r="D1276" s="553">
        <v>1</v>
      </c>
      <c r="E1276" s="553">
        <v>2</v>
      </c>
      <c r="F1276" s="553">
        <v>2</v>
      </c>
      <c r="G1276" s="502" t="s">
        <v>477</v>
      </c>
      <c r="H1276" s="553">
        <v>1325.14</v>
      </c>
      <c r="I1276" s="553">
        <v>89</v>
      </c>
      <c r="J1276" s="553">
        <v>34</v>
      </c>
      <c r="K1276" s="553">
        <v>53</v>
      </c>
      <c r="L1276" s="553">
        <v>3</v>
      </c>
      <c r="M1276" s="505" t="s">
        <v>137</v>
      </c>
      <c r="N1276" s="500">
        <v>43013539170000</v>
      </c>
      <c r="O1276" s="553" t="s">
        <v>1897</v>
      </c>
      <c r="P1276" s="650" t="s">
        <v>1907</v>
      </c>
      <c r="Q1276" s="564" t="s">
        <v>583</v>
      </c>
      <c r="R1276" s="564">
        <v>2</v>
      </c>
    </row>
    <row r="1277" spans="1:18" ht="15" customHeight="1" x14ac:dyDescent="0.25">
      <c r="A1277" s="553">
        <v>15</v>
      </c>
      <c r="B1277" s="553">
        <v>2</v>
      </c>
      <c r="C1277" s="553">
        <v>2</v>
      </c>
      <c r="D1277" s="553">
        <v>1</v>
      </c>
      <c r="E1277" s="553">
        <v>2</v>
      </c>
      <c r="F1277" s="553">
        <v>2</v>
      </c>
      <c r="G1277" s="553" t="s">
        <v>479</v>
      </c>
      <c r="H1277" s="553">
        <v>1325.14</v>
      </c>
      <c r="I1277" s="553">
        <v>89</v>
      </c>
      <c r="J1277" s="553">
        <v>34</v>
      </c>
      <c r="K1277" s="553">
        <v>53</v>
      </c>
      <c r="L1277" s="553">
        <v>3</v>
      </c>
      <c r="M1277" s="505" t="s">
        <v>137</v>
      </c>
      <c r="N1277" s="500">
        <v>43013539170000</v>
      </c>
      <c r="O1277" s="553" t="s">
        <v>1897</v>
      </c>
      <c r="P1277" s="650" t="s">
        <v>1908</v>
      </c>
      <c r="Q1277" s="564" t="s">
        <v>583</v>
      </c>
      <c r="R1277" s="564">
        <v>2</v>
      </c>
    </row>
    <row r="1278" spans="1:18" ht="15" customHeight="1" x14ac:dyDescent="0.25">
      <c r="A1278" s="553">
        <v>15</v>
      </c>
      <c r="B1278" s="553">
        <v>2</v>
      </c>
      <c r="C1278" s="553">
        <v>2</v>
      </c>
      <c r="D1278" s="553">
        <v>1</v>
      </c>
      <c r="E1278" s="553">
        <v>2</v>
      </c>
      <c r="F1278" s="553">
        <v>2</v>
      </c>
      <c r="G1278" s="553" t="s">
        <v>485</v>
      </c>
      <c r="H1278" s="553">
        <v>1325.14</v>
      </c>
      <c r="I1278" s="553">
        <v>89</v>
      </c>
      <c r="J1278" s="553">
        <v>34</v>
      </c>
      <c r="K1278" s="553">
        <v>53</v>
      </c>
      <c r="L1278" s="553">
        <v>3</v>
      </c>
      <c r="M1278" s="505" t="s">
        <v>137</v>
      </c>
      <c r="N1278" s="500">
        <v>43013539170000</v>
      </c>
      <c r="O1278" s="553" t="s">
        <v>1897</v>
      </c>
      <c r="P1278" s="650" t="s">
        <v>1909</v>
      </c>
      <c r="Q1278" s="564" t="s">
        <v>583</v>
      </c>
      <c r="R1278" s="564">
        <v>2</v>
      </c>
    </row>
    <row r="1279" spans="1:18" ht="15" customHeight="1" x14ac:dyDescent="0.25">
      <c r="A1279" s="553">
        <v>15</v>
      </c>
      <c r="B1279" s="553">
        <v>2</v>
      </c>
      <c r="C1279" s="553">
        <v>2</v>
      </c>
      <c r="D1279" s="553">
        <v>1</v>
      </c>
      <c r="E1279" s="553">
        <v>2</v>
      </c>
      <c r="F1279" s="553">
        <v>2</v>
      </c>
      <c r="G1279" s="553" t="s">
        <v>487</v>
      </c>
      <c r="H1279" s="553">
        <v>1321.9649999999999</v>
      </c>
      <c r="I1279" s="553">
        <v>89</v>
      </c>
      <c r="J1279" s="553">
        <v>36</v>
      </c>
      <c r="K1279" s="553">
        <v>59</v>
      </c>
      <c r="L1279" s="553">
        <v>3</v>
      </c>
      <c r="M1279" s="505" t="s">
        <v>137</v>
      </c>
      <c r="N1279" s="500">
        <v>43013539170000</v>
      </c>
      <c r="O1279" s="553" t="s">
        <v>1897</v>
      </c>
      <c r="P1279" s="650" t="s">
        <v>1910</v>
      </c>
      <c r="Q1279" s="564" t="s">
        <v>583</v>
      </c>
      <c r="R1279" s="564">
        <v>2</v>
      </c>
    </row>
    <row r="1280" spans="1:18" ht="15" customHeight="1" x14ac:dyDescent="0.25">
      <c r="A1280" s="553">
        <v>15</v>
      </c>
      <c r="B1280" s="553">
        <v>2</v>
      </c>
      <c r="C1280" s="553">
        <v>2</v>
      </c>
      <c r="D1280" s="553">
        <v>1</v>
      </c>
      <c r="E1280" s="553">
        <v>2</v>
      </c>
      <c r="F1280" s="553">
        <v>2</v>
      </c>
      <c r="G1280" s="502" t="s">
        <v>489</v>
      </c>
      <c r="H1280" s="553">
        <v>1321.9649999999999</v>
      </c>
      <c r="I1280" s="553">
        <v>89</v>
      </c>
      <c r="J1280" s="553">
        <v>36</v>
      </c>
      <c r="K1280" s="553">
        <v>59</v>
      </c>
      <c r="L1280" s="553">
        <v>3</v>
      </c>
      <c r="M1280" s="505" t="s">
        <v>137</v>
      </c>
      <c r="N1280" s="500">
        <v>43013539170000</v>
      </c>
      <c r="O1280" s="553" t="s">
        <v>1897</v>
      </c>
      <c r="P1280" s="650" t="s">
        <v>1911</v>
      </c>
      <c r="Q1280" s="564" t="s">
        <v>583</v>
      </c>
      <c r="R1280" s="564">
        <v>2</v>
      </c>
    </row>
    <row r="1281" spans="1:18" ht="15" customHeight="1" x14ac:dyDescent="0.25">
      <c r="A1281" s="553">
        <v>15</v>
      </c>
      <c r="B1281" s="553">
        <v>2</v>
      </c>
      <c r="C1281" s="553">
        <v>2</v>
      </c>
      <c r="D1281" s="553">
        <v>1</v>
      </c>
      <c r="E1281" s="553">
        <v>2</v>
      </c>
      <c r="F1281" s="553">
        <v>2</v>
      </c>
      <c r="G1281" s="553" t="s">
        <v>491</v>
      </c>
      <c r="H1281" s="553">
        <v>1321.9649999999999</v>
      </c>
      <c r="I1281" s="553">
        <v>89</v>
      </c>
      <c r="J1281" s="553">
        <v>36</v>
      </c>
      <c r="K1281" s="553">
        <v>59</v>
      </c>
      <c r="L1281" s="553">
        <v>3</v>
      </c>
      <c r="M1281" s="505" t="s">
        <v>137</v>
      </c>
      <c r="N1281" s="500">
        <v>43013539170000</v>
      </c>
      <c r="O1281" s="553" t="s">
        <v>1897</v>
      </c>
      <c r="P1281" s="650" t="s">
        <v>1912</v>
      </c>
      <c r="Q1281" s="564" t="s">
        <v>583</v>
      </c>
      <c r="R1281" s="564">
        <v>2</v>
      </c>
    </row>
    <row r="1282" spans="1:18" ht="15" customHeight="1" x14ac:dyDescent="0.25">
      <c r="A1282" s="553">
        <v>15</v>
      </c>
      <c r="B1282" s="553">
        <v>2</v>
      </c>
      <c r="C1282" s="553">
        <v>2</v>
      </c>
      <c r="D1282" s="553">
        <v>1</v>
      </c>
      <c r="E1282" s="553">
        <v>2</v>
      </c>
      <c r="F1282" s="553">
        <v>2</v>
      </c>
      <c r="G1282" s="553" t="s">
        <v>494</v>
      </c>
      <c r="H1282" s="553">
        <v>1321.9649999999999</v>
      </c>
      <c r="I1282" s="553">
        <v>89</v>
      </c>
      <c r="J1282" s="553">
        <v>36</v>
      </c>
      <c r="K1282" s="553">
        <v>59</v>
      </c>
      <c r="L1282" s="553">
        <v>3</v>
      </c>
      <c r="M1282" s="505" t="s">
        <v>137</v>
      </c>
      <c r="N1282" s="500">
        <v>43013539170000</v>
      </c>
      <c r="O1282" s="553" t="s">
        <v>1897</v>
      </c>
      <c r="P1282" s="650" t="s">
        <v>1913</v>
      </c>
      <c r="Q1282" s="564" t="s">
        <v>583</v>
      </c>
      <c r="R1282" s="564">
        <v>2</v>
      </c>
    </row>
    <row r="1283" spans="1:18" ht="15" customHeight="1" x14ac:dyDescent="0.25">
      <c r="A1283" s="553">
        <v>15</v>
      </c>
      <c r="B1283" s="553">
        <v>2</v>
      </c>
      <c r="C1283" s="553">
        <v>2</v>
      </c>
      <c r="D1283" s="553">
        <v>3</v>
      </c>
      <c r="E1283" s="553">
        <v>2</v>
      </c>
      <c r="F1283" s="553">
        <v>2</v>
      </c>
      <c r="G1283" s="553" t="s">
        <v>473</v>
      </c>
      <c r="H1283" s="553">
        <v>1316.04</v>
      </c>
      <c r="I1283" s="553">
        <v>0</v>
      </c>
      <c r="J1283" s="553">
        <v>26</v>
      </c>
      <c r="K1283" s="553">
        <v>33</v>
      </c>
      <c r="L1283" s="553">
        <v>4</v>
      </c>
      <c r="M1283" s="505" t="s">
        <v>137</v>
      </c>
      <c r="N1283" s="500">
        <v>43013538470000</v>
      </c>
      <c r="O1283" s="553" t="s">
        <v>1914</v>
      </c>
      <c r="P1283" s="650" t="s">
        <v>1915</v>
      </c>
      <c r="Q1283" s="564" t="s">
        <v>583</v>
      </c>
      <c r="R1283" s="564">
        <v>1</v>
      </c>
    </row>
    <row r="1284" spans="1:18" ht="15" customHeight="1" x14ac:dyDescent="0.25">
      <c r="A1284" s="553">
        <v>15</v>
      </c>
      <c r="B1284" s="553">
        <v>2</v>
      </c>
      <c r="C1284" s="553">
        <v>2</v>
      </c>
      <c r="D1284" s="553">
        <v>3</v>
      </c>
      <c r="E1284" s="553">
        <v>2</v>
      </c>
      <c r="F1284" s="553">
        <v>2</v>
      </c>
      <c r="G1284" s="502" t="s">
        <v>476</v>
      </c>
      <c r="H1284" s="553">
        <v>1316.04</v>
      </c>
      <c r="I1284" s="553">
        <v>0</v>
      </c>
      <c r="J1284" s="553">
        <v>26</v>
      </c>
      <c r="K1284" s="553">
        <v>33</v>
      </c>
      <c r="L1284" s="553">
        <v>4</v>
      </c>
      <c r="M1284" s="505" t="s">
        <v>137</v>
      </c>
      <c r="N1284" s="500">
        <v>43013538470000</v>
      </c>
      <c r="O1284" s="553" t="s">
        <v>1914</v>
      </c>
      <c r="P1284" s="650" t="s">
        <v>1916</v>
      </c>
      <c r="Q1284" s="564" t="s">
        <v>583</v>
      </c>
      <c r="R1284" s="564">
        <v>1</v>
      </c>
    </row>
    <row r="1285" spans="1:18" ht="15" customHeight="1" x14ac:dyDescent="0.25">
      <c r="A1285" s="553">
        <v>15</v>
      </c>
      <c r="B1285" s="553">
        <v>2</v>
      </c>
      <c r="C1285" s="553">
        <v>2</v>
      </c>
      <c r="D1285" s="553">
        <v>3</v>
      </c>
      <c r="E1285" s="553">
        <v>2</v>
      </c>
      <c r="F1285" s="553">
        <v>2</v>
      </c>
      <c r="G1285" s="553" t="s">
        <v>478</v>
      </c>
      <c r="H1285" s="553">
        <v>1313.605</v>
      </c>
      <c r="I1285" s="553">
        <v>0</v>
      </c>
      <c r="J1285" s="553">
        <v>26</v>
      </c>
      <c r="K1285" s="553">
        <v>33</v>
      </c>
      <c r="L1285" s="553">
        <v>4</v>
      </c>
      <c r="M1285" s="505" t="s">
        <v>137</v>
      </c>
      <c r="N1285" s="500">
        <v>43013538470000</v>
      </c>
      <c r="O1285" s="553" t="s">
        <v>1914</v>
      </c>
      <c r="P1285" s="650" t="s">
        <v>1917</v>
      </c>
      <c r="Q1285" s="564" t="s">
        <v>583</v>
      </c>
      <c r="R1285" s="564">
        <v>1</v>
      </c>
    </row>
    <row r="1286" spans="1:18" ht="15" customHeight="1" x14ac:dyDescent="0.25">
      <c r="A1286" s="553">
        <v>15</v>
      </c>
      <c r="B1286" s="553">
        <v>2</v>
      </c>
      <c r="C1286" s="553">
        <v>2</v>
      </c>
      <c r="D1286" s="553">
        <v>3</v>
      </c>
      <c r="E1286" s="553">
        <v>2</v>
      </c>
      <c r="F1286" s="553">
        <v>2</v>
      </c>
      <c r="G1286" s="553" t="s">
        <v>484</v>
      </c>
      <c r="H1286" s="553">
        <v>1313.605</v>
      </c>
      <c r="I1286" s="553">
        <v>0</v>
      </c>
      <c r="J1286" s="553">
        <v>26</v>
      </c>
      <c r="K1286" s="553">
        <v>33</v>
      </c>
      <c r="L1286" s="553">
        <v>4</v>
      </c>
      <c r="M1286" s="505" t="s">
        <v>137</v>
      </c>
      <c r="N1286" s="500">
        <v>43013538470000</v>
      </c>
      <c r="O1286" s="553" t="s">
        <v>1914</v>
      </c>
      <c r="P1286" s="650" t="s">
        <v>1918</v>
      </c>
      <c r="Q1286" s="564" t="s">
        <v>583</v>
      </c>
      <c r="R1286" s="564">
        <v>1</v>
      </c>
    </row>
    <row r="1287" spans="1:18" ht="15" customHeight="1" x14ac:dyDescent="0.25">
      <c r="A1287" s="553">
        <v>15</v>
      </c>
      <c r="B1287" s="553">
        <v>2</v>
      </c>
      <c r="C1287" s="553">
        <v>2</v>
      </c>
      <c r="D1287" s="553">
        <v>3</v>
      </c>
      <c r="E1287" s="553">
        <v>2</v>
      </c>
      <c r="F1287" s="553">
        <v>2</v>
      </c>
      <c r="G1287" s="553" t="s">
        <v>486</v>
      </c>
      <c r="H1287" s="553">
        <v>1316.97</v>
      </c>
      <c r="I1287" s="553">
        <v>0</v>
      </c>
      <c r="J1287" s="553">
        <v>16</v>
      </c>
      <c r="K1287" s="553">
        <v>58</v>
      </c>
      <c r="L1287" s="553">
        <v>3</v>
      </c>
      <c r="M1287" s="505" t="s">
        <v>137</v>
      </c>
      <c r="N1287" s="500">
        <v>43013538470000</v>
      </c>
      <c r="O1287" s="553" t="s">
        <v>1914</v>
      </c>
      <c r="P1287" s="650" t="s">
        <v>1919</v>
      </c>
      <c r="Q1287" s="564" t="s">
        <v>583</v>
      </c>
      <c r="R1287" s="564">
        <v>1</v>
      </c>
    </row>
    <row r="1288" spans="1:18" ht="15" customHeight="1" x14ac:dyDescent="0.25">
      <c r="A1288" s="553">
        <v>15</v>
      </c>
      <c r="B1288" s="553">
        <v>2</v>
      </c>
      <c r="C1288" s="553">
        <v>2</v>
      </c>
      <c r="D1288" s="553">
        <v>3</v>
      </c>
      <c r="E1288" s="553">
        <v>2</v>
      </c>
      <c r="F1288" s="553">
        <v>2</v>
      </c>
      <c r="G1288" s="502" t="s">
        <v>488</v>
      </c>
      <c r="H1288" s="553">
        <v>1316.97</v>
      </c>
      <c r="I1288" s="553">
        <v>0</v>
      </c>
      <c r="J1288" s="553">
        <v>16</v>
      </c>
      <c r="K1288" s="553">
        <v>58</v>
      </c>
      <c r="L1288" s="553">
        <v>3</v>
      </c>
      <c r="M1288" s="505" t="s">
        <v>137</v>
      </c>
      <c r="N1288" s="500">
        <v>43013538470000</v>
      </c>
      <c r="O1288" s="553" t="s">
        <v>1914</v>
      </c>
      <c r="P1288" s="650" t="s">
        <v>1920</v>
      </c>
      <c r="Q1288" s="564" t="s">
        <v>583</v>
      </c>
      <c r="R1288" s="564">
        <v>1</v>
      </c>
    </row>
    <row r="1289" spans="1:18" ht="15" customHeight="1" x14ac:dyDescent="0.25">
      <c r="A1289" s="553">
        <v>15</v>
      </c>
      <c r="B1289" s="553">
        <v>2</v>
      </c>
      <c r="C1289" s="553">
        <v>2</v>
      </c>
      <c r="D1289" s="553">
        <v>3</v>
      </c>
      <c r="E1289" s="553">
        <v>2</v>
      </c>
      <c r="F1289" s="553">
        <v>2</v>
      </c>
      <c r="G1289" s="553" t="s">
        <v>490</v>
      </c>
      <c r="H1289" s="553">
        <v>1316.97</v>
      </c>
      <c r="I1289" s="553">
        <v>0</v>
      </c>
      <c r="J1289" s="553">
        <v>16</v>
      </c>
      <c r="K1289" s="553">
        <v>58</v>
      </c>
      <c r="L1289" s="553">
        <v>3</v>
      </c>
      <c r="M1289" s="505" t="s">
        <v>137</v>
      </c>
      <c r="N1289" s="500">
        <v>43013538470000</v>
      </c>
      <c r="O1289" s="553" t="s">
        <v>1914</v>
      </c>
      <c r="P1289" s="650" t="s">
        <v>1921</v>
      </c>
      <c r="Q1289" s="564" t="s">
        <v>583</v>
      </c>
      <c r="R1289" s="564">
        <v>1</v>
      </c>
    </row>
    <row r="1290" spans="1:18" ht="15" customHeight="1" x14ac:dyDescent="0.25">
      <c r="A1290" s="553">
        <v>15</v>
      </c>
      <c r="B1290" s="553">
        <v>2</v>
      </c>
      <c r="C1290" s="553">
        <v>2</v>
      </c>
      <c r="D1290" s="553">
        <v>3</v>
      </c>
      <c r="E1290" s="553">
        <v>2</v>
      </c>
      <c r="F1290" s="553">
        <v>2</v>
      </c>
      <c r="G1290" s="553" t="s">
        <v>493</v>
      </c>
      <c r="H1290" s="553">
        <v>1316.97</v>
      </c>
      <c r="I1290" s="553">
        <v>0</v>
      </c>
      <c r="J1290" s="553">
        <v>16</v>
      </c>
      <c r="K1290" s="553">
        <v>58</v>
      </c>
      <c r="L1290" s="553">
        <v>3</v>
      </c>
      <c r="M1290" s="505" t="s">
        <v>137</v>
      </c>
      <c r="N1290" s="500">
        <v>43013538470000</v>
      </c>
      <c r="O1290" s="553" t="s">
        <v>1914</v>
      </c>
      <c r="P1290" s="650" t="s">
        <v>1922</v>
      </c>
      <c r="Q1290" s="564" t="s">
        <v>583</v>
      </c>
      <c r="R1290" s="564">
        <v>1</v>
      </c>
    </row>
    <row r="1291" spans="1:18" ht="15" customHeight="1" x14ac:dyDescent="0.25">
      <c r="A1291" s="553">
        <v>15</v>
      </c>
      <c r="B1291" s="553">
        <v>2</v>
      </c>
      <c r="C1291" s="553">
        <v>2</v>
      </c>
      <c r="D1291" s="553">
        <v>3</v>
      </c>
      <c r="E1291" s="553">
        <v>2</v>
      </c>
      <c r="F1291" s="553">
        <v>2</v>
      </c>
      <c r="G1291" s="553" t="s">
        <v>474</v>
      </c>
      <c r="H1291" s="553">
        <v>1340.9775</v>
      </c>
      <c r="I1291" s="553">
        <v>89</v>
      </c>
      <c r="J1291" s="553">
        <v>50</v>
      </c>
      <c r="K1291" s="553">
        <v>13</v>
      </c>
      <c r="L1291" s="553">
        <v>4</v>
      </c>
      <c r="M1291" s="505" t="s">
        <v>137</v>
      </c>
      <c r="N1291" s="500">
        <v>43013538470000</v>
      </c>
      <c r="O1291" s="553" t="s">
        <v>1914</v>
      </c>
      <c r="P1291" s="650" t="s">
        <v>1923</v>
      </c>
      <c r="Q1291" s="564" t="s">
        <v>583</v>
      </c>
      <c r="R1291" s="564">
        <v>1</v>
      </c>
    </row>
    <row r="1292" spans="1:18" ht="15" customHeight="1" x14ac:dyDescent="0.25">
      <c r="A1292" s="553">
        <v>15</v>
      </c>
      <c r="B1292" s="553">
        <v>2</v>
      </c>
      <c r="C1292" s="553">
        <v>2</v>
      </c>
      <c r="D1292" s="553">
        <v>3</v>
      </c>
      <c r="E1292" s="553">
        <v>2</v>
      </c>
      <c r="F1292" s="553">
        <v>2</v>
      </c>
      <c r="G1292" s="502" t="s">
        <v>477</v>
      </c>
      <c r="H1292" s="553">
        <v>1340.9775</v>
      </c>
      <c r="I1292" s="553">
        <v>89</v>
      </c>
      <c r="J1292" s="553">
        <v>50</v>
      </c>
      <c r="K1292" s="553">
        <v>13</v>
      </c>
      <c r="L1292" s="553">
        <v>4</v>
      </c>
      <c r="M1292" s="505" t="s">
        <v>137</v>
      </c>
      <c r="N1292" s="500">
        <v>43013538470000</v>
      </c>
      <c r="O1292" s="553" t="s">
        <v>1914</v>
      </c>
      <c r="P1292" s="650" t="s">
        <v>1924</v>
      </c>
      <c r="Q1292" s="564" t="s">
        <v>583</v>
      </c>
      <c r="R1292" s="564">
        <v>1</v>
      </c>
    </row>
    <row r="1293" spans="1:18" ht="15" customHeight="1" x14ac:dyDescent="0.25">
      <c r="A1293" s="553">
        <v>15</v>
      </c>
      <c r="B1293" s="553">
        <v>2</v>
      </c>
      <c r="C1293" s="553">
        <v>2</v>
      </c>
      <c r="D1293" s="553">
        <v>3</v>
      </c>
      <c r="E1293" s="553">
        <v>2</v>
      </c>
      <c r="F1293" s="553">
        <v>2</v>
      </c>
      <c r="G1293" s="553" t="s">
        <v>479</v>
      </c>
      <c r="H1293" s="553">
        <v>1340.9775</v>
      </c>
      <c r="I1293" s="553">
        <v>89</v>
      </c>
      <c r="J1293" s="553">
        <v>50</v>
      </c>
      <c r="K1293" s="553">
        <v>13</v>
      </c>
      <c r="L1293" s="553">
        <v>4</v>
      </c>
      <c r="M1293" s="505" t="s">
        <v>137</v>
      </c>
      <c r="N1293" s="500">
        <v>43013538470000</v>
      </c>
      <c r="O1293" s="553" t="s">
        <v>1914</v>
      </c>
      <c r="P1293" s="650" t="s">
        <v>1925</v>
      </c>
      <c r="Q1293" s="564" t="s">
        <v>583</v>
      </c>
      <c r="R1293" s="564">
        <v>1</v>
      </c>
    </row>
    <row r="1294" spans="1:18" ht="15" customHeight="1" x14ac:dyDescent="0.25">
      <c r="A1294" s="553">
        <v>15</v>
      </c>
      <c r="B1294" s="553">
        <v>2</v>
      </c>
      <c r="C1294" s="553">
        <v>2</v>
      </c>
      <c r="D1294" s="553">
        <v>3</v>
      </c>
      <c r="E1294" s="553">
        <v>2</v>
      </c>
      <c r="F1294" s="553">
        <v>2</v>
      </c>
      <c r="G1294" s="553" t="s">
        <v>485</v>
      </c>
      <c r="H1294" s="553">
        <v>1340.9775</v>
      </c>
      <c r="I1294" s="553">
        <v>89</v>
      </c>
      <c r="J1294" s="553">
        <v>50</v>
      </c>
      <c r="K1294" s="553">
        <v>13</v>
      </c>
      <c r="L1294" s="553">
        <v>4</v>
      </c>
      <c r="M1294" s="505" t="s">
        <v>137</v>
      </c>
      <c r="N1294" s="500">
        <v>43013538470000</v>
      </c>
      <c r="O1294" s="553" t="s">
        <v>1914</v>
      </c>
      <c r="P1294" s="650" t="s">
        <v>1926</v>
      </c>
      <c r="Q1294" s="564" t="s">
        <v>583</v>
      </c>
      <c r="R1294" s="564">
        <v>1</v>
      </c>
    </row>
    <row r="1295" spans="1:18" ht="15" customHeight="1" x14ac:dyDescent="0.25">
      <c r="A1295" s="553">
        <v>15</v>
      </c>
      <c r="B1295" s="553">
        <v>2</v>
      </c>
      <c r="C1295" s="553">
        <v>2</v>
      </c>
      <c r="D1295" s="553">
        <v>3</v>
      </c>
      <c r="E1295" s="553">
        <v>2</v>
      </c>
      <c r="F1295" s="553">
        <v>2</v>
      </c>
      <c r="G1295" s="553" t="s">
        <v>487</v>
      </c>
      <c r="H1295" s="553">
        <v>1325.48</v>
      </c>
      <c r="I1295" s="553">
        <v>89</v>
      </c>
      <c r="J1295" s="553">
        <v>44</v>
      </c>
      <c r="K1295" s="553">
        <v>27</v>
      </c>
      <c r="L1295" s="553">
        <v>4</v>
      </c>
      <c r="M1295" s="505" t="s">
        <v>137</v>
      </c>
      <c r="N1295" s="500">
        <v>43013538470000</v>
      </c>
      <c r="O1295" s="553" t="s">
        <v>1914</v>
      </c>
      <c r="P1295" s="650" t="s">
        <v>1927</v>
      </c>
      <c r="Q1295" s="564" t="s">
        <v>583</v>
      </c>
      <c r="R1295" s="564">
        <v>1</v>
      </c>
    </row>
    <row r="1296" spans="1:18" ht="15" customHeight="1" x14ac:dyDescent="0.25">
      <c r="A1296" s="553">
        <v>15</v>
      </c>
      <c r="B1296" s="553">
        <v>2</v>
      </c>
      <c r="C1296" s="553">
        <v>2</v>
      </c>
      <c r="D1296" s="553">
        <v>3</v>
      </c>
      <c r="E1296" s="553">
        <v>2</v>
      </c>
      <c r="F1296" s="553">
        <v>2</v>
      </c>
      <c r="G1296" s="502" t="s">
        <v>489</v>
      </c>
      <c r="H1296" s="650">
        <v>1325.48</v>
      </c>
      <c r="I1296" s="650">
        <v>89</v>
      </c>
      <c r="J1296" s="650">
        <v>44</v>
      </c>
      <c r="K1296" s="650">
        <v>27</v>
      </c>
      <c r="L1296" s="650">
        <v>4</v>
      </c>
      <c r="M1296" s="654" t="s">
        <v>137</v>
      </c>
      <c r="N1296" s="655">
        <v>43013538470000</v>
      </c>
      <c r="O1296" s="650" t="s">
        <v>1914</v>
      </c>
      <c r="P1296" s="650" t="s">
        <v>1928</v>
      </c>
      <c r="Q1296" s="564" t="s">
        <v>583</v>
      </c>
      <c r="R1296" s="564">
        <v>1</v>
      </c>
    </row>
    <row r="1297" spans="1:20" ht="15" customHeight="1" x14ac:dyDescent="0.25">
      <c r="A1297" s="553">
        <v>15</v>
      </c>
      <c r="B1297" s="553">
        <v>2</v>
      </c>
      <c r="C1297" s="553">
        <v>2</v>
      </c>
      <c r="D1297" s="553">
        <v>3</v>
      </c>
      <c r="E1297" s="553">
        <v>2</v>
      </c>
      <c r="F1297" s="553">
        <v>2</v>
      </c>
      <c r="G1297" s="553" t="s">
        <v>491</v>
      </c>
      <c r="H1297" s="650">
        <v>1325.48</v>
      </c>
      <c r="I1297" s="650">
        <v>89</v>
      </c>
      <c r="J1297" s="650">
        <v>44</v>
      </c>
      <c r="K1297" s="650">
        <v>27</v>
      </c>
      <c r="L1297" s="650">
        <v>4</v>
      </c>
      <c r="M1297" s="654" t="s">
        <v>137</v>
      </c>
      <c r="N1297" s="655">
        <v>43013538470000</v>
      </c>
      <c r="O1297" s="650" t="s">
        <v>1914</v>
      </c>
      <c r="P1297" s="650" t="s">
        <v>1929</v>
      </c>
      <c r="Q1297" s="564" t="s">
        <v>583</v>
      </c>
      <c r="R1297" s="564">
        <v>1</v>
      </c>
    </row>
    <row r="1298" spans="1:20" ht="15" customHeight="1" x14ac:dyDescent="0.25">
      <c r="A1298" s="553">
        <v>15</v>
      </c>
      <c r="B1298" s="553">
        <v>2</v>
      </c>
      <c r="C1298" s="553">
        <v>2</v>
      </c>
      <c r="D1298" s="553">
        <v>3</v>
      </c>
      <c r="E1298" s="553">
        <v>2</v>
      </c>
      <c r="F1298" s="553">
        <v>2</v>
      </c>
      <c r="G1298" s="553" t="s">
        <v>494</v>
      </c>
      <c r="H1298" s="650">
        <v>1325.48</v>
      </c>
      <c r="I1298" s="650">
        <v>89</v>
      </c>
      <c r="J1298" s="650">
        <v>44</v>
      </c>
      <c r="K1298" s="650">
        <v>27</v>
      </c>
      <c r="L1298" s="650">
        <v>4</v>
      </c>
      <c r="M1298" s="654" t="s">
        <v>137</v>
      </c>
      <c r="N1298" s="655">
        <v>43013538470000</v>
      </c>
      <c r="O1298" s="650" t="s">
        <v>1914</v>
      </c>
      <c r="P1298" s="650" t="s">
        <v>1930</v>
      </c>
      <c r="Q1298" s="564" t="s">
        <v>583</v>
      </c>
      <c r="R1298" s="564">
        <v>1</v>
      </c>
    </row>
    <row r="1299" spans="1:20" ht="15" customHeight="1" x14ac:dyDescent="0.25">
      <c r="A1299" s="553">
        <v>15</v>
      </c>
      <c r="B1299" s="553">
        <v>3</v>
      </c>
      <c r="C1299" s="553">
        <v>2</v>
      </c>
      <c r="D1299" s="553">
        <v>1</v>
      </c>
      <c r="E1299" s="553">
        <v>2</v>
      </c>
      <c r="F1299" s="553">
        <v>2</v>
      </c>
      <c r="G1299" s="553" t="s">
        <v>473</v>
      </c>
      <c r="H1299" s="650">
        <v>1320.63</v>
      </c>
      <c r="I1299" s="650">
        <v>0</v>
      </c>
      <c r="J1299" s="650">
        <v>4</v>
      </c>
      <c r="K1299" s="650">
        <v>2</v>
      </c>
      <c r="L1299" s="650">
        <v>2</v>
      </c>
      <c r="M1299" s="654" t="s">
        <v>137</v>
      </c>
      <c r="N1299" s="655">
        <v>43013534790000</v>
      </c>
      <c r="O1299" s="650" t="s">
        <v>1931</v>
      </c>
      <c r="P1299" s="650" t="s">
        <v>1932</v>
      </c>
      <c r="Q1299" s="564" t="s">
        <v>583</v>
      </c>
      <c r="R1299" s="564">
        <v>2</v>
      </c>
      <c r="S1299" s="484"/>
      <c r="T1299" s="484"/>
    </row>
    <row r="1300" spans="1:20" ht="15" customHeight="1" x14ac:dyDescent="0.25">
      <c r="A1300" s="553">
        <v>15</v>
      </c>
      <c r="B1300" s="553">
        <v>3</v>
      </c>
      <c r="C1300" s="553">
        <v>2</v>
      </c>
      <c r="D1300" s="553">
        <v>1</v>
      </c>
      <c r="E1300" s="553">
        <v>2</v>
      </c>
      <c r="F1300" s="553">
        <v>2</v>
      </c>
      <c r="G1300" s="502" t="s">
        <v>476</v>
      </c>
      <c r="H1300" s="650">
        <v>1320.17</v>
      </c>
      <c r="I1300" s="650">
        <v>0</v>
      </c>
      <c r="J1300" s="650">
        <v>4</v>
      </c>
      <c r="K1300" s="650">
        <v>38</v>
      </c>
      <c r="L1300" s="650">
        <v>2</v>
      </c>
      <c r="M1300" s="654" t="s">
        <v>137</v>
      </c>
      <c r="N1300" s="655">
        <v>43013534790000</v>
      </c>
      <c r="O1300" s="650" t="s">
        <v>1931</v>
      </c>
      <c r="P1300" s="650" t="s">
        <v>1933</v>
      </c>
      <c r="Q1300" s="564" t="s">
        <v>583</v>
      </c>
      <c r="R1300" s="564">
        <v>2</v>
      </c>
      <c r="S1300" s="484"/>
      <c r="T1300" s="484"/>
    </row>
    <row r="1301" spans="1:20" ht="15" customHeight="1" x14ac:dyDescent="0.25">
      <c r="A1301" s="553">
        <v>15</v>
      </c>
      <c r="B1301" s="553">
        <v>3</v>
      </c>
      <c r="C1301" s="553">
        <v>2</v>
      </c>
      <c r="D1301" s="553">
        <v>1</v>
      </c>
      <c r="E1301" s="553">
        <v>2</v>
      </c>
      <c r="F1301" s="553">
        <v>2</v>
      </c>
      <c r="G1301" s="553" t="s">
        <v>478</v>
      </c>
      <c r="H1301" s="650">
        <v>1320.405</v>
      </c>
      <c r="I1301" s="650">
        <v>0</v>
      </c>
      <c r="J1301" s="650">
        <v>4</v>
      </c>
      <c r="K1301" s="650">
        <v>38</v>
      </c>
      <c r="L1301" s="650">
        <v>2</v>
      </c>
      <c r="M1301" s="654" t="s">
        <v>137</v>
      </c>
      <c r="N1301" s="655">
        <v>43013534790000</v>
      </c>
      <c r="O1301" s="650" t="s">
        <v>1931</v>
      </c>
      <c r="P1301" s="650" t="s">
        <v>1934</v>
      </c>
      <c r="Q1301" s="564" t="s">
        <v>583</v>
      </c>
      <c r="R1301" s="564">
        <v>2</v>
      </c>
      <c r="S1301" s="484"/>
      <c r="T1301" s="484"/>
    </row>
    <row r="1302" spans="1:20" ht="15" customHeight="1" x14ac:dyDescent="0.25">
      <c r="A1302" s="553">
        <v>15</v>
      </c>
      <c r="B1302" s="553">
        <v>3</v>
      </c>
      <c r="C1302" s="553">
        <v>2</v>
      </c>
      <c r="D1302" s="553">
        <v>1</v>
      </c>
      <c r="E1302" s="553">
        <v>2</v>
      </c>
      <c r="F1302" s="553">
        <v>2</v>
      </c>
      <c r="G1302" s="553" t="s">
        <v>484</v>
      </c>
      <c r="H1302" s="650">
        <v>1320.405</v>
      </c>
      <c r="I1302" s="650">
        <v>0</v>
      </c>
      <c r="J1302" s="650">
        <v>4</v>
      </c>
      <c r="K1302" s="650">
        <v>38</v>
      </c>
      <c r="L1302" s="650">
        <v>2</v>
      </c>
      <c r="M1302" s="654" t="s">
        <v>137</v>
      </c>
      <c r="N1302" s="655">
        <v>43013534790000</v>
      </c>
      <c r="O1302" s="650" t="s">
        <v>1931</v>
      </c>
      <c r="P1302" s="650" t="s">
        <v>1935</v>
      </c>
      <c r="Q1302" s="564" t="s">
        <v>583</v>
      </c>
      <c r="R1302" s="564">
        <v>2</v>
      </c>
      <c r="S1302" s="484"/>
      <c r="T1302" s="484"/>
    </row>
    <row r="1303" spans="1:20" ht="15" customHeight="1" x14ac:dyDescent="0.25">
      <c r="A1303" s="553">
        <v>15</v>
      </c>
      <c r="B1303" s="553">
        <v>3</v>
      </c>
      <c r="C1303" s="553">
        <v>2</v>
      </c>
      <c r="D1303" s="553">
        <v>1</v>
      </c>
      <c r="E1303" s="553">
        <v>2</v>
      </c>
      <c r="F1303" s="553">
        <v>2</v>
      </c>
      <c r="G1303" s="553" t="s">
        <v>486</v>
      </c>
      <c r="H1303" s="650">
        <v>1319.64</v>
      </c>
      <c r="I1303" s="650">
        <v>0</v>
      </c>
      <c r="J1303" s="650">
        <v>3</v>
      </c>
      <c r="K1303" s="650">
        <v>9</v>
      </c>
      <c r="L1303" s="650">
        <v>2</v>
      </c>
      <c r="M1303" s="654" t="s">
        <v>137</v>
      </c>
      <c r="N1303" s="655">
        <v>43013534790000</v>
      </c>
      <c r="O1303" s="650" t="s">
        <v>1931</v>
      </c>
      <c r="P1303" s="650" t="s">
        <v>1936</v>
      </c>
      <c r="Q1303" s="564" t="s">
        <v>583</v>
      </c>
      <c r="R1303" s="564">
        <v>2</v>
      </c>
      <c r="S1303" s="484"/>
      <c r="T1303" s="484"/>
    </row>
    <row r="1304" spans="1:20" ht="15" customHeight="1" x14ac:dyDescent="0.25">
      <c r="A1304" s="553">
        <v>15</v>
      </c>
      <c r="B1304" s="553">
        <v>3</v>
      </c>
      <c r="C1304" s="553">
        <v>2</v>
      </c>
      <c r="D1304" s="553">
        <v>1</v>
      </c>
      <c r="E1304" s="553">
        <v>2</v>
      </c>
      <c r="F1304" s="553">
        <v>2</v>
      </c>
      <c r="G1304" s="502" t="s">
        <v>488</v>
      </c>
      <c r="H1304" s="650">
        <v>1319.64</v>
      </c>
      <c r="I1304" s="650">
        <v>0</v>
      </c>
      <c r="J1304" s="650">
        <v>3</v>
      </c>
      <c r="K1304" s="650">
        <v>9</v>
      </c>
      <c r="L1304" s="650">
        <v>2</v>
      </c>
      <c r="M1304" s="654" t="s">
        <v>137</v>
      </c>
      <c r="N1304" s="655">
        <v>43013534790000</v>
      </c>
      <c r="O1304" s="650" t="s">
        <v>1931</v>
      </c>
      <c r="P1304" s="650" t="s">
        <v>1937</v>
      </c>
      <c r="Q1304" s="564" t="s">
        <v>583</v>
      </c>
      <c r="R1304" s="564">
        <v>2</v>
      </c>
      <c r="S1304" s="484"/>
      <c r="T1304" s="484"/>
    </row>
    <row r="1305" spans="1:20" ht="15" customHeight="1" x14ac:dyDescent="0.25">
      <c r="A1305" s="553">
        <v>15</v>
      </c>
      <c r="B1305" s="553">
        <v>3</v>
      </c>
      <c r="C1305" s="553">
        <v>2</v>
      </c>
      <c r="D1305" s="553">
        <v>1</v>
      </c>
      <c r="E1305" s="553">
        <v>2</v>
      </c>
      <c r="F1305" s="553">
        <v>2</v>
      </c>
      <c r="G1305" s="553" t="s">
        <v>490</v>
      </c>
      <c r="H1305" s="650">
        <v>1320.07</v>
      </c>
      <c r="I1305" s="650">
        <v>0</v>
      </c>
      <c r="J1305" s="650">
        <v>2</v>
      </c>
      <c r="K1305" s="650">
        <v>53</v>
      </c>
      <c r="L1305" s="650">
        <v>2</v>
      </c>
      <c r="M1305" s="654" t="s">
        <v>137</v>
      </c>
      <c r="N1305" s="655">
        <v>43013534790000</v>
      </c>
      <c r="O1305" s="650" t="s">
        <v>1931</v>
      </c>
      <c r="P1305" s="650" t="s">
        <v>1938</v>
      </c>
      <c r="Q1305" s="564" t="s">
        <v>583</v>
      </c>
      <c r="R1305" s="564">
        <v>2</v>
      </c>
      <c r="S1305" s="484"/>
      <c r="T1305" s="484"/>
    </row>
    <row r="1306" spans="1:20" ht="15" customHeight="1" x14ac:dyDescent="0.25">
      <c r="A1306" s="553">
        <v>15</v>
      </c>
      <c r="B1306" s="553">
        <v>3</v>
      </c>
      <c r="C1306" s="553">
        <v>2</v>
      </c>
      <c r="D1306" s="553">
        <v>1</v>
      </c>
      <c r="E1306" s="553">
        <v>2</v>
      </c>
      <c r="F1306" s="553">
        <v>2</v>
      </c>
      <c r="G1306" s="553" t="s">
        <v>493</v>
      </c>
      <c r="H1306" s="650">
        <v>1320.07</v>
      </c>
      <c r="I1306" s="650">
        <v>0</v>
      </c>
      <c r="J1306" s="650">
        <v>2</v>
      </c>
      <c r="K1306" s="650">
        <v>53</v>
      </c>
      <c r="L1306" s="650">
        <v>2</v>
      </c>
      <c r="M1306" s="654" t="s">
        <v>137</v>
      </c>
      <c r="N1306" s="655">
        <v>43013534790000</v>
      </c>
      <c r="O1306" s="650" t="s">
        <v>1931</v>
      </c>
      <c r="P1306" s="650" t="s">
        <v>1939</v>
      </c>
      <c r="Q1306" s="564" t="s">
        <v>583</v>
      </c>
      <c r="R1306" s="564">
        <v>2</v>
      </c>
      <c r="S1306" s="484"/>
      <c r="T1306" s="484"/>
    </row>
    <row r="1307" spans="1:20" ht="15" customHeight="1" x14ac:dyDescent="0.25">
      <c r="A1307" s="553">
        <v>15</v>
      </c>
      <c r="B1307" s="553">
        <v>3</v>
      </c>
      <c r="C1307" s="553">
        <v>2</v>
      </c>
      <c r="D1307" s="553">
        <v>1</v>
      </c>
      <c r="E1307" s="553">
        <v>2</v>
      </c>
      <c r="F1307" s="553">
        <v>2</v>
      </c>
      <c r="G1307" s="553" t="s">
        <v>474</v>
      </c>
      <c r="H1307" s="650">
        <v>1319.7550000000001</v>
      </c>
      <c r="I1307" s="650">
        <v>89</v>
      </c>
      <c r="J1307" s="650">
        <v>56</v>
      </c>
      <c r="K1307" s="650">
        <v>5</v>
      </c>
      <c r="L1307" s="650">
        <v>3</v>
      </c>
      <c r="M1307" s="654" t="s">
        <v>137</v>
      </c>
      <c r="N1307" s="655">
        <v>43013534790000</v>
      </c>
      <c r="O1307" s="650" t="s">
        <v>1931</v>
      </c>
      <c r="P1307" s="650" t="s">
        <v>1940</v>
      </c>
      <c r="Q1307" s="564" t="s">
        <v>583</v>
      </c>
      <c r="R1307" s="564">
        <v>2</v>
      </c>
      <c r="S1307" s="484"/>
      <c r="T1307" s="484"/>
    </row>
    <row r="1308" spans="1:20" ht="15" customHeight="1" x14ac:dyDescent="0.25">
      <c r="A1308" s="553">
        <v>15</v>
      </c>
      <c r="B1308" s="553">
        <v>3</v>
      </c>
      <c r="C1308" s="553">
        <v>2</v>
      </c>
      <c r="D1308" s="553">
        <v>1</v>
      </c>
      <c r="E1308" s="553">
        <v>2</v>
      </c>
      <c r="F1308" s="553">
        <v>2</v>
      </c>
      <c r="G1308" s="502" t="s">
        <v>477</v>
      </c>
      <c r="H1308" s="650">
        <v>1319.7550000000001</v>
      </c>
      <c r="I1308" s="650">
        <v>89</v>
      </c>
      <c r="J1308" s="650">
        <v>56</v>
      </c>
      <c r="K1308" s="650">
        <v>5</v>
      </c>
      <c r="L1308" s="650">
        <v>3</v>
      </c>
      <c r="M1308" s="654" t="s">
        <v>137</v>
      </c>
      <c r="N1308" s="655">
        <v>43013534790000</v>
      </c>
      <c r="O1308" s="650" t="s">
        <v>1931</v>
      </c>
      <c r="P1308" s="650" t="s">
        <v>1941</v>
      </c>
      <c r="Q1308" s="564" t="s">
        <v>583</v>
      </c>
      <c r="R1308" s="564">
        <v>2</v>
      </c>
      <c r="S1308" s="484"/>
      <c r="T1308" s="484"/>
    </row>
    <row r="1309" spans="1:20" ht="15" customHeight="1" x14ac:dyDescent="0.25">
      <c r="A1309" s="553">
        <v>15</v>
      </c>
      <c r="B1309" s="553">
        <v>3</v>
      </c>
      <c r="C1309" s="553">
        <v>2</v>
      </c>
      <c r="D1309" s="553">
        <v>1</v>
      </c>
      <c r="E1309" s="553">
        <v>2</v>
      </c>
      <c r="F1309" s="553">
        <v>2</v>
      </c>
      <c r="G1309" s="553" t="s">
        <v>479</v>
      </c>
      <c r="H1309" s="650">
        <v>1319.77</v>
      </c>
      <c r="I1309" s="650">
        <v>89</v>
      </c>
      <c r="J1309" s="650">
        <v>55</v>
      </c>
      <c r="K1309" s="650">
        <v>49</v>
      </c>
      <c r="L1309" s="650">
        <v>3</v>
      </c>
      <c r="M1309" s="654" t="s">
        <v>137</v>
      </c>
      <c r="N1309" s="655">
        <v>43013534790000</v>
      </c>
      <c r="O1309" s="650" t="s">
        <v>1931</v>
      </c>
      <c r="P1309" s="650" t="s">
        <v>1942</v>
      </c>
      <c r="Q1309" s="564" t="s">
        <v>583</v>
      </c>
      <c r="R1309" s="564">
        <v>2</v>
      </c>
      <c r="S1309" s="484"/>
      <c r="T1309" s="484"/>
    </row>
    <row r="1310" spans="1:20" ht="15" customHeight="1" x14ac:dyDescent="0.25">
      <c r="A1310" s="553">
        <v>15</v>
      </c>
      <c r="B1310" s="553">
        <v>3</v>
      </c>
      <c r="C1310" s="553">
        <v>2</v>
      </c>
      <c r="D1310" s="553">
        <v>1</v>
      </c>
      <c r="E1310" s="553">
        <v>2</v>
      </c>
      <c r="F1310" s="553">
        <v>2</v>
      </c>
      <c r="G1310" s="553" t="s">
        <v>485</v>
      </c>
      <c r="H1310" s="650">
        <v>1319.77</v>
      </c>
      <c r="I1310" s="650">
        <v>89</v>
      </c>
      <c r="J1310" s="650">
        <v>55</v>
      </c>
      <c r="K1310" s="650">
        <v>49</v>
      </c>
      <c r="L1310" s="650">
        <v>3</v>
      </c>
      <c r="M1310" s="654" t="s">
        <v>137</v>
      </c>
      <c r="N1310" s="655">
        <v>43013534790000</v>
      </c>
      <c r="O1310" s="650" t="s">
        <v>1931</v>
      </c>
      <c r="P1310" s="650" t="s">
        <v>1943</v>
      </c>
      <c r="Q1310" s="564" t="s">
        <v>583</v>
      </c>
      <c r="R1310" s="564">
        <v>2</v>
      </c>
      <c r="S1310" s="484"/>
      <c r="T1310" s="484"/>
    </row>
    <row r="1311" spans="1:20" ht="15" customHeight="1" x14ac:dyDescent="0.25">
      <c r="A1311" s="553">
        <v>15</v>
      </c>
      <c r="B1311" s="553">
        <v>3</v>
      </c>
      <c r="C1311" s="553">
        <v>2</v>
      </c>
      <c r="D1311" s="553">
        <v>1</v>
      </c>
      <c r="E1311" s="553">
        <v>2</v>
      </c>
      <c r="F1311" s="553">
        <v>2</v>
      </c>
      <c r="G1311" s="553" t="s">
        <v>487</v>
      </c>
      <c r="H1311" s="650">
        <v>1327.79</v>
      </c>
      <c r="I1311" s="650">
        <v>89</v>
      </c>
      <c r="J1311" s="650">
        <v>52</v>
      </c>
      <c r="K1311" s="650">
        <v>6</v>
      </c>
      <c r="L1311" s="650">
        <v>1</v>
      </c>
      <c r="M1311" s="654" t="s">
        <v>137</v>
      </c>
      <c r="N1311" s="655">
        <v>43013534790000</v>
      </c>
      <c r="O1311" s="650" t="s">
        <v>1931</v>
      </c>
      <c r="P1311" s="650" t="s">
        <v>1944</v>
      </c>
      <c r="Q1311" s="564" t="s">
        <v>583</v>
      </c>
      <c r="R1311" s="564">
        <v>2</v>
      </c>
      <c r="S1311" s="484"/>
      <c r="T1311" s="484"/>
    </row>
    <row r="1312" spans="1:20" ht="15" customHeight="1" x14ac:dyDescent="0.25">
      <c r="A1312" s="553">
        <v>15</v>
      </c>
      <c r="B1312" s="553">
        <v>3</v>
      </c>
      <c r="C1312" s="553">
        <v>2</v>
      </c>
      <c r="D1312" s="553">
        <v>1</v>
      </c>
      <c r="E1312" s="553">
        <v>2</v>
      </c>
      <c r="F1312" s="553">
        <v>2</v>
      </c>
      <c r="G1312" s="502" t="s">
        <v>489</v>
      </c>
      <c r="H1312" s="553">
        <v>1331.53</v>
      </c>
      <c r="I1312" s="553">
        <v>89</v>
      </c>
      <c r="J1312" s="553">
        <v>54</v>
      </c>
      <c r="K1312" s="553">
        <v>32</v>
      </c>
      <c r="L1312" s="553">
        <v>2</v>
      </c>
      <c r="M1312" s="554" t="s">
        <v>137</v>
      </c>
      <c r="N1312" s="500">
        <v>43013534790000</v>
      </c>
      <c r="O1312" s="553" t="s">
        <v>1931</v>
      </c>
      <c r="P1312" s="650" t="s">
        <v>1945</v>
      </c>
      <c r="Q1312" s="564" t="s">
        <v>583</v>
      </c>
      <c r="R1312" s="564">
        <v>2</v>
      </c>
      <c r="S1312" s="484"/>
      <c r="T1312" s="484"/>
    </row>
    <row r="1313" spans="1:20" ht="15" customHeight="1" x14ac:dyDescent="0.25">
      <c r="A1313" s="553">
        <v>15</v>
      </c>
      <c r="B1313" s="553">
        <v>3</v>
      </c>
      <c r="C1313" s="553">
        <v>2</v>
      </c>
      <c r="D1313" s="553">
        <v>1</v>
      </c>
      <c r="E1313" s="553">
        <v>2</v>
      </c>
      <c r="F1313" s="553">
        <v>2</v>
      </c>
      <c r="G1313" s="553" t="s">
        <v>491</v>
      </c>
      <c r="H1313" s="553">
        <v>1331.53</v>
      </c>
      <c r="I1313" s="553">
        <v>89</v>
      </c>
      <c r="J1313" s="553">
        <v>54</v>
      </c>
      <c r="K1313" s="553">
        <v>32</v>
      </c>
      <c r="L1313" s="553">
        <v>2</v>
      </c>
      <c r="M1313" s="554" t="s">
        <v>137</v>
      </c>
      <c r="N1313" s="500">
        <v>43013534790000</v>
      </c>
      <c r="O1313" s="553" t="s">
        <v>1931</v>
      </c>
      <c r="P1313" s="650" t="s">
        <v>1946</v>
      </c>
      <c r="Q1313" s="564" t="s">
        <v>583</v>
      </c>
      <c r="R1313" s="564">
        <v>2</v>
      </c>
      <c r="S1313" s="484"/>
      <c r="T1313" s="484"/>
    </row>
    <row r="1314" spans="1:20" ht="15" customHeight="1" x14ac:dyDescent="0.25">
      <c r="A1314" s="553">
        <v>15</v>
      </c>
      <c r="B1314" s="553">
        <v>3</v>
      </c>
      <c r="C1314" s="553">
        <v>2</v>
      </c>
      <c r="D1314" s="553">
        <v>1</v>
      </c>
      <c r="E1314" s="553">
        <v>2</v>
      </c>
      <c r="F1314" s="553">
        <v>2</v>
      </c>
      <c r="G1314" s="553" t="s">
        <v>494</v>
      </c>
      <c r="H1314" s="553">
        <v>1331.53</v>
      </c>
      <c r="I1314" s="553">
        <v>89</v>
      </c>
      <c r="J1314" s="553">
        <v>54</v>
      </c>
      <c r="K1314" s="553">
        <v>32</v>
      </c>
      <c r="L1314" s="553">
        <v>2</v>
      </c>
      <c r="M1314" s="554" t="s">
        <v>137</v>
      </c>
      <c r="N1314" s="500">
        <v>43013534790000</v>
      </c>
      <c r="O1314" s="553" t="s">
        <v>1931</v>
      </c>
      <c r="P1314" s="650" t="s">
        <v>1947</v>
      </c>
      <c r="Q1314" s="564" t="s">
        <v>583</v>
      </c>
      <c r="R1314" s="564">
        <v>2</v>
      </c>
      <c r="S1314" s="484"/>
      <c r="T1314" s="484"/>
    </row>
    <row r="1315" spans="1:20" s="498" customFormat="1" ht="15" customHeight="1" x14ac:dyDescent="0.25">
      <c r="A1315" s="553">
        <v>15</v>
      </c>
      <c r="B1315" s="553">
        <v>3</v>
      </c>
      <c r="C1315" s="553">
        <v>2</v>
      </c>
      <c r="D1315" s="553">
        <v>5</v>
      </c>
      <c r="E1315" s="553">
        <v>2</v>
      </c>
      <c r="F1315" s="553">
        <v>2</v>
      </c>
      <c r="G1315" s="553" t="s">
        <v>473</v>
      </c>
      <c r="H1315" s="553">
        <v>1321.2349999999999</v>
      </c>
      <c r="I1315" s="553">
        <v>0</v>
      </c>
      <c r="J1315" s="553">
        <v>9</v>
      </c>
      <c r="K1315" s="553">
        <v>53</v>
      </c>
      <c r="L1315" s="553">
        <v>4</v>
      </c>
      <c r="M1315" s="554" t="s">
        <v>137</v>
      </c>
      <c r="N1315" s="500">
        <v>43013540320000</v>
      </c>
      <c r="O1315" s="553" t="s">
        <v>1948</v>
      </c>
      <c r="P1315" s="650" t="s">
        <v>1949</v>
      </c>
      <c r="Q1315" s="564" t="s">
        <v>583</v>
      </c>
      <c r="R1315" s="564">
        <v>1</v>
      </c>
    </row>
    <row r="1316" spans="1:20" s="498" customFormat="1" ht="15" customHeight="1" x14ac:dyDescent="0.25">
      <c r="A1316" s="553">
        <v>15</v>
      </c>
      <c r="B1316" s="553">
        <v>3</v>
      </c>
      <c r="C1316" s="553">
        <v>2</v>
      </c>
      <c r="D1316" s="553">
        <v>5</v>
      </c>
      <c r="E1316" s="553">
        <v>2</v>
      </c>
      <c r="F1316" s="553">
        <v>2</v>
      </c>
      <c r="G1316" s="502" t="s">
        <v>476</v>
      </c>
      <c r="H1316" s="553">
        <v>1321.2349999999999</v>
      </c>
      <c r="I1316" s="553">
        <v>0</v>
      </c>
      <c r="J1316" s="553">
        <v>9</v>
      </c>
      <c r="K1316" s="553">
        <v>53</v>
      </c>
      <c r="L1316" s="553">
        <v>4</v>
      </c>
      <c r="M1316" s="554" t="s">
        <v>137</v>
      </c>
      <c r="N1316" s="500">
        <v>43013540320000</v>
      </c>
      <c r="O1316" s="553" t="s">
        <v>1948</v>
      </c>
      <c r="P1316" s="650" t="s">
        <v>1950</v>
      </c>
      <c r="Q1316" s="564" t="s">
        <v>583</v>
      </c>
      <c r="R1316" s="564">
        <v>1</v>
      </c>
    </row>
    <row r="1317" spans="1:20" s="498" customFormat="1" ht="15" customHeight="1" x14ac:dyDescent="0.25">
      <c r="A1317" s="553">
        <v>15</v>
      </c>
      <c r="B1317" s="553">
        <v>3</v>
      </c>
      <c r="C1317" s="553">
        <v>2</v>
      </c>
      <c r="D1317" s="553">
        <v>5</v>
      </c>
      <c r="E1317" s="553">
        <v>2</v>
      </c>
      <c r="F1317" s="553">
        <v>2</v>
      </c>
      <c r="G1317" s="553" t="s">
        <v>478</v>
      </c>
      <c r="H1317" s="553">
        <v>1322.0650000000001</v>
      </c>
      <c r="I1317" s="553">
        <v>0</v>
      </c>
      <c r="J1317" s="553">
        <v>6</v>
      </c>
      <c r="K1317" s="553">
        <v>17</v>
      </c>
      <c r="L1317" s="553">
        <v>4</v>
      </c>
      <c r="M1317" s="554" t="s">
        <v>137</v>
      </c>
      <c r="N1317" s="500">
        <v>43013540320000</v>
      </c>
      <c r="O1317" s="553" t="s">
        <v>1948</v>
      </c>
      <c r="P1317" s="650" t="s">
        <v>1951</v>
      </c>
      <c r="Q1317" s="564" t="s">
        <v>583</v>
      </c>
      <c r="R1317" s="564">
        <v>1</v>
      </c>
    </row>
    <row r="1318" spans="1:20" s="498" customFormat="1" ht="15" customHeight="1" x14ac:dyDescent="0.25">
      <c r="A1318" s="553">
        <v>15</v>
      </c>
      <c r="B1318" s="553">
        <v>3</v>
      </c>
      <c r="C1318" s="553">
        <v>2</v>
      </c>
      <c r="D1318" s="553">
        <v>5</v>
      </c>
      <c r="E1318" s="553">
        <v>2</v>
      </c>
      <c r="F1318" s="553">
        <v>2</v>
      </c>
      <c r="G1318" s="553" t="s">
        <v>484</v>
      </c>
      <c r="H1318" s="553">
        <v>1322.0650000000001</v>
      </c>
      <c r="I1318" s="553">
        <v>0</v>
      </c>
      <c r="J1318" s="553">
        <v>6</v>
      </c>
      <c r="K1318" s="553">
        <v>17</v>
      </c>
      <c r="L1318" s="553">
        <v>4</v>
      </c>
      <c r="M1318" s="554" t="s">
        <v>137</v>
      </c>
      <c r="N1318" s="500">
        <v>43013540320000</v>
      </c>
      <c r="O1318" s="553" t="s">
        <v>1948</v>
      </c>
      <c r="P1318" s="650" t="s">
        <v>1952</v>
      </c>
      <c r="Q1318" s="564" t="s">
        <v>583</v>
      </c>
      <c r="R1318" s="564">
        <v>1</v>
      </c>
    </row>
    <row r="1319" spans="1:20" s="498" customFormat="1" ht="15" customHeight="1" x14ac:dyDescent="0.25">
      <c r="A1319" s="553">
        <v>15</v>
      </c>
      <c r="B1319" s="553">
        <v>3</v>
      </c>
      <c r="C1319" s="553">
        <v>2</v>
      </c>
      <c r="D1319" s="553">
        <v>5</v>
      </c>
      <c r="E1319" s="553">
        <v>2</v>
      </c>
      <c r="F1319" s="553">
        <v>2</v>
      </c>
      <c r="G1319" s="553" t="s">
        <v>486</v>
      </c>
      <c r="H1319" s="553">
        <v>1318.9749999999999</v>
      </c>
      <c r="I1319" s="553">
        <v>0</v>
      </c>
      <c r="J1319" s="553">
        <v>11</v>
      </c>
      <c r="K1319" s="553">
        <v>35</v>
      </c>
      <c r="L1319" s="553">
        <v>4</v>
      </c>
      <c r="M1319" s="554" t="s">
        <v>137</v>
      </c>
      <c r="N1319" s="500">
        <v>43013540320000</v>
      </c>
      <c r="O1319" s="553" t="s">
        <v>1948</v>
      </c>
      <c r="P1319" s="650" t="s">
        <v>1953</v>
      </c>
      <c r="Q1319" s="564" t="s">
        <v>583</v>
      </c>
      <c r="R1319" s="564">
        <v>1</v>
      </c>
    </row>
    <row r="1320" spans="1:20" s="498" customFormat="1" ht="15" customHeight="1" x14ac:dyDescent="0.25">
      <c r="A1320" s="553">
        <v>15</v>
      </c>
      <c r="B1320" s="553">
        <v>3</v>
      </c>
      <c r="C1320" s="553">
        <v>2</v>
      </c>
      <c r="D1320" s="553">
        <v>5</v>
      </c>
      <c r="E1320" s="553">
        <v>2</v>
      </c>
      <c r="F1320" s="553">
        <v>2</v>
      </c>
      <c r="G1320" s="502" t="s">
        <v>488</v>
      </c>
      <c r="H1320" s="553">
        <v>1318.9749999999999</v>
      </c>
      <c r="I1320" s="553">
        <v>0</v>
      </c>
      <c r="J1320" s="553">
        <v>11</v>
      </c>
      <c r="K1320" s="553">
        <v>35</v>
      </c>
      <c r="L1320" s="553">
        <v>4</v>
      </c>
      <c r="M1320" s="554" t="s">
        <v>137</v>
      </c>
      <c r="N1320" s="500">
        <v>43013540320000</v>
      </c>
      <c r="O1320" s="553" t="s">
        <v>1948</v>
      </c>
      <c r="P1320" s="650" t="s">
        <v>1954</v>
      </c>
      <c r="Q1320" s="564" t="s">
        <v>583</v>
      </c>
      <c r="R1320" s="564">
        <v>1</v>
      </c>
    </row>
    <row r="1321" spans="1:20" s="498" customFormat="1" ht="15" customHeight="1" x14ac:dyDescent="0.25">
      <c r="A1321" s="553">
        <v>15</v>
      </c>
      <c r="B1321" s="553">
        <v>3</v>
      </c>
      <c r="C1321" s="553">
        <v>2</v>
      </c>
      <c r="D1321" s="553">
        <v>5</v>
      </c>
      <c r="E1321" s="553">
        <v>2</v>
      </c>
      <c r="F1321" s="553">
        <v>2</v>
      </c>
      <c r="G1321" s="553" t="s">
        <v>490</v>
      </c>
      <c r="H1321" s="553">
        <v>1319.79</v>
      </c>
      <c r="I1321" s="553">
        <v>0</v>
      </c>
      <c r="J1321" s="553">
        <v>0</v>
      </c>
      <c r="K1321" s="553">
        <v>34</v>
      </c>
      <c r="L1321" s="553">
        <v>2</v>
      </c>
      <c r="M1321" s="554" t="s">
        <v>137</v>
      </c>
      <c r="N1321" s="500">
        <v>43013540320000</v>
      </c>
      <c r="O1321" s="553" t="s">
        <v>1948</v>
      </c>
      <c r="P1321" s="650" t="s">
        <v>1955</v>
      </c>
      <c r="Q1321" s="564" t="s">
        <v>583</v>
      </c>
      <c r="R1321" s="564">
        <v>1</v>
      </c>
    </row>
    <row r="1322" spans="1:20" s="498" customFormat="1" ht="15" customHeight="1" x14ac:dyDescent="0.25">
      <c r="A1322" s="553">
        <v>15</v>
      </c>
      <c r="B1322" s="553">
        <v>3</v>
      </c>
      <c r="C1322" s="553">
        <v>2</v>
      </c>
      <c r="D1322" s="553">
        <v>5</v>
      </c>
      <c r="E1322" s="553">
        <v>2</v>
      </c>
      <c r="F1322" s="553">
        <v>2</v>
      </c>
      <c r="G1322" s="553" t="s">
        <v>493</v>
      </c>
      <c r="H1322" s="553">
        <v>1319.79</v>
      </c>
      <c r="I1322" s="553">
        <v>0</v>
      </c>
      <c r="J1322" s="553">
        <v>0</v>
      </c>
      <c r="K1322" s="553">
        <v>34</v>
      </c>
      <c r="L1322" s="553">
        <v>2</v>
      </c>
      <c r="M1322" s="554" t="s">
        <v>137</v>
      </c>
      <c r="N1322" s="500">
        <v>43013540320000</v>
      </c>
      <c r="O1322" s="553" t="s">
        <v>1948</v>
      </c>
      <c r="P1322" s="650" t="s">
        <v>1956</v>
      </c>
      <c r="Q1322" s="564" t="s">
        <v>583</v>
      </c>
      <c r="R1322" s="564">
        <v>1</v>
      </c>
    </row>
    <row r="1323" spans="1:20" s="498" customFormat="1" ht="15" customHeight="1" x14ac:dyDescent="0.25">
      <c r="A1323" s="553">
        <v>15</v>
      </c>
      <c r="B1323" s="553">
        <v>3</v>
      </c>
      <c r="C1323" s="553">
        <v>2</v>
      </c>
      <c r="D1323" s="553">
        <v>5</v>
      </c>
      <c r="E1323" s="553">
        <v>2</v>
      </c>
      <c r="F1323" s="553">
        <v>2</v>
      </c>
      <c r="G1323" s="553" t="s">
        <v>474</v>
      </c>
      <c r="H1323" s="553">
        <v>1308.875</v>
      </c>
      <c r="I1323" s="553">
        <v>89</v>
      </c>
      <c r="J1323" s="553">
        <v>47</v>
      </c>
      <c r="K1323" s="553">
        <v>16</v>
      </c>
      <c r="L1323" s="553">
        <v>2</v>
      </c>
      <c r="M1323" s="554" t="s">
        <v>137</v>
      </c>
      <c r="N1323" s="500">
        <v>43013540320000</v>
      </c>
      <c r="O1323" s="553" t="s">
        <v>1948</v>
      </c>
      <c r="P1323" s="650" t="s">
        <v>1957</v>
      </c>
      <c r="Q1323" s="564" t="s">
        <v>583</v>
      </c>
      <c r="R1323" s="564">
        <v>1</v>
      </c>
    </row>
    <row r="1324" spans="1:20" s="498" customFormat="1" ht="15" customHeight="1" x14ac:dyDescent="0.25">
      <c r="A1324" s="553">
        <v>15</v>
      </c>
      <c r="B1324" s="553">
        <v>3</v>
      </c>
      <c r="C1324" s="553">
        <v>2</v>
      </c>
      <c r="D1324" s="553">
        <v>5</v>
      </c>
      <c r="E1324" s="553">
        <v>2</v>
      </c>
      <c r="F1324" s="553">
        <v>2</v>
      </c>
      <c r="G1324" s="502" t="s">
        <v>477</v>
      </c>
      <c r="H1324" s="553">
        <v>1308.875</v>
      </c>
      <c r="I1324" s="553">
        <v>89</v>
      </c>
      <c r="J1324" s="553">
        <v>47</v>
      </c>
      <c r="K1324" s="553">
        <v>16</v>
      </c>
      <c r="L1324" s="553">
        <v>2</v>
      </c>
      <c r="M1324" s="554" t="s">
        <v>137</v>
      </c>
      <c r="N1324" s="500">
        <v>43013540320000</v>
      </c>
      <c r="O1324" s="553" t="s">
        <v>1948</v>
      </c>
      <c r="P1324" s="650" t="s">
        <v>1958</v>
      </c>
      <c r="Q1324" s="564" t="s">
        <v>583</v>
      </c>
      <c r="R1324" s="564">
        <v>1</v>
      </c>
    </row>
    <row r="1325" spans="1:20" s="498" customFormat="1" ht="15" customHeight="1" x14ac:dyDescent="0.25">
      <c r="A1325" s="553">
        <v>15</v>
      </c>
      <c r="B1325" s="553">
        <v>3</v>
      </c>
      <c r="C1325" s="553">
        <v>2</v>
      </c>
      <c r="D1325" s="553">
        <v>5</v>
      </c>
      <c r="E1325" s="553">
        <v>2</v>
      </c>
      <c r="F1325" s="553">
        <v>2</v>
      </c>
      <c r="G1325" s="553" t="s">
        <v>479</v>
      </c>
      <c r="H1325" s="553">
        <v>1318.81</v>
      </c>
      <c r="I1325" s="553">
        <v>89</v>
      </c>
      <c r="J1325" s="553">
        <v>27</v>
      </c>
      <c r="K1325" s="553">
        <v>57</v>
      </c>
      <c r="L1325" s="553">
        <v>4</v>
      </c>
      <c r="M1325" s="554" t="s">
        <v>137</v>
      </c>
      <c r="N1325" s="500">
        <v>43013540320000</v>
      </c>
      <c r="O1325" s="553" t="s">
        <v>1948</v>
      </c>
      <c r="P1325" s="650" t="s">
        <v>1959</v>
      </c>
      <c r="Q1325" s="564" t="s">
        <v>583</v>
      </c>
      <c r="R1325" s="564">
        <v>1</v>
      </c>
    </row>
    <row r="1326" spans="1:20" s="498" customFormat="1" ht="15" customHeight="1" x14ac:dyDescent="0.25">
      <c r="A1326" s="553">
        <v>15</v>
      </c>
      <c r="B1326" s="553">
        <v>3</v>
      </c>
      <c r="C1326" s="553">
        <v>2</v>
      </c>
      <c r="D1326" s="553">
        <v>5</v>
      </c>
      <c r="E1326" s="553">
        <v>2</v>
      </c>
      <c r="F1326" s="553">
        <v>2</v>
      </c>
      <c r="G1326" s="553" t="s">
        <v>485</v>
      </c>
      <c r="H1326" s="553">
        <v>1318.81</v>
      </c>
      <c r="I1326" s="553">
        <v>89</v>
      </c>
      <c r="J1326" s="553">
        <v>27</v>
      </c>
      <c r="K1326" s="553">
        <v>57</v>
      </c>
      <c r="L1326" s="553">
        <v>4</v>
      </c>
      <c r="M1326" s="554" t="s">
        <v>137</v>
      </c>
      <c r="N1326" s="500">
        <v>43013540320000</v>
      </c>
      <c r="O1326" s="553" t="s">
        <v>1948</v>
      </c>
      <c r="P1326" s="650" t="s">
        <v>1960</v>
      </c>
      <c r="Q1326" s="564" t="s">
        <v>583</v>
      </c>
      <c r="R1326" s="564">
        <v>1</v>
      </c>
    </row>
    <row r="1327" spans="1:20" s="498" customFormat="1" ht="15" customHeight="1" x14ac:dyDescent="0.25">
      <c r="A1327" s="553">
        <v>15</v>
      </c>
      <c r="B1327" s="553">
        <v>3</v>
      </c>
      <c r="C1327" s="553">
        <v>2</v>
      </c>
      <c r="D1327" s="553">
        <v>5</v>
      </c>
      <c r="E1327" s="553">
        <v>2</v>
      </c>
      <c r="F1327" s="553">
        <v>2</v>
      </c>
      <c r="G1327" s="553" t="s">
        <v>487</v>
      </c>
      <c r="H1327" s="553">
        <v>1312.8125</v>
      </c>
      <c r="I1327" s="553">
        <v>89</v>
      </c>
      <c r="J1327" s="553">
        <v>56</v>
      </c>
      <c r="K1327" s="553">
        <v>11</v>
      </c>
      <c r="L1327" s="553">
        <v>1</v>
      </c>
      <c r="M1327" s="554" t="s">
        <v>137</v>
      </c>
      <c r="N1327" s="500">
        <v>43013540320000</v>
      </c>
      <c r="O1327" s="553" t="s">
        <v>1948</v>
      </c>
      <c r="P1327" s="650" t="s">
        <v>1961</v>
      </c>
      <c r="Q1327" s="564" t="s">
        <v>583</v>
      </c>
      <c r="R1327" s="564">
        <v>1</v>
      </c>
    </row>
    <row r="1328" spans="1:20" s="498" customFormat="1" ht="15" customHeight="1" x14ac:dyDescent="0.25">
      <c r="A1328" s="553">
        <v>15</v>
      </c>
      <c r="B1328" s="553">
        <v>3</v>
      </c>
      <c r="C1328" s="553">
        <v>2</v>
      </c>
      <c r="D1328" s="553">
        <v>5</v>
      </c>
      <c r="E1328" s="553">
        <v>2</v>
      </c>
      <c r="F1328" s="553">
        <v>2</v>
      </c>
      <c r="G1328" s="502" t="s">
        <v>489</v>
      </c>
      <c r="H1328" s="553">
        <v>1312.8125</v>
      </c>
      <c r="I1328" s="553">
        <v>89</v>
      </c>
      <c r="J1328" s="553">
        <v>56</v>
      </c>
      <c r="K1328" s="553">
        <v>11</v>
      </c>
      <c r="L1328" s="553">
        <v>1</v>
      </c>
      <c r="M1328" s="505" t="s">
        <v>137</v>
      </c>
      <c r="N1328" s="500">
        <v>43013540320000</v>
      </c>
      <c r="O1328" s="553" t="s">
        <v>1948</v>
      </c>
      <c r="P1328" s="650" t="s">
        <v>1962</v>
      </c>
      <c r="Q1328" s="564" t="s">
        <v>583</v>
      </c>
      <c r="R1328" s="564">
        <v>1</v>
      </c>
    </row>
    <row r="1329" spans="1:18" s="498" customFormat="1" ht="15" customHeight="1" x14ac:dyDescent="0.25">
      <c r="A1329" s="553">
        <v>15</v>
      </c>
      <c r="B1329" s="553">
        <v>3</v>
      </c>
      <c r="C1329" s="553">
        <v>2</v>
      </c>
      <c r="D1329" s="553">
        <v>5</v>
      </c>
      <c r="E1329" s="553">
        <v>2</v>
      </c>
      <c r="F1329" s="553">
        <v>2</v>
      </c>
      <c r="G1329" s="553" t="s">
        <v>491</v>
      </c>
      <c r="H1329" s="553">
        <v>1312.8125</v>
      </c>
      <c r="I1329" s="553">
        <v>89</v>
      </c>
      <c r="J1329" s="553">
        <v>56</v>
      </c>
      <c r="K1329" s="553">
        <v>11</v>
      </c>
      <c r="L1329" s="553">
        <v>1</v>
      </c>
      <c r="M1329" s="505" t="s">
        <v>137</v>
      </c>
      <c r="N1329" s="500">
        <v>43013540320000</v>
      </c>
      <c r="O1329" s="553" t="s">
        <v>1948</v>
      </c>
      <c r="P1329" s="650" t="s">
        <v>1963</v>
      </c>
      <c r="Q1329" s="564" t="s">
        <v>583</v>
      </c>
      <c r="R1329" s="564">
        <v>1</v>
      </c>
    </row>
    <row r="1330" spans="1:18" s="498" customFormat="1" ht="15" customHeight="1" x14ac:dyDescent="0.25">
      <c r="A1330" s="553">
        <v>15</v>
      </c>
      <c r="B1330" s="553">
        <v>3</v>
      </c>
      <c r="C1330" s="553">
        <v>2</v>
      </c>
      <c r="D1330" s="553">
        <v>5</v>
      </c>
      <c r="E1330" s="553">
        <v>2</v>
      </c>
      <c r="F1330" s="553">
        <v>2</v>
      </c>
      <c r="G1330" s="553" t="s">
        <v>494</v>
      </c>
      <c r="H1330" s="553">
        <v>1312.8125</v>
      </c>
      <c r="I1330" s="553">
        <v>89</v>
      </c>
      <c r="J1330" s="553">
        <v>56</v>
      </c>
      <c r="K1330" s="553">
        <v>11</v>
      </c>
      <c r="L1330" s="553">
        <v>1</v>
      </c>
      <c r="M1330" s="505" t="s">
        <v>137</v>
      </c>
      <c r="N1330" s="500">
        <v>43013540320000</v>
      </c>
      <c r="O1330" s="553" t="s">
        <v>1948</v>
      </c>
      <c r="P1330" s="650" t="s">
        <v>1964</v>
      </c>
      <c r="Q1330" s="564" t="s">
        <v>583</v>
      </c>
      <c r="R1330" s="564">
        <v>1</v>
      </c>
    </row>
    <row r="1331" spans="1:18" ht="15" customHeight="1" x14ac:dyDescent="0.25">
      <c r="A1331" s="564">
        <v>15</v>
      </c>
      <c r="B1331" s="564">
        <v>3</v>
      </c>
      <c r="C1331" s="564">
        <v>2</v>
      </c>
      <c r="D1331" s="564">
        <v>1</v>
      </c>
      <c r="E1331" s="564">
        <v>1</v>
      </c>
      <c r="F1331" s="564">
        <v>2</v>
      </c>
      <c r="G1331" s="564" t="s">
        <v>473</v>
      </c>
      <c r="H1331" s="564">
        <v>1320.3</v>
      </c>
      <c r="I1331" s="564">
        <v>0</v>
      </c>
      <c r="J1331" s="564">
        <v>39</v>
      </c>
      <c r="K1331" s="564">
        <v>59</v>
      </c>
      <c r="L1331" s="564">
        <v>4</v>
      </c>
      <c r="M1331" s="561" t="s">
        <v>312</v>
      </c>
      <c r="N1331" s="651">
        <v>4304756489</v>
      </c>
      <c r="O1331" s="564" t="s">
        <v>1965</v>
      </c>
      <c r="P1331" s="564" t="s">
        <v>1966</v>
      </c>
      <c r="Q1331" s="564"/>
      <c r="R1331" s="564">
        <v>2</v>
      </c>
    </row>
    <row r="1332" spans="1:18" ht="15" customHeight="1" x14ac:dyDescent="0.25">
      <c r="A1332" s="564">
        <v>15</v>
      </c>
      <c r="B1332" s="564">
        <v>3</v>
      </c>
      <c r="C1332" s="564">
        <v>2</v>
      </c>
      <c r="D1332" s="564">
        <v>1</v>
      </c>
      <c r="E1332" s="564">
        <v>1</v>
      </c>
      <c r="F1332" s="564">
        <v>2</v>
      </c>
      <c r="G1332" s="521" t="s">
        <v>476</v>
      </c>
      <c r="H1332" s="564">
        <v>1320.3</v>
      </c>
      <c r="I1332" s="564">
        <v>0</v>
      </c>
      <c r="J1332" s="564">
        <v>39</v>
      </c>
      <c r="K1332" s="564">
        <v>59</v>
      </c>
      <c r="L1332" s="564">
        <v>4</v>
      </c>
      <c r="M1332" s="561" t="s">
        <v>312</v>
      </c>
      <c r="N1332" s="651">
        <v>4304756489</v>
      </c>
      <c r="O1332" s="564" t="s">
        <v>1965</v>
      </c>
      <c r="P1332" s="564" t="s">
        <v>1967</v>
      </c>
      <c r="Q1332" s="564"/>
      <c r="R1332" s="564">
        <v>2</v>
      </c>
    </row>
    <row r="1333" spans="1:18" ht="15" customHeight="1" x14ac:dyDescent="0.25">
      <c r="A1333" s="564">
        <v>15</v>
      </c>
      <c r="B1333" s="564">
        <v>3</v>
      </c>
      <c r="C1333" s="564">
        <v>2</v>
      </c>
      <c r="D1333" s="564">
        <v>1</v>
      </c>
      <c r="E1333" s="564">
        <v>1</v>
      </c>
      <c r="F1333" s="564">
        <v>2</v>
      </c>
      <c r="G1333" s="564" t="s">
        <v>478</v>
      </c>
      <c r="H1333" s="564">
        <v>1326.79</v>
      </c>
      <c r="I1333" s="564">
        <v>1</v>
      </c>
      <c r="J1333" s="564">
        <v>14</v>
      </c>
      <c r="K1333" s="564">
        <v>46</v>
      </c>
      <c r="L1333" s="564">
        <v>4</v>
      </c>
      <c r="M1333" s="561" t="s">
        <v>312</v>
      </c>
      <c r="N1333" s="651">
        <v>4304756489</v>
      </c>
      <c r="O1333" s="564" t="s">
        <v>1965</v>
      </c>
      <c r="P1333" s="564" t="s">
        <v>1968</v>
      </c>
      <c r="Q1333" s="564"/>
      <c r="R1333" s="564">
        <v>2</v>
      </c>
    </row>
    <row r="1334" spans="1:18" ht="15" customHeight="1" x14ac:dyDescent="0.25">
      <c r="A1334" s="564">
        <v>15</v>
      </c>
      <c r="B1334" s="564">
        <v>3</v>
      </c>
      <c r="C1334" s="564">
        <v>2</v>
      </c>
      <c r="D1334" s="564">
        <v>1</v>
      </c>
      <c r="E1334" s="564">
        <v>1</v>
      </c>
      <c r="F1334" s="564">
        <v>2</v>
      </c>
      <c r="G1334" s="564" t="s">
        <v>484</v>
      </c>
      <c r="H1334" s="564">
        <v>1326.79</v>
      </c>
      <c r="I1334" s="564">
        <v>1</v>
      </c>
      <c r="J1334" s="564">
        <v>14</v>
      </c>
      <c r="K1334" s="564">
        <v>46</v>
      </c>
      <c r="L1334" s="564">
        <v>4</v>
      </c>
      <c r="M1334" s="561" t="s">
        <v>312</v>
      </c>
      <c r="N1334" s="651">
        <v>4304756489</v>
      </c>
      <c r="O1334" s="564" t="s">
        <v>1965</v>
      </c>
      <c r="P1334" s="564" t="s">
        <v>1969</v>
      </c>
      <c r="Q1334" s="564"/>
      <c r="R1334" s="564">
        <v>2</v>
      </c>
    </row>
    <row r="1335" spans="1:18" ht="15" customHeight="1" x14ac:dyDescent="0.25">
      <c r="A1335" s="564">
        <v>15</v>
      </c>
      <c r="B1335" s="564">
        <v>3</v>
      </c>
      <c r="C1335" s="564">
        <v>2</v>
      </c>
      <c r="D1335" s="564">
        <v>1</v>
      </c>
      <c r="E1335" s="564">
        <v>1</v>
      </c>
      <c r="F1335" s="564">
        <v>2</v>
      </c>
      <c r="G1335" s="564" t="s">
        <v>486</v>
      </c>
      <c r="H1335" s="564">
        <v>1326.48</v>
      </c>
      <c r="I1335" s="564">
        <v>0</v>
      </c>
      <c r="J1335" s="564">
        <v>51</v>
      </c>
      <c r="K1335" s="564">
        <v>30</v>
      </c>
      <c r="L1335" s="564">
        <v>4</v>
      </c>
      <c r="M1335" s="561" t="s">
        <v>312</v>
      </c>
      <c r="N1335" s="651">
        <v>4304756489</v>
      </c>
      <c r="O1335" s="564" t="s">
        <v>1965</v>
      </c>
      <c r="P1335" s="564" t="s">
        <v>1970</v>
      </c>
      <c r="Q1335" s="564"/>
      <c r="R1335" s="564">
        <v>2</v>
      </c>
    </row>
    <row r="1336" spans="1:18" ht="15" customHeight="1" x14ac:dyDescent="0.25">
      <c r="A1336" s="564">
        <v>15</v>
      </c>
      <c r="B1336" s="564">
        <v>3</v>
      </c>
      <c r="C1336" s="564">
        <v>2</v>
      </c>
      <c r="D1336" s="564">
        <v>1</v>
      </c>
      <c r="E1336" s="564">
        <v>1</v>
      </c>
      <c r="F1336" s="564">
        <v>2</v>
      </c>
      <c r="G1336" s="521" t="s">
        <v>488</v>
      </c>
      <c r="H1336" s="564">
        <v>1326.76</v>
      </c>
      <c r="I1336" s="564">
        <v>1</v>
      </c>
      <c r="J1336" s="564">
        <v>27</v>
      </c>
      <c r="K1336" s="564">
        <v>7</v>
      </c>
      <c r="L1336" s="564">
        <v>4</v>
      </c>
      <c r="M1336" s="561" t="s">
        <v>312</v>
      </c>
      <c r="N1336" s="651">
        <v>4304756489</v>
      </c>
      <c r="O1336" s="564" t="s">
        <v>1965</v>
      </c>
      <c r="P1336" s="564" t="s">
        <v>1971</v>
      </c>
      <c r="Q1336" s="564"/>
      <c r="R1336" s="564">
        <v>2</v>
      </c>
    </row>
    <row r="1337" spans="1:18" ht="15" customHeight="1" x14ac:dyDescent="0.25">
      <c r="A1337" s="564">
        <v>15</v>
      </c>
      <c r="B1337" s="564">
        <v>3</v>
      </c>
      <c r="C1337" s="564">
        <v>2</v>
      </c>
      <c r="D1337" s="564">
        <v>1</v>
      </c>
      <c r="E1337" s="564">
        <v>1</v>
      </c>
      <c r="F1337" s="564">
        <v>2</v>
      </c>
      <c r="G1337" s="564" t="s">
        <v>490</v>
      </c>
      <c r="H1337" s="564">
        <v>1326.74</v>
      </c>
      <c r="I1337" s="564">
        <v>1</v>
      </c>
      <c r="J1337" s="564">
        <v>9</v>
      </c>
      <c r="K1337" s="564">
        <v>20</v>
      </c>
      <c r="L1337" s="564">
        <v>4</v>
      </c>
      <c r="M1337" s="561" t="s">
        <v>312</v>
      </c>
      <c r="N1337" s="651">
        <v>4304756489</v>
      </c>
      <c r="O1337" s="564" t="s">
        <v>1965</v>
      </c>
      <c r="P1337" s="564" t="s">
        <v>1972</v>
      </c>
      <c r="Q1337" s="564"/>
      <c r="R1337" s="564">
        <v>2</v>
      </c>
    </row>
    <row r="1338" spans="1:18" ht="15" customHeight="1" x14ac:dyDescent="0.25">
      <c r="A1338" s="564">
        <v>15</v>
      </c>
      <c r="B1338" s="564">
        <v>3</v>
      </c>
      <c r="C1338" s="564">
        <v>2</v>
      </c>
      <c r="D1338" s="564">
        <v>1</v>
      </c>
      <c r="E1338" s="564">
        <v>1</v>
      </c>
      <c r="F1338" s="564">
        <v>2</v>
      </c>
      <c r="G1338" s="564" t="s">
        <v>493</v>
      </c>
      <c r="H1338" s="564">
        <v>1318.56</v>
      </c>
      <c r="I1338" s="564">
        <v>1</v>
      </c>
      <c r="J1338" s="564">
        <v>25</v>
      </c>
      <c r="K1338" s="564">
        <v>15</v>
      </c>
      <c r="L1338" s="564">
        <v>4</v>
      </c>
      <c r="M1338" s="561" t="s">
        <v>312</v>
      </c>
      <c r="N1338" s="651">
        <v>4304756489</v>
      </c>
      <c r="O1338" s="564" t="s">
        <v>1965</v>
      </c>
      <c r="P1338" s="564" t="s">
        <v>1973</v>
      </c>
      <c r="Q1338" s="564"/>
      <c r="R1338" s="564">
        <v>2</v>
      </c>
    </row>
    <row r="1339" spans="1:18" ht="15" customHeight="1" x14ac:dyDescent="0.25">
      <c r="A1339" s="564">
        <v>15</v>
      </c>
      <c r="B1339" s="564">
        <v>3</v>
      </c>
      <c r="C1339" s="564">
        <v>2</v>
      </c>
      <c r="D1339" s="564">
        <v>1</v>
      </c>
      <c r="E1339" s="564">
        <v>1</v>
      </c>
      <c r="F1339" s="564">
        <v>2</v>
      </c>
      <c r="G1339" s="564" t="s">
        <v>474</v>
      </c>
      <c r="H1339" s="564">
        <v>1323</v>
      </c>
      <c r="I1339" s="564">
        <v>88</v>
      </c>
      <c r="J1339" s="564">
        <v>45</v>
      </c>
      <c r="K1339" s="564">
        <v>43</v>
      </c>
      <c r="L1339" s="564">
        <v>3</v>
      </c>
      <c r="M1339" s="561" t="s">
        <v>312</v>
      </c>
      <c r="N1339" s="651">
        <v>4304756489</v>
      </c>
      <c r="O1339" s="564" t="s">
        <v>1965</v>
      </c>
      <c r="P1339" s="564" t="s">
        <v>1974</v>
      </c>
      <c r="Q1339" s="564"/>
      <c r="R1339" s="564">
        <v>2</v>
      </c>
    </row>
    <row r="1340" spans="1:18" ht="15" customHeight="1" x14ac:dyDescent="0.25">
      <c r="A1340" s="564">
        <v>15</v>
      </c>
      <c r="B1340" s="564">
        <v>3</v>
      </c>
      <c r="C1340" s="564">
        <v>2</v>
      </c>
      <c r="D1340" s="564">
        <v>1</v>
      </c>
      <c r="E1340" s="564">
        <v>1</v>
      </c>
      <c r="F1340" s="564">
        <v>2</v>
      </c>
      <c r="G1340" s="521" t="s">
        <v>477</v>
      </c>
      <c r="H1340" s="564">
        <v>1315.39</v>
      </c>
      <c r="I1340" s="564">
        <v>89</v>
      </c>
      <c r="J1340" s="564">
        <v>24</v>
      </c>
      <c r="K1340" s="564">
        <v>30</v>
      </c>
      <c r="L1340" s="564">
        <v>3</v>
      </c>
      <c r="M1340" s="561" t="s">
        <v>312</v>
      </c>
      <c r="N1340" s="651">
        <v>4304756489</v>
      </c>
      <c r="O1340" s="564" t="s">
        <v>1965</v>
      </c>
      <c r="P1340" s="564" t="s">
        <v>1975</v>
      </c>
      <c r="Q1340" s="564"/>
      <c r="R1340" s="564">
        <v>2</v>
      </c>
    </row>
    <row r="1341" spans="1:18" ht="15" customHeight="1" x14ac:dyDescent="0.25">
      <c r="A1341" s="564">
        <v>15</v>
      </c>
      <c r="B1341" s="564">
        <v>3</v>
      </c>
      <c r="C1341" s="564">
        <v>2</v>
      </c>
      <c r="D1341" s="564">
        <v>1</v>
      </c>
      <c r="E1341" s="564">
        <v>1</v>
      </c>
      <c r="F1341" s="564">
        <v>2</v>
      </c>
      <c r="G1341" s="564" t="s">
        <v>479</v>
      </c>
      <c r="H1341" s="564">
        <v>1326.71</v>
      </c>
      <c r="I1341" s="564">
        <v>89</v>
      </c>
      <c r="J1341" s="564">
        <v>26</v>
      </c>
      <c r="K1341" s="564">
        <v>49</v>
      </c>
      <c r="L1341" s="564">
        <v>3</v>
      </c>
      <c r="M1341" s="561" t="s">
        <v>312</v>
      </c>
      <c r="N1341" s="651">
        <v>4304756489</v>
      </c>
      <c r="O1341" s="564" t="s">
        <v>1965</v>
      </c>
      <c r="P1341" s="564" t="s">
        <v>1976</v>
      </c>
      <c r="Q1341" s="564"/>
      <c r="R1341" s="564">
        <v>2</v>
      </c>
    </row>
    <row r="1342" spans="1:18" ht="15" customHeight="1" x14ac:dyDescent="0.25">
      <c r="A1342" s="564">
        <v>15</v>
      </c>
      <c r="B1342" s="564">
        <v>3</v>
      </c>
      <c r="C1342" s="564">
        <v>2</v>
      </c>
      <c r="D1342" s="564">
        <v>1</v>
      </c>
      <c r="E1342" s="564">
        <v>1</v>
      </c>
      <c r="F1342" s="564">
        <v>2</v>
      </c>
      <c r="G1342" s="564" t="s">
        <v>485</v>
      </c>
      <c r="H1342" s="564">
        <v>1327.53</v>
      </c>
      <c r="I1342" s="564">
        <v>88</v>
      </c>
      <c r="J1342" s="564">
        <v>41</v>
      </c>
      <c r="K1342" s="564">
        <v>35</v>
      </c>
      <c r="L1342" s="564">
        <v>3</v>
      </c>
      <c r="M1342" s="561" t="s">
        <v>312</v>
      </c>
      <c r="N1342" s="651">
        <v>4304756489</v>
      </c>
      <c r="O1342" s="564" t="s">
        <v>1965</v>
      </c>
      <c r="P1342" s="564" t="s">
        <v>1977</v>
      </c>
      <c r="Q1342" s="564"/>
      <c r="R1342" s="564">
        <v>2</v>
      </c>
    </row>
    <row r="1343" spans="1:18" ht="15" customHeight="1" x14ac:dyDescent="0.25">
      <c r="A1343" s="564">
        <v>15</v>
      </c>
      <c r="B1343" s="564">
        <v>3</v>
      </c>
      <c r="C1343" s="564">
        <v>2</v>
      </c>
      <c r="D1343" s="564">
        <v>1</v>
      </c>
      <c r="E1343" s="564">
        <v>1</v>
      </c>
      <c r="F1343" s="564">
        <v>2</v>
      </c>
      <c r="G1343" s="564" t="s">
        <v>487</v>
      </c>
      <c r="H1343" s="564">
        <v>1309.42</v>
      </c>
      <c r="I1343" s="564">
        <v>89</v>
      </c>
      <c r="J1343" s="564">
        <v>21</v>
      </c>
      <c r="K1343" s="564">
        <v>1</v>
      </c>
      <c r="L1343" s="564">
        <v>2</v>
      </c>
      <c r="M1343" s="561" t="s">
        <v>312</v>
      </c>
      <c r="N1343" s="651">
        <v>4304756489</v>
      </c>
      <c r="O1343" s="564" t="s">
        <v>1965</v>
      </c>
      <c r="P1343" s="564" t="s">
        <v>1978</v>
      </c>
      <c r="Q1343" s="564"/>
      <c r="R1343" s="564">
        <v>2</v>
      </c>
    </row>
    <row r="1344" spans="1:18" ht="15" customHeight="1" x14ac:dyDescent="0.25">
      <c r="A1344" s="564">
        <v>15</v>
      </c>
      <c r="B1344" s="564">
        <v>3</v>
      </c>
      <c r="C1344" s="564">
        <v>2</v>
      </c>
      <c r="D1344" s="564">
        <v>1</v>
      </c>
      <c r="E1344" s="564">
        <v>1</v>
      </c>
      <c r="F1344" s="564">
        <v>2</v>
      </c>
      <c r="G1344" s="521" t="s">
        <v>489</v>
      </c>
      <c r="H1344" s="564">
        <v>1326.33</v>
      </c>
      <c r="I1344" s="564">
        <v>89</v>
      </c>
      <c r="J1344" s="564">
        <v>14</v>
      </c>
      <c r="K1344" s="564">
        <v>46</v>
      </c>
      <c r="L1344" s="564">
        <v>2</v>
      </c>
      <c r="M1344" s="561" t="s">
        <v>312</v>
      </c>
      <c r="N1344" s="651">
        <v>4304756489</v>
      </c>
      <c r="O1344" s="564" t="s">
        <v>1965</v>
      </c>
      <c r="P1344" s="564" t="s">
        <v>1979</v>
      </c>
      <c r="Q1344" s="564"/>
      <c r="R1344" s="564">
        <v>2</v>
      </c>
    </row>
    <row r="1345" spans="1:20" ht="15" customHeight="1" x14ac:dyDescent="0.25">
      <c r="A1345" s="564">
        <v>15</v>
      </c>
      <c r="B1345" s="564">
        <v>3</v>
      </c>
      <c r="C1345" s="564">
        <v>2</v>
      </c>
      <c r="D1345" s="564">
        <v>1</v>
      </c>
      <c r="E1345" s="564">
        <v>1</v>
      </c>
      <c r="F1345" s="564">
        <v>2</v>
      </c>
      <c r="G1345" s="564" t="s">
        <v>491</v>
      </c>
      <c r="H1345" s="564">
        <v>1340.63</v>
      </c>
      <c r="I1345" s="564">
        <v>88</v>
      </c>
      <c r="J1345" s="564">
        <v>57</v>
      </c>
      <c r="K1345" s="564">
        <v>8</v>
      </c>
      <c r="L1345" s="564">
        <v>2</v>
      </c>
      <c r="M1345" s="561" t="s">
        <v>312</v>
      </c>
      <c r="N1345" s="651">
        <v>4304756489</v>
      </c>
      <c r="O1345" s="564" t="s">
        <v>1965</v>
      </c>
      <c r="P1345" s="564" t="s">
        <v>1980</v>
      </c>
      <c r="Q1345" s="564"/>
      <c r="R1345" s="564">
        <v>2</v>
      </c>
    </row>
    <row r="1346" spans="1:20" ht="15" customHeight="1" x14ac:dyDescent="0.25">
      <c r="A1346" s="564">
        <v>15</v>
      </c>
      <c r="B1346" s="564">
        <v>3</v>
      </c>
      <c r="C1346" s="564">
        <v>2</v>
      </c>
      <c r="D1346" s="564">
        <v>1</v>
      </c>
      <c r="E1346" s="564">
        <v>1</v>
      </c>
      <c r="F1346" s="564">
        <v>2</v>
      </c>
      <c r="G1346" s="564" t="s">
        <v>494</v>
      </c>
      <c r="H1346" s="564">
        <v>1340.63</v>
      </c>
      <c r="I1346" s="564">
        <v>88</v>
      </c>
      <c r="J1346" s="564">
        <v>57</v>
      </c>
      <c r="K1346" s="564">
        <v>8</v>
      </c>
      <c r="L1346" s="564">
        <v>2</v>
      </c>
      <c r="M1346" s="561" t="s">
        <v>312</v>
      </c>
      <c r="N1346" s="651">
        <v>4304756489</v>
      </c>
      <c r="O1346" s="564" t="s">
        <v>1965</v>
      </c>
      <c r="P1346" s="564" t="s">
        <v>1981</v>
      </c>
      <c r="Q1346" s="564"/>
      <c r="R1346" s="564">
        <v>2</v>
      </c>
    </row>
    <row r="1347" spans="1:20" ht="15" customHeight="1" x14ac:dyDescent="0.25">
      <c r="A1347" s="564">
        <v>15</v>
      </c>
      <c r="B1347" s="564">
        <v>9</v>
      </c>
      <c r="C1347" s="564">
        <v>2</v>
      </c>
      <c r="D1347" s="564">
        <v>22</v>
      </c>
      <c r="E1347" s="564">
        <v>1</v>
      </c>
      <c r="F1347" s="564">
        <v>1</v>
      </c>
      <c r="G1347" s="564" t="s">
        <v>473</v>
      </c>
      <c r="H1347" s="564">
        <v>1315.62</v>
      </c>
      <c r="I1347" s="564">
        <v>0</v>
      </c>
      <c r="J1347" s="564">
        <v>4</v>
      </c>
      <c r="K1347" s="564">
        <v>57</v>
      </c>
      <c r="L1347" s="564">
        <v>4</v>
      </c>
      <c r="M1347" s="561" t="s">
        <v>137</v>
      </c>
      <c r="N1347" s="651">
        <v>4304750311</v>
      </c>
      <c r="O1347" s="564" t="s">
        <v>1982</v>
      </c>
      <c r="P1347" s="564" t="s">
        <v>1983</v>
      </c>
      <c r="Q1347" s="564"/>
      <c r="R1347" s="564">
        <v>1</v>
      </c>
    </row>
    <row r="1348" spans="1:20" ht="15" customHeight="1" x14ac:dyDescent="0.25">
      <c r="A1348" s="564">
        <v>15</v>
      </c>
      <c r="B1348" s="564">
        <v>9</v>
      </c>
      <c r="C1348" s="564">
        <v>2</v>
      </c>
      <c r="D1348" s="564">
        <v>22</v>
      </c>
      <c r="E1348" s="564">
        <v>1</v>
      </c>
      <c r="F1348" s="564">
        <v>1</v>
      </c>
      <c r="G1348" s="521" t="s">
        <v>476</v>
      </c>
      <c r="H1348" s="564">
        <v>1315.62</v>
      </c>
      <c r="I1348" s="564">
        <v>0</v>
      </c>
      <c r="J1348" s="564">
        <v>4</v>
      </c>
      <c r="K1348" s="564">
        <v>57</v>
      </c>
      <c r="L1348" s="564">
        <v>4</v>
      </c>
      <c r="M1348" s="561" t="s">
        <v>137</v>
      </c>
      <c r="N1348" s="651">
        <v>4304750311</v>
      </c>
      <c r="O1348" s="564" t="s">
        <v>1982</v>
      </c>
      <c r="P1348" s="564" t="s">
        <v>1984</v>
      </c>
      <c r="Q1348" s="564"/>
      <c r="R1348" s="564">
        <v>1</v>
      </c>
    </row>
    <row r="1349" spans="1:20" ht="15" customHeight="1" x14ac:dyDescent="0.25">
      <c r="A1349" s="564">
        <v>15</v>
      </c>
      <c r="B1349" s="564">
        <v>9</v>
      </c>
      <c r="C1349" s="564">
        <v>2</v>
      </c>
      <c r="D1349" s="564">
        <v>22</v>
      </c>
      <c r="E1349" s="564">
        <v>1</v>
      </c>
      <c r="F1349" s="564">
        <v>1</v>
      </c>
      <c r="G1349" s="564" t="s">
        <v>478</v>
      </c>
      <c r="H1349" s="564">
        <v>1330.665</v>
      </c>
      <c r="I1349" s="564">
        <v>0</v>
      </c>
      <c r="J1349" s="564">
        <v>2</v>
      </c>
      <c r="K1349" s="564">
        <v>17</v>
      </c>
      <c r="L1349" s="564">
        <v>4</v>
      </c>
      <c r="M1349" s="561" t="s">
        <v>137</v>
      </c>
      <c r="N1349" s="651">
        <v>4304750311</v>
      </c>
      <c r="O1349" s="564" t="s">
        <v>1982</v>
      </c>
      <c r="P1349" s="564" t="s">
        <v>1985</v>
      </c>
      <c r="Q1349" s="564"/>
      <c r="R1349" s="564">
        <v>1</v>
      </c>
    </row>
    <row r="1350" spans="1:20" ht="15" customHeight="1" x14ac:dyDescent="0.25">
      <c r="A1350" s="564">
        <v>15</v>
      </c>
      <c r="B1350" s="564">
        <v>9</v>
      </c>
      <c r="C1350" s="564">
        <v>2</v>
      </c>
      <c r="D1350" s="564">
        <v>22</v>
      </c>
      <c r="E1350" s="564">
        <v>1</v>
      </c>
      <c r="F1350" s="564">
        <v>1</v>
      </c>
      <c r="G1350" s="564" t="s">
        <v>484</v>
      </c>
      <c r="H1350" s="564">
        <v>1330.665</v>
      </c>
      <c r="I1350" s="564">
        <v>0</v>
      </c>
      <c r="J1350" s="564">
        <v>2</v>
      </c>
      <c r="K1350" s="564">
        <v>17</v>
      </c>
      <c r="L1350" s="564">
        <v>4</v>
      </c>
      <c r="M1350" s="561" t="s">
        <v>137</v>
      </c>
      <c r="N1350" s="651">
        <v>4304750311</v>
      </c>
      <c r="O1350" s="564" t="s">
        <v>1982</v>
      </c>
      <c r="P1350" s="564" t="s">
        <v>1986</v>
      </c>
      <c r="Q1350" s="564"/>
      <c r="R1350" s="564">
        <v>1</v>
      </c>
    </row>
    <row r="1351" spans="1:20" ht="15" customHeight="1" x14ac:dyDescent="0.25">
      <c r="A1351" s="564">
        <v>15</v>
      </c>
      <c r="B1351" s="564">
        <v>9</v>
      </c>
      <c r="C1351" s="564">
        <v>2</v>
      </c>
      <c r="D1351" s="564">
        <v>22</v>
      </c>
      <c r="E1351" s="564">
        <v>1</v>
      </c>
      <c r="F1351" s="564">
        <v>1</v>
      </c>
      <c r="G1351" s="564" t="s">
        <v>486</v>
      </c>
      <c r="H1351" s="564">
        <v>1326.7449999999999</v>
      </c>
      <c r="I1351" s="564">
        <v>0</v>
      </c>
      <c r="J1351" s="564">
        <v>0</v>
      </c>
      <c r="K1351" s="564">
        <v>12</v>
      </c>
      <c r="L1351" s="564">
        <v>2</v>
      </c>
      <c r="M1351" s="561" t="s">
        <v>137</v>
      </c>
      <c r="N1351" s="651">
        <v>4304750311</v>
      </c>
      <c r="O1351" s="564" t="s">
        <v>1982</v>
      </c>
      <c r="P1351" s="564" t="s">
        <v>1987</v>
      </c>
      <c r="Q1351" s="564"/>
      <c r="R1351" s="564">
        <v>1</v>
      </c>
    </row>
    <row r="1352" spans="1:20" ht="15" customHeight="1" x14ac:dyDescent="0.25">
      <c r="A1352" s="564">
        <v>15</v>
      </c>
      <c r="B1352" s="564">
        <v>9</v>
      </c>
      <c r="C1352" s="564">
        <v>2</v>
      </c>
      <c r="D1352" s="564">
        <v>22</v>
      </c>
      <c r="E1352" s="564">
        <v>1</v>
      </c>
      <c r="F1352" s="564">
        <v>1</v>
      </c>
      <c r="G1352" s="521" t="s">
        <v>488</v>
      </c>
      <c r="H1352" s="564">
        <v>1326.7449999999999</v>
      </c>
      <c r="I1352" s="564">
        <v>0</v>
      </c>
      <c r="J1352" s="564">
        <v>0</v>
      </c>
      <c r="K1352" s="564">
        <v>12</v>
      </c>
      <c r="L1352" s="564">
        <v>2</v>
      </c>
      <c r="M1352" s="561" t="s">
        <v>137</v>
      </c>
      <c r="N1352" s="651">
        <v>4304750311</v>
      </c>
      <c r="O1352" s="564" t="s">
        <v>1982</v>
      </c>
      <c r="P1352" s="564" t="s">
        <v>1988</v>
      </c>
      <c r="Q1352" s="564"/>
      <c r="R1352" s="564">
        <v>1</v>
      </c>
      <c r="T1352" s="493">
        <v>1308.866666666667</v>
      </c>
    </row>
    <row r="1353" spans="1:20" ht="15" customHeight="1" x14ac:dyDescent="0.25">
      <c r="A1353" s="564">
        <v>15</v>
      </c>
      <c r="B1353" s="564">
        <v>9</v>
      </c>
      <c r="C1353" s="564">
        <v>2</v>
      </c>
      <c r="D1353" s="564">
        <v>22</v>
      </c>
      <c r="E1353" s="564">
        <v>1</v>
      </c>
      <c r="F1353" s="564">
        <v>1</v>
      </c>
      <c r="G1353" s="564" t="s">
        <v>490</v>
      </c>
      <c r="H1353" s="564">
        <v>1323.49</v>
      </c>
      <c r="I1353" s="564">
        <v>0</v>
      </c>
      <c r="J1353" s="564">
        <v>4</v>
      </c>
      <c r="K1353" s="564">
        <v>28</v>
      </c>
      <c r="L1353" s="564">
        <v>4</v>
      </c>
      <c r="M1353" s="561" t="s">
        <v>137</v>
      </c>
      <c r="N1353" s="651">
        <v>4304750311</v>
      </c>
      <c r="O1353" s="564" t="s">
        <v>1982</v>
      </c>
      <c r="P1353" s="564" t="s">
        <v>1989</v>
      </c>
      <c r="Q1353" s="564"/>
      <c r="R1353" s="564">
        <v>1</v>
      </c>
    </row>
    <row r="1354" spans="1:20" ht="15" customHeight="1" x14ac:dyDescent="0.25">
      <c r="A1354" s="564">
        <v>15</v>
      </c>
      <c r="B1354" s="564">
        <v>9</v>
      </c>
      <c r="C1354" s="564">
        <v>2</v>
      </c>
      <c r="D1354" s="564">
        <v>22</v>
      </c>
      <c r="E1354" s="564">
        <v>1</v>
      </c>
      <c r="F1354" s="564">
        <v>1</v>
      </c>
      <c r="G1354" s="564" t="s">
        <v>493</v>
      </c>
      <c r="H1354" s="564">
        <v>1323.49</v>
      </c>
      <c r="I1354" s="564">
        <v>0</v>
      </c>
      <c r="J1354" s="564">
        <v>4</v>
      </c>
      <c r="K1354" s="564">
        <v>28</v>
      </c>
      <c r="L1354" s="564">
        <v>4</v>
      </c>
      <c r="M1354" s="561" t="s">
        <v>137</v>
      </c>
      <c r="N1354" s="651">
        <v>4304750311</v>
      </c>
      <c r="O1354" s="564" t="s">
        <v>1982</v>
      </c>
      <c r="P1354" s="564" t="s">
        <v>1990</v>
      </c>
      <c r="Q1354" s="564"/>
      <c r="R1354" s="564">
        <v>1</v>
      </c>
    </row>
    <row r="1355" spans="1:20" ht="15" customHeight="1" x14ac:dyDescent="0.25">
      <c r="A1355" s="564">
        <v>15</v>
      </c>
      <c r="B1355" s="564">
        <v>9</v>
      </c>
      <c r="C1355" s="564">
        <v>2</v>
      </c>
      <c r="D1355" s="564">
        <v>22</v>
      </c>
      <c r="E1355" s="564">
        <v>1</v>
      </c>
      <c r="F1355" s="564">
        <v>1</v>
      </c>
      <c r="G1355" s="564" t="s">
        <v>474</v>
      </c>
      <c r="H1355" s="564">
        <v>1319.82</v>
      </c>
      <c r="I1355" s="564">
        <v>89</v>
      </c>
      <c r="J1355" s="564">
        <v>50</v>
      </c>
      <c r="K1355" s="564">
        <v>50</v>
      </c>
      <c r="L1355" s="564">
        <v>3</v>
      </c>
      <c r="M1355" s="561" t="s">
        <v>137</v>
      </c>
      <c r="N1355" s="651">
        <v>4304750311</v>
      </c>
      <c r="O1355" s="564" t="s">
        <v>1982</v>
      </c>
      <c r="P1355" s="564" t="s">
        <v>1991</v>
      </c>
      <c r="Q1355" s="564"/>
      <c r="R1355" s="564">
        <v>1</v>
      </c>
    </row>
    <row r="1356" spans="1:20" ht="15" customHeight="1" x14ac:dyDescent="0.25">
      <c r="A1356" s="564">
        <v>15</v>
      </c>
      <c r="B1356" s="564">
        <v>9</v>
      </c>
      <c r="C1356" s="564">
        <v>2</v>
      </c>
      <c r="D1356" s="564">
        <v>22</v>
      </c>
      <c r="E1356" s="564">
        <v>1</v>
      </c>
      <c r="F1356" s="564">
        <v>1</v>
      </c>
      <c r="G1356" s="521" t="s">
        <v>477</v>
      </c>
      <c r="H1356" s="564">
        <v>1319.82</v>
      </c>
      <c r="I1356" s="564">
        <v>89</v>
      </c>
      <c r="J1356" s="564">
        <v>50</v>
      </c>
      <c r="K1356" s="564">
        <v>50</v>
      </c>
      <c r="L1356" s="564">
        <v>3</v>
      </c>
      <c r="M1356" s="561" t="s">
        <v>137</v>
      </c>
      <c r="N1356" s="651">
        <v>4304750311</v>
      </c>
      <c r="O1356" s="564" t="s">
        <v>1982</v>
      </c>
      <c r="P1356" s="564" t="s">
        <v>1992</v>
      </c>
      <c r="Q1356" s="564"/>
      <c r="R1356" s="564">
        <v>1</v>
      </c>
    </row>
    <row r="1357" spans="1:20" ht="15" customHeight="1" x14ac:dyDescent="0.25">
      <c r="A1357" s="564">
        <v>15</v>
      </c>
      <c r="B1357" s="564">
        <v>9</v>
      </c>
      <c r="C1357" s="564">
        <v>2</v>
      </c>
      <c r="D1357" s="564">
        <v>22</v>
      </c>
      <c r="E1357" s="564">
        <v>1</v>
      </c>
      <c r="F1357" s="564">
        <v>1</v>
      </c>
      <c r="G1357" s="564" t="s">
        <v>479</v>
      </c>
      <c r="H1357" s="564">
        <v>1324.585</v>
      </c>
      <c r="I1357" s="564">
        <v>89</v>
      </c>
      <c r="J1357" s="564">
        <v>48</v>
      </c>
      <c r="K1357" s="564">
        <v>31</v>
      </c>
      <c r="L1357" s="564">
        <v>4</v>
      </c>
      <c r="M1357" s="561" t="s">
        <v>137</v>
      </c>
      <c r="N1357" s="651">
        <v>4304750311</v>
      </c>
      <c r="O1357" s="564" t="s">
        <v>1982</v>
      </c>
      <c r="P1357" s="564" t="s">
        <v>1993</v>
      </c>
      <c r="Q1357" s="564"/>
      <c r="R1357" s="564">
        <v>1</v>
      </c>
    </row>
    <row r="1358" spans="1:20" ht="15" customHeight="1" x14ac:dyDescent="0.25">
      <c r="A1358" s="564">
        <v>15</v>
      </c>
      <c r="B1358" s="564">
        <v>9</v>
      </c>
      <c r="C1358" s="564">
        <v>2</v>
      </c>
      <c r="D1358" s="564">
        <v>22</v>
      </c>
      <c r="E1358" s="564">
        <v>1</v>
      </c>
      <c r="F1358" s="564">
        <v>1</v>
      </c>
      <c r="G1358" s="564" t="s">
        <v>485</v>
      </c>
      <c r="H1358" s="564">
        <v>1324.585</v>
      </c>
      <c r="I1358" s="564">
        <v>89</v>
      </c>
      <c r="J1358" s="564">
        <v>48</v>
      </c>
      <c r="K1358" s="564">
        <v>31</v>
      </c>
      <c r="L1358" s="564">
        <v>4</v>
      </c>
      <c r="M1358" s="561" t="s">
        <v>137</v>
      </c>
      <c r="N1358" s="651">
        <v>4304750311</v>
      </c>
      <c r="O1358" s="564" t="s">
        <v>1982</v>
      </c>
      <c r="P1358" s="564" t="s">
        <v>1994</v>
      </c>
      <c r="Q1358" s="564"/>
      <c r="R1358" s="564">
        <v>1</v>
      </c>
    </row>
    <row r="1359" spans="1:20" ht="15" customHeight="1" x14ac:dyDescent="0.25">
      <c r="A1359" s="564">
        <v>15</v>
      </c>
      <c r="B1359" s="564">
        <v>9</v>
      </c>
      <c r="C1359" s="564">
        <v>2</v>
      </c>
      <c r="D1359" s="564">
        <v>22</v>
      </c>
      <c r="E1359" s="564">
        <v>1</v>
      </c>
      <c r="F1359" s="564">
        <v>1</v>
      </c>
      <c r="G1359" s="564" t="s">
        <v>487</v>
      </c>
      <c r="H1359" s="564">
        <v>1317.99</v>
      </c>
      <c r="I1359" s="564">
        <v>89</v>
      </c>
      <c r="J1359" s="564">
        <v>57</v>
      </c>
      <c r="K1359" s="564">
        <v>59</v>
      </c>
      <c r="L1359" s="564">
        <v>4</v>
      </c>
      <c r="M1359" s="561" t="s">
        <v>137</v>
      </c>
      <c r="N1359" s="651">
        <v>4304750311</v>
      </c>
      <c r="O1359" s="564" t="s">
        <v>1982</v>
      </c>
      <c r="P1359" s="564" t="s">
        <v>1995</v>
      </c>
      <c r="Q1359" s="564"/>
      <c r="R1359" s="564">
        <v>1</v>
      </c>
    </row>
    <row r="1360" spans="1:20" ht="15" customHeight="1" x14ac:dyDescent="0.25">
      <c r="A1360" s="564">
        <v>15</v>
      </c>
      <c r="B1360" s="564">
        <v>9</v>
      </c>
      <c r="C1360" s="564">
        <v>2</v>
      </c>
      <c r="D1360" s="564">
        <v>22</v>
      </c>
      <c r="E1360" s="564">
        <v>1</v>
      </c>
      <c r="F1360" s="564">
        <v>1</v>
      </c>
      <c r="G1360" s="521" t="s">
        <v>489</v>
      </c>
      <c r="H1360" s="564">
        <v>1317.99</v>
      </c>
      <c r="I1360" s="564">
        <v>89</v>
      </c>
      <c r="J1360" s="564">
        <v>57</v>
      </c>
      <c r="K1360" s="564">
        <v>59</v>
      </c>
      <c r="L1360" s="564">
        <v>4</v>
      </c>
      <c r="M1360" s="561" t="s">
        <v>137</v>
      </c>
      <c r="N1360" s="651">
        <v>4304750311</v>
      </c>
      <c r="O1360" s="564" t="s">
        <v>1982</v>
      </c>
      <c r="P1360" s="564" t="s">
        <v>1996</v>
      </c>
      <c r="Q1360" s="564"/>
      <c r="R1360" s="564">
        <v>1</v>
      </c>
    </row>
    <row r="1361" spans="1:18" ht="15" customHeight="1" x14ac:dyDescent="0.25">
      <c r="A1361" s="564">
        <v>15</v>
      </c>
      <c r="B1361" s="564">
        <v>9</v>
      </c>
      <c r="C1361" s="564">
        <v>2</v>
      </c>
      <c r="D1361" s="564">
        <v>22</v>
      </c>
      <c r="E1361" s="564">
        <v>1</v>
      </c>
      <c r="F1361" s="564">
        <v>1</v>
      </c>
      <c r="G1361" s="564" t="s">
        <v>491</v>
      </c>
      <c r="H1361" s="564">
        <v>1325.27</v>
      </c>
      <c r="I1361" s="564">
        <v>89</v>
      </c>
      <c r="J1361" s="564">
        <v>48</v>
      </c>
      <c r="K1361" s="564">
        <v>26</v>
      </c>
      <c r="L1361" s="564">
        <v>4</v>
      </c>
      <c r="M1361" s="561" t="s">
        <v>137</v>
      </c>
      <c r="N1361" s="651">
        <v>4304750311</v>
      </c>
      <c r="O1361" s="564" t="s">
        <v>1982</v>
      </c>
      <c r="P1361" s="564" t="s">
        <v>1997</v>
      </c>
      <c r="Q1361" s="564"/>
      <c r="R1361" s="564">
        <v>1</v>
      </c>
    </row>
    <row r="1362" spans="1:18" ht="15" customHeight="1" x14ac:dyDescent="0.25">
      <c r="A1362" s="564">
        <v>15</v>
      </c>
      <c r="B1362" s="564">
        <v>9</v>
      </c>
      <c r="C1362" s="564">
        <v>2</v>
      </c>
      <c r="D1362" s="564">
        <v>22</v>
      </c>
      <c r="E1362" s="564">
        <v>1</v>
      </c>
      <c r="F1362" s="564">
        <v>1</v>
      </c>
      <c r="G1362" s="564" t="s">
        <v>494</v>
      </c>
      <c r="H1362" s="564">
        <v>1325.27</v>
      </c>
      <c r="I1362" s="564">
        <v>89</v>
      </c>
      <c r="J1362" s="564">
        <v>48</v>
      </c>
      <c r="K1362" s="564">
        <v>26</v>
      </c>
      <c r="L1362" s="564">
        <v>4</v>
      </c>
      <c r="M1362" s="561" t="s">
        <v>137</v>
      </c>
      <c r="N1362" s="651">
        <v>4304750311</v>
      </c>
      <c r="O1362" s="564" t="s">
        <v>1982</v>
      </c>
      <c r="P1362" s="564" t="s">
        <v>1998</v>
      </c>
      <c r="Q1362" s="564"/>
      <c r="R1362" s="564">
        <v>1</v>
      </c>
    </row>
    <row r="1363" spans="1:18" ht="15" customHeight="1" x14ac:dyDescent="0.25">
      <c r="A1363" s="553">
        <v>16</v>
      </c>
      <c r="B1363" s="553">
        <v>22</v>
      </c>
      <c r="C1363" s="553">
        <v>2</v>
      </c>
      <c r="D1363" s="553">
        <v>17</v>
      </c>
      <c r="E1363" s="553">
        <v>1</v>
      </c>
      <c r="F1363" s="553">
        <v>1</v>
      </c>
      <c r="G1363" s="553" t="s">
        <v>473</v>
      </c>
      <c r="H1363" s="553">
        <v>1320</v>
      </c>
      <c r="I1363" s="553">
        <v>0</v>
      </c>
      <c r="J1363" s="553">
        <v>3</v>
      </c>
      <c r="K1363" s="553">
        <v>0</v>
      </c>
      <c r="L1363" s="553">
        <v>4</v>
      </c>
      <c r="M1363" s="505" t="s">
        <v>137</v>
      </c>
      <c r="N1363" s="500">
        <v>43019500890000</v>
      </c>
      <c r="O1363" s="553" t="s">
        <v>1999</v>
      </c>
      <c r="P1363" s="650" t="s">
        <v>2000</v>
      </c>
      <c r="Q1363" s="564" t="s">
        <v>583</v>
      </c>
      <c r="R1363" s="564">
        <v>2</v>
      </c>
    </row>
    <row r="1364" spans="1:18" ht="15" customHeight="1" x14ac:dyDescent="0.25">
      <c r="A1364" s="553">
        <v>16</v>
      </c>
      <c r="B1364" s="553">
        <v>22</v>
      </c>
      <c r="C1364" s="553">
        <v>2</v>
      </c>
      <c r="D1364" s="553">
        <v>17</v>
      </c>
      <c r="E1364" s="553">
        <v>1</v>
      </c>
      <c r="F1364" s="553">
        <v>1</v>
      </c>
      <c r="G1364" s="502" t="s">
        <v>476</v>
      </c>
      <c r="H1364" s="553">
        <v>1320</v>
      </c>
      <c r="I1364" s="553">
        <v>0</v>
      </c>
      <c r="J1364" s="553">
        <v>3</v>
      </c>
      <c r="K1364" s="553">
        <v>0</v>
      </c>
      <c r="L1364" s="553">
        <v>4</v>
      </c>
      <c r="M1364" s="505" t="s">
        <v>137</v>
      </c>
      <c r="N1364" s="500">
        <v>43019500890000</v>
      </c>
      <c r="O1364" s="553" t="s">
        <v>1999</v>
      </c>
      <c r="P1364" s="650" t="s">
        <v>2001</v>
      </c>
      <c r="Q1364" s="564" t="s">
        <v>583</v>
      </c>
      <c r="R1364" s="564">
        <v>2</v>
      </c>
    </row>
    <row r="1365" spans="1:18" ht="15" customHeight="1" x14ac:dyDescent="0.25">
      <c r="A1365" s="553">
        <v>16</v>
      </c>
      <c r="B1365" s="553">
        <v>22</v>
      </c>
      <c r="C1365" s="553">
        <v>2</v>
      </c>
      <c r="D1365" s="553">
        <v>17</v>
      </c>
      <c r="E1365" s="553">
        <v>1</v>
      </c>
      <c r="F1365" s="553">
        <v>1</v>
      </c>
      <c r="G1365" s="553" t="s">
        <v>478</v>
      </c>
      <c r="H1365" s="553">
        <v>1320</v>
      </c>
      <c r="I1365" s="553">
        <v>0</v>
      </c>
      <c r="J1365" s="553">
        <v>3</v>
      </c>
      <c r="K1365" s="553">
        <v>0</v>
      </c>
      <c r="L1365" s="553">
        <v>4</v>
      </c>
      <c r="M1365" s="505" t="s">
        <v>137</v>
      </c>
      <c r="N1365" s="500">
        <v>43019500890000</v>
      </c>
      <c r="O1365" s="553" t="s">
        <v>1999</v>
      </c>
      <c r="P1365" s="650" t="s">
        <v>2002</v>
      </c>
      <c r="Q1365" s="564" t="s">
        <v>583</v>
      </c>
      <c r="R1365" s="564">
        <v>2</v>
      </c>
    </row>
    <row r="1366" spans="1:18" ht="15" customHeight="1" x14ac:dyDescent="0.25">
      <c r="A1366" s="553">
        <v>16</v>
      </c>
      <c r="B1366" s="553">
        <v>22</v>
      </c>
      <c r="C1366" s="553">
        <v>2</v>
      </c>
      <c r="D1366" s="553">
        <v>17</v>
      </c>
      <c r="E1366" s="553">
        <v>1</v>
      </c>
      <c r="F1366" s="553">
        <v>1</v>
      </c>
      <c r="G1366" s="553" t="s">
        <v>484</v>
      </c>
      <c r="H1366" s="553">
        <v>1320</v>
      </c>
      <c r="I1366" s="553">
        <v>0</v>
      </c>
      <c r="J1366" s="553">
        <v>3</v>
      </c>
      <c r="K1366" s="553">
        <v>0</v>
      </c>
      <c r="L1366" s="553">
        <v>4</v>
      </c>
      <c r="M1366" s="505" t="s">
        <v>137</v>
      </c>
      <c r="N1366" s="500">
        <v>43019500890000</v>
      </c>
      <c r="O1366" s="553" t="s">
        <v>1999</v>
      </c>
      <c r="P1366" s="650" t="s">
        <v>2003</v>
      </c>
      <c r="Q1366" s="564" t="s">
        <v>583</v>
      </c>
      <c r="R1366" s="564">
        <v>2</v>
      </c>
    </row>
    <row r="1367" spans="1:18" ht="15" customHeight="1" x14ac:dyDescent="0.25">
      <c r="A1367" s="553">
        <v>16</v>
      </c>
      <c r="B1367" s="553">
        <v>22</v>
      </c>
      <c r="C1367" s="553">
        <v>2</v>
      </c>
      <c r="D1367" s="553">
        <v>17</v>
      </c>
      <c r="E1367" s="553">
        <v>1</v>
      </c>
      <c r="F1367" s="553">
        <v>1</v>
      </c>
      <c r="G1367" s="553" t="s">
        <v>486</v>
      </c>
      <c r="H1367" s="553">
        <v>1315.7049999999999</v>
      </c>
      <c r="I1367" s="553">
        <v>0</v>
      </c>
      <c r="J1367" s="553">
        <v>2</v>
      </c>
      <c r="K1367" s="553">
        <v>56</v>
      </c>
      <c r="L1367" s="553">
        <v>2</v>
      </c>
      <c r="M1367" s="505" t="s">
        <v>137</v>
      </c>
      <c r="N1367" s="500">
        <v>43019500890000</v>
      </c>
      <c r="O1367" s="553" t="s">
        <v>1999</v>
      </c>
      <c r="P1367" s="650" t="s">
        <v>2004</v>
      </c>
      <c r="Q1367" s="564" t="s">
        <v>583</v>
      </c>
      <c r="R1367" s="564">
        <v>2</v>
      </c>
    </row>
    <row r="1368" spans="1:18" ht="15" customHeight="1" x14ac:dyDescent="0.25">
      <c r="A1368" s="553">
        <v>16</v>
      </c>
      <c r="B1368" s="553">
        <v>22</v>
      </c>
      <c r="C1368" s="553">
        <v>2</v>
      </c>
      <c r="D1368" s="553">
        <v>17</v>
      </c>
      <c r="E1368" s="553">
        <v>1</v>
      </c>
      <c r="F1368" s="553">
        <v>1</v>
      </c>
      <c r="G1368" s="502" t="s">
        <v>488</v>
      </c>
      <c r="H1368" s="553">
        <v>1315.7049999999999</v>
      </c>
      <c r="I1368" s="553">
        <v>0</v>
      </c>
      <c r="J1368" s="553">
        <v>2</v>
      </c>
      <c r="K1368" s="553">
        <v>56</v>
      </c>
      <c r="L1368" s="553">
        <v>2</v>
      </c>
      <c r="M1368" s="505" t="s">
        <v>137</v>
      </c>
      <c r="N1368" s="500">
        <v>43019500890000</v>
      </c>
      <c r="O1368" s="553" t="s">
        <v>1999</v>
      </c>
      <c r="P1368" s="650" t="s">
        <v>2005</v>
      </c>
      <c r="Q1368" s="564" t="s">
        <v>583</v>
      </c>
      <c r="R1368" s="564">
        <v>2</v>
      </c>
    </row>
    <row r="1369" spans="1:18" ht="15" customHeight="1" x14ac:dyDescent="0.25">
      <c r="A1369" s="553">
        <v>16</v>
      </c>
      <c r="B1369" s="553">
        <v>22</v>
      </c>
      <c r="C1369" s="553">
        <v>2</v>
      </c>
      <c r="D1369" s="553">
        <v>17</v>
      </c>
      <c r="E1369" s="553">
        <v>1</v>
      </c>
      <c r="F1369" s="553">
        <v>1</v>
      </c>
      <c r="G1369" s="553" t="s">
        <v>490</v>
      </c>
      <c r="H1369" s="553">
        <v>1320.6</v>
      </c>
      <c r="I1369" s="553">
        <v>0</v>
      </c>
      <c r="J1369" s="553">
        <v>0</v>
      </c>
      <c r="K1369" s="553">
        <v>0</v>
      </c>
      <c r="L1369" s="553">
        <v>3</v>
      </c>
      <c r="M1369" s="505" t="s">
        <v>137</v>
      </c>
      <c r="N1369" s="500">
        <v>43019500890000</v>
      </c>
      <c r="O1369" s="553" t="s">
        <v>1999</v>
      </c>
      <c r="P1369" s="650" t="s">
        <v>2006</v>
      </c>
      <c r="Q1369" s="564" t="s">
        <v>583</v>
      </c>
      <c r="R1369" s="564">
        <v>2</v>
      </c>
    </row>
    <row r="1370" spans="1:18" ht="15" customHeight="1" x14ac:dyDescent="0.25">
      <c r="A1370" s="553">
        <v>16</v>
      </c>
      <c r="B1370" s="553">
        <v>22</v>
      </c>
      <c r="C1370" s="553">
        <v>2</v>
      </c>
      <c r="D1370" s="553">
        <v>17</v>
      </c>
      <c r="E1370" s="553">
        <v>1</v>
      </c>
      <c r="F1370" s="553">
        <v>1</v>
      </c>
      <c r="G1370" s="553" t="s">
        <v>493</v>
      </c>
      <c r="H1370" s="553">
        <v>1320.6</v>
      </c>
      <c r="I1370" s="553">
        <v>0</v>
      </c>
      <c r="J1370" s="553">
        <v>0</v>
      </c>
      <c r="K1370" s="553">
        <v>0</v>
      </c>
      <c r="L1370" s="553">
        <v>3</v>
      </c>
      <c r="M1370" s="505" t="s">
        <v>137</v>
      </c>
      <c r="N1370" s="500">
        <v>43019500890000</v>
      </c>
      <c r="O1370" s="553" t="s">
        <v>1999</v>
      </c>
      <c r="P1370" s="650" t="s">
        <v>2007</v>
      </c>
      <c r="Q1370" s="564" t="s">
        <v>583</v>
      </c>
      <c r="R1370" s="564">
        <v>2</v>
      </c>
    </row>
    <row r="1371" spans="1:18" ht="15" customHeight="1" x14ac:dyDescent="0.25">
      <c r="A1371" s="553">
        <v>16</v>
      </c>
      <c r="B1371" s="553">
        <v>22</v>
      </c>
      <c r="C1371" s="553">
        <v>2</v>
      </c>
      <c r="D1371" s="553">
        <v>17</v>
      </c>
      <c r="E1371" s="553">
        <v>1</v>
      </c>
      <c r="F1371" s="553">
        <v>1</v>
      </c>
      <c r="G1371" s="553" t="s">
        <v>474</v>
      </c>
      <c r="H1371" s="553">
        <v>1320.02</v>
      </c>
      <c r="I1371" s="553">
        <v>89</v>
      </c>
      <c r="J1371" s="553">
        <v>59</v>
      </c>
      <c r="K1371" s="553">
        <v>0</v>
      </c>
      <c r="L1371" s="553">
        <v>4</v>
      </c>
      <c r="M1371" s="505" t="s">
        <v>137</v>
      </c>
      <c r="N1371" s="500">
        <v>43019500890000</v>
      </c>
      <c r="O1371" s="553" t="s">
        <v>1999</v>
      </c>
      <c r="P1371" s="650" t="s">
        <v>2008</v>
      </c>
      <c r="Q1371" s="564" t="s">
        <v>583</v>
      </c>
      <c r="R1371" s="564">
        <v>2</v>
      </c>
    </row>
    <row r="1372" spans="1:18" ht="15" customHeight="1" x14ac:dyDescent="0.25">
      <c r="A1372" s="553">
        <v>16</v>
      </c>
      <c r="B1372" s="553">
        <v>22</v>
      </c>
      <c r="C1372" s="553">
        <v>2</v>
      </c>
      <c r="D1372" s="553">
        <v>17</v>
      </c>
      <c r="E1372" s="553">
        <v>1</v>
      </c>
      <c r="F1372" s="553">
        <v>1</v>
      </c>
      <c r="G1372" s="502" t="s">
        <v>477</v>
      </c>
      <c r="H1372" s="553">
        <v>1320.02</v>
      </c>
      <c r="I1372" s="553">
        <v>89</v>
      </c>
      <c r="J1372" s="553">
        <v>59</v>
      </c>
      <c r="K1372" s="553">
        <v>0</v>
      </c>
      <c r="L1372" s="553">
        <v>4</v>
      </c>
      <c r="M1372" s="505" t="s">
        <v>137</v>
      </c>
      <c r="N1372" s="500">
        <v>43019500890000</v>
      </c>
      <c r="O1372" s="553" t="s">
        <v>1999</v>
      </c>
      <c r="P1372" s="650" t="s">
        <v>2009</v>
      </c>
      <c r="Q1372" s="564" t="s">
        <v>583</v>
      </c>
      <c r="R1372" s="564">
        <v>2</v>
      </c>
    </row>
    <row r="1373" spans="1:18" ht="15" customHeight="1" x14ac:dyDescent="0.25">
      <c r="A1373" s="553">
        <v>16</v>
      </c>
      <c r="B1373" s="553">
        <v>22</v>
      </c>
      <c r="C1373" s="553">
        <v>2</v>
      </c>
      <c r="D1373" s="553">
        <v>17</v>
      </c>
      <c r="E1373" s="553">
        <v>1</v>
      </c>
      <c r="F1373" s="553">
        <v>1</v>
      </c>
      <c r="G1373" s="553" t="s">
        <v>479</v>
      </c>
      <c r="H1373" s="553">
        <v>1330.11</v>
      </c>
      <c r="I1373" s="553">
        <v>89</v>
      </c>
      <c r="J1373" s="553">
        <v>50</v>
      </c>
      <c r="K1373" s="553">
        <v>8</v>
      </c>
      <c r="L1373" s="553">
        <v>3</v>
      </c>
      <c r="M1373" s="505" t="s">
        <v>137</v>
      </c>
      <c r="N1373" s="500">
        <v>43019500890000</v>
      </c>
      <c r="O1373" s="553" t="s">
        <v>1999</v>
      </c>
      <c r="P1373" s="650" t="s">
        <v>2010</v>
      </c>
      <c r="Q1373" s="564" t="s">
        <v>583</v>
      </c>
      <c r="R1373" s="564">
        <v>2</v>
      </c>
    </row>
    <row r="1374" spans="1:18" ht="15" customHeight="1" x14ac:dyDescent="0.25">
      <c r="A1374" s="553">
        <v>16</v>
      </c>
      <c r="B1374" s="553">
        <v>22</v>
      </c>
      <c r="C1374" s="553">
        <v>2</v>
      </c>
      <c r="D1374" s="553">
        <v>17</v>
      </c>
      <c r="E1374" s="553">
        <v>1</v>
      </c>
      <c r="F1374" s="553">
        <v>1</v>
      </c>
      <c r="G1374" s="553" t="s">
        <v>485</v>
      </c>
      <c r="H1374" s="553">
        <v>1330.11</v>
      </c>
      <c r="I1374" s="553">
        <v>89</v>
      </c>
      <c r="J1374" s="553">
        <v>50</v>
      </c>
      <c r="K1374" s="553">
        <v>8</v>
      </c>
      <c r="L1374" s="553">
        <v>3</v>
      </c>
      <c r="M1374" s="505" t="s">
        <v>137</v>
      </c>
      <c r="N1374" s="500">
        <v>43019500890000</v>
      </c>
      <c r="O1374" s="553" t="s">
        <v>1999</v>
      </c>
      <c r="P1374" s="650" t="s">
        <v>2011</v>
      </c>
      <c r="Q1374" s="564" t="s">
        <v>583</v>
      </c>
      <c r="R1374" s="564">
        <v>2</v>
      </c>
    </row>
    <row r="1375" spans="1:18" ht="15" customHeight="1" x14ac:dyDescent="0.25">
      <c r="A1375" s="553">
        <v>16</v>
      </c>
      <c r="B1375" s="553">
        <v>22</v>
      </c>
      <c r="C1375" s="553">
        <v>2</v>
      </c>
      <c r="D1375" s="553">
        <v>17</v>
      </c>
      <c r="E1375" s="553">
        <v>1</v>
      </c>
      <c r="F1375" s="553">
        <v>1</v>
      </c>
      <c r="G1375" s="553" t="s">
        <v>487</v>
      </c>
      <c r="H1375" s="553">
        <v>1320.01</v>
      </c>
      <c r="I1375" s="553">
        <v>89</v>
      </c>
      <c r="J1375" s="553">
        <v>56</v>
      </c>
      <c r="K1375" s="553">
        <v>0</v>
      </c>
      <c r="L1375" s="553">
        <v>4</v>
      </c>
      <c r="M1375" s="505" t="s">
        <v>137</v>
      </c>
      <c r="N1375" s="500">
        <v>43019500890000</v>
      </c>
      <c r="O1375" s="553" t="s">
        <v>1999</v>
      </c>
      <c r="P1375" s="650" t="s">
        <v>2012</v>
      </c>
      <c r="Q1375" s="564" t="s">
        <v>583</v>
      </c>
      <c r="R1375" s="564">
        <v>2</v>
      </c>
    </row>
    <row r="1376" spans="1:18" s="501" customFormat="1" ht="15" customHeight="1" x14ac:dyDescent="0.25">
      <c r="A1376" s="553">
        <v>16</v>
      </c>
      <c r="B1376" s="553">
        <v>22</v>
      </c>
      <c r="C1376" s="553">
        <v>2</v>
      </c>
      <c r="D1376" s="553">
        <v>17</v>
      </c>
      <c r="E1376" s="553">
        <v>1</v>
      </c>
      <c r="F1376" s="553">
        <v>1</v>
      </c>
      <c r="G1376" s="502" t="s">
        <v>489</v>
      </c>
      <c r="H1376" s="553">
        <v>1320.01</v>
      </c>
      <c r="I1376" s="553">
        <v>89</v>
      </c>
      <c r="J1376" s="553">
        <v>56</v>
      </c>
      <c r="K1376" s="553">
        <v>0</v>
      </c>
      <c r="L1376" s="553">
        <v>4</v>
      </c>
      <c r="M1376" s="505" t="s">
        <v>137</v>
      </c>
      <c r="N1376" s="500">
        <v>43019500890000</v>
      </c>
      <c r="O1376" s="553" t="s">
        <v>1999</v>
      </c>
      <c r="P1376" s="650" t="s">
        <v>2013</v>
      </c>
      <c r="Q1376" s="564" t="s">
        <v>583</v>
      </c>
      <c r="R1376" s="564">
        <v>2</v>
      </c>
    </row>
    <row r="1377" spans="1:19" s="501" customFormat="1" ht="15" customHeight="1" x14ac:dyDescent="0.25">
      <c r="A1377" s="553">
        <v>16</v>
      </c>
      <c r="B1377" s="553">
        <v>22</v>
      </c>
      <c r="C1377" s="553">
        <v>2</v>
      </c>
      <c r="D1377" s="553">
        <v>17</v>
      </c>
      <c r="E1377" s="553">
        <v>1</v>
      </c>
      <c r="F1377" s="553">
        <v>1</v>
      </c>
      <c r="G1377" s="553" t="s">
        <v>491</v>
      </c>
      <c r="H1377" s="553">
        <v>1321.81</v>
      </c>
      <c r="I1377" s="553">
        <v>89</v>
      </c>
      <c r="J1377" s="553">
        <v>44</v>
      </c>
      <c r="K1377" s="553">
        <v>31</v>
      </c>
      <c r="L1377" s="553">
        <v>1</v>
      </c>
      <c r="M1377" s="505" t="s">
        <v>137</v>
      </c>
      <c r="N1377" s="500">
        <v>43019500890000</v>
      </c>
      <c r="O1377" s="553" t="s">
        <v>1999</v>
      </c>
      <c r="P1377" s="650" t="s">
        <v>2014</v>
      </c>
      <c r="Q1377" s="564" t="s">
        <v>583</v>
      </c>
      <c r="R1377" s="564">
        <v>2</v>
      </c>
    </row>
    <row r="1378" spans="1:19" s="501" customFormat="1" ht="15" customHeight="1" x14ac:dyDescent="0.25">
      <c r="A1378" s="553">
        <v>16</v>
      </c>
      <c r="B1378" s="553">
        <v>22</v>
      </c>
      <c r="C1378" s="553">
        <v>2</v>
      </c>
      <c r="D1378" s="553">
        <v>17</v>
      </c>
      <c r="E1378" s="553">
        <v>1</v>
      </c>
      <c r="F1378" s="553">
        <v>1</v>
      </c>
      <c r="G1378" s="553" t="s">
        <v>494</v>
      </c>
      <c r="H1378" s="553">
        <v>1321.81</v>
      </c>
      <c r="I1378" s="553">
        <v>89</v>
      </c>
      <c r="J1378" s="553">
        <v>44</v>
      </c>
      <c r="K1378" s="553">
        <v>31</v>
      </c>
      <c r="L1378" s="553">
        <v>1</v>
      </c>
      <c r="M1378" s="505" t="s">
        <v>137</v>
      </c>
      <c r="N1378" s="500">
        <v>43019500890000</v>
      </c>
      <c r="O1378" s="553" t="s">
        <v>1999</v>
      </c>
      <c r="P1378" s="650" t="s">
        <v>2015</v>
      </c>
      <c r="Q1378" s="564" t="s">
        <v>583</v>
      </c>
      <c r="R1378" s="564">
        <v>2</v>
      </c>
    </row>
    <row r="1379" spans="1:19" s="501" customFormat="1" ht="15" customHeight="1" x14ac:dyDescent="0.25">
      <c r="A1379" s="553">
        <v>16</v>
      </c>
      <c r="B1379" s="553">
        <v>7</v>
      </c>
      <c r="C1379" s="553">
        <v>2</v>
      </c>
      <c r="D1379" s="553">
        <v>20</v>
      </c>
      <c r="E1379" s="553">
        <v>1</v>
      </c>
      <c r="F1379" s="553">
        <v>1</v>
      </c>
      <c r="G1379" s="553" t="s">
        <v>473</v>
      </c>
      <c r="H1379" s="553">
        <v>1314.41</v>
      </c>
      <c r="I1379" s="553">
        <v>1</v>
      </c>
      <c r="J1379" s="553">
        <v>48</v>
      </c>
      <c r="K1379" s="553">
        <v>48</v>
      </c>
      <c r="L1379" s="553">
        <v>4</v>
      </c>
      <c r="M1379" s="505" t="s">
        <v>312</v>
      </c>
      <c r="N1379" s="500">
        <v>43047562190000</v>
      </c>
      <c r="O1379" s="553" t="s">
        <v>2016</v>
      </c>
      <c r="P1379" s="650" t="s">
        <v>2017</v>
      </c>
      <c r="Q1379" s="564" t="s">
        <v>583</v>
      </c>
      <c r="R1379" s="564">
        <v>1</v>
      </c>
    </row>
    <row r="1380" spans="1:19" s="501" customFormat="1" ht="15" customHeight="1" x14ac:dyDescent="0.25">
      <c r="A1380" s="553">
        <v>16</v>
      </c>
      <c r="B1380" s="553">
        <v>7</v>
      </c>
      <c r="C1380" s="553">
        <v>2</v>
      </c>
      <c r="D1380" s="553">
        <v>20</v>
      </c>
      <c r="E1380" s="553">
        <v>1</v>
      </c>
      <c r="F1380" s="553">
        <v>1</v>
      </c>
      <c r="G1380" s="502" t="s">
        <v>476</v>
      </c>
      <c r="H1380" s="553">
        <v>1314.41</v>
      </c>
      <c r="I1380" s="553">
        <v>1</v>
      </c>
      <c r="J1380" s="553">
        <v>48</v>
      </c>
      <c r="K1380" s="553">
        <v>48</v>
      </c>
      <c r="L1380" s="553">
        <v>4</v>
      </c>
      <c r="M1380" s="505" t="s">
        <v>312</v>
      </c>
      <c r="N1380" s="500">
        <v>43047562190000</v>
      </c>
      <c r="O1380" s="553" t="s">
        <v>2016</v>
      </c>
      <c r="P1380" s="650" t="s">
        <v>2018</v>
      </c>
      <c r="Q1380" s="564" t="s">
        <v>583</v>
      </c>
      <c r="R1380" s="564">
        <v>1</v>
      </c>
    </row>
    <row r="1381" spans="1:19" s="501" customFormat="1" ht="15" customHeight="1" x14ac:dyDescent="0.25">
      <c r="A1381" s="553">
        <v>16</v>
      </c>
      <c r="B1381" s="553">
        <v>7</v>
      </c>
      <c r="C1381" s="553">
        <v>2</v>
      </c>
      <c r="D1381" s="553">
        <v>20</v>
      </c>
      <c r="E1381" s="553">
        <v>1</v>
      </c>
      <c r="F1381" s="553">
        <v>1</v>
      </c>
      <c r="G1381" s="553" t="s">
        <v>478</v>
      </c>
      <c r="H1381" s="553">
        <v>1332.57</v>
      </c>
      <c r="I1381" s="553">
        <v>1</v>
      </c>
      <c r="J1381" s="553">
        <v>30</v>
      </c>
      <c r="K1381" s="553">
        <v>29</v>
      </c>
      <c r="L1381" s="553">
        <v>4</v>
      </c>
      <c r="M1381" s="505" t="s">
        <v>312</v>
      </c>
      <c r="N1381" s="500">
        <v>43047562190000</v>
      </c>
      <c r="O1381" s="553" t="s">
        <v>2016</v>
      </c>
      <c r="P1381" s="650" t="s">
        <v>2019</v>
      </c>
      <c r="Q1381" s="564" t="s">
        <v>583</v>
      </c>
      <c r="R1381" s="564">
        <v>1</v>
      </c>
    </row>
    <row r="1382" spans="1:19" s="501" customFormat="1" ht="15" customHeight="1" x14ac:dyDescent="0.25">
      <c r="A1382" s="553">
        <v>16</v>
      </c>
      <c r="B1382" s="553">
        <v>7</v>
      </c>
      <c r="C1382" s="553">
        <v>2</v>
      </c>
      <c r="D1382" s="553">
        <v>20</v>
      </c>
      <c r="E1382" s="553">
        <v>1</v>
      </c>
      <c r="F1382" s="553">
        <v>1</v>
      </c>
      <c r="G1382" s="553" t="s">
        <v>484</v>
      </c>
      <c r="H1382" s="553">
        <v>1286.3800000000001</v>
      </c>
      <c r="I1382" s="553">
        <v>1</v>
      </c>
      <c r="J1382" s="553">
        <v>41</v>
      </c>
      <c r="K1382" s="553">
        <v>46</v>
      </c>
      <c r="L1382" s="553">
        <v>4</v>
      </c>
      <c r="M1382" s="505" t="s">
        <v>312</v>
      </c>
      <c r="N1382" s="500">
        <v>43047562190000</v>
      </c>
      <c r="O1382" s="553" t="s">
        <v>2016</v>
      </c>
      <c r="P1382" s="650" t="s">
        <v>2020</v>
      </c>
      <c r="Q1382" s="564" t="s">
        <v>583</v>
      </c>
      <c r="R1382" s="564">
        <v>1</v>
      </c>
    </row>
    <row r="1383" spans="1:19" s="501" customFormat="1" ht="15" customHeight="1" x14ac:dyDescent="0.25">
      <c r="A1383" s="553">
        <v>16</v>
      </c>
      <c r="B1383" s="553">
        <v>7</v>
      </c>
      <c r="C1383" s="553">
        <v>2</v>
      </c>
      <c r="D1383" s="553">
        <v>20</v>
      </c>
      <c r="E1383" s="553">
        <v>1</v>
      </c>
      <c r="F1383" s="553">
        <v>1</v>
      </c>
      <c r="G1383" s="553" t="s">
        <v>486</v>
      </c>
      <c r="H1383" s="553">
        <v>1278.835</v>
      </c>
      <c r="I1383" s="553">
        <v>1</v>
      </c>
      <c r="J1383" s="553">
        <v>45</v>
      </c>
      <c r="K1383" s="553">
        <v>15</v>
      </c>
      <c r="L1383" s="553">
        <v>4</v>
      </c>
      <c r="M1383" s="505" t="s">
        <v>312</v>
      </c>
      <c r="N1383" s="500">
        <v>43047562190000</v>
      </c>
      <c r="O1383" s="553" t="s">
        <v>2016</v>
      </c>
      <c r="P1383" s="650" t="s">
        <v>2021</v>
      </c>
      <c r="Q1383" s="564" t="s">
        <v>583</v>
      </c>
      <c r="R1383" s="564">
        <v>1</v>
      </c>
      <c r="S1383" s="501">
        <v>1319.886666666667</v>
      </c>
    </row>
    <row r="1384" spans="1:19" s="501" customFormat="1" ht="15" customHeight="1" x14ac:dyDescent="0.25">
      <c r="A1384" s="553">
        <v>16</v>
      </c>
      <c r="B1384" s="553">
        <v>7</v>
      </c>
      <c r="C1384" s="553">
        <v>2</v>
      </c>
      <c r="D1384" s="553">
        <v>20</v>
      </c>
      <c r="E1384" s="553">
        <v>1</v>
      </c>
      <c r="F1384" s="553">
        <v>1</v>
      </c>
      <c r="G1384" s="502" t="s">
        <v>488</v>
      </c>
      <c r="H1384" s="553">
        <v>1278.835</v>
      </c>
      <c r="I1384" s="553">
        <v>1</v>
      </c>
      <c r="J1384" s="553">
        <v>45</v>
      </c>
      <c r="K1384" s="553">
        <v>15</v>
      </c>
      <c r="L1384" s="553">
        <v>4</v>
      </c>
      <c r="M1384" s="505" t="s">
        <v>312</v>
      </c>
      <c r="N1384" s="500">
        <v>43047562190000</v>
      </c>
      <c r="O1384" s="553" t="s">
        <v>2016</v>
      </c>
      <c r="P1384" s="650" t="s">
        <v>2022</v>
      </c>
      <c r="Q1384" s="564" t="s">
        <v>583</v>
      </c>
      <c r="R1384" s="564">
        <v>1</v>
      </c>
    </row>
    <row r="1385" spans="1:19" s="501" customFormat="1" ht="15" customHeight="1" x14ac:dyDescent="0.25">
      <c r="A1385" s="553">
        <v>16</v>
      </c>
      <c r="B1385" s="553">
        <v>7</v>
      </c>
      <c r="C1385" s="553">
        <v>2</v>
      </c>
      <c r="D1385" s="553">
        <v>20</v>
      </c>
      <c r="E1385" s="553">
        <v>1</v>
      </c>
      <c r="F1385" s="553">
        <v>1</v>
      </c>
      <c r="G1385" s="553" t="s">
        <v>490</v>
      </c>
      <c r="H1385" s="553">
        <v>1315.0550000000001</v>
      </c>
      <c r="I1385" s="553">
        <v>1</v>
      </c>
      <c r="J1385" s="553">
        <v>54</v>
      </c>
      <c r="K1385" s="553">
        <v>58</v>
      </c>
      <c r="L1385" s="553">
        <v>4</v>
      </c>
      <c r="M1385" s="505" t="s">
        <v>312</v>
      </c>
      <c r="N1385" s="500">
        <v>43047562190000</v>
      </c>
      <c r="O1385" s="553" t="s">
        <v>2016</v>
      </c>
      <c r="P1385" s="650" t="s">
        <v>2023</v>
      </c>
      <c r="Q1385" s="564" t="s">
        <v>583</v>
      </c>
      <c r="R1385" s="564">
        <v>1</v>
      </c>
    </row>
    <row r="1386" spans="1:19" s="501" customFormat="1" ht="15" customHeight="1" x14ac:dyDescent="0.25">
      <c r="A1386" s="553">
        <v>16</v>
      </c>
      <c r="B1386" s="553">
        <v>7</v>
      </c>
      <c r="C1386" s="553">
        <v>2</v>
      </c>
      <c r="D1386" s="553">
        <v>20</v>
      </c>
      <c r="E1386" s="553">
        <v>1</v>
      </c>
      <c r="F1386" s="553">
        <v>1</v>
      </c>
      <c r="G1386" s="553" t="s">
        <v>493</v>
      </c>
      <c r="H1386" s="553">
        <v>1315.0550000000001</v>
      </c>
      <c r="I1386" s="553">
        <v>1</v>
      </c>
      <c r="J1386" s="553">
        <v>54</v>
      </c>
      <c r="K1386" s="553">
        <v>58</v>
      </c>
      <c r="L1386" s="553">
        <v>4</v>
      </c>
      <c r="M1386" s="505" t="s">
        <v>312</v>
      </c>
      <c r="N1386" s="500">
        <v>43047562190000</v>
      </c>
      <c r="O1386" s="553" t="s">
        <v>2016</v>
      </c>
      <c r="P1386" s="650" t="s">
        <v>2024</v>
      </c>
      <c r="Q1386" s="564" t="s">
        <v>583</v>
      </c>
      <c r="R1386" s="564">
        <v>1</v>
      </c>
    </row>
    <row r="1387" spans="1:19" s="501" customFormat="1" ht="15" customHeight="1" x14ac:dyDescent="0.25">
      <c r="A1387" s="553">
        <v>16</v>
      </c>
      <c r="B1387" s="553">
        <v>7</v>
      </c>
      <c r="C1387" s="553">
        <v>2</v>
      </c>
      <c r="D1387" s="553">
        <v>20</v>
      </c>
      <c r="E1387" s="553">
        <v>1</v>
      </c>
      <c r="F1387" s="553">
        <v>1</v>
      </c>
      <c r="G1387" s="553" t="s">
        <v>474</v>
      </c>
      <c r="H1387" s="553">
        <v>1331.82</v>
      </c>
      <c r="I1387" s="553">
        <v>88</v>
      </c>
      <c r="J1387" s="553">
        <v>19</v>
      </c>
      <c r="K1387" s="553">
        <v>28</v>
      </c>
      <c r="L1387" s="553">
        <v>3</v>
      </c>
      <c r="M1387" s="505" t="s">
        <v>312</v>
      </c>
      <c r="N1387" s="500">
        <v>43047562190000</v>
      </c>
      <c r="O1387" s="553" t="s">
        <v>2016</v>
      </c>
      <c r="P1387" s="650" t="s">
        <v>2025</v>
      </c>
      <c r="Q1387" s="564" t="s">
        <v>583</v>
      </c>
      <c r="R1387" s="564">
        <v>1</v>
      </c>
    </row>
    <row r="1388" spans="1:19" s="501" customFormat="1" ht="15" customHeight="1" x14ac:dyDescent="0.25">
      <c r="A1388" s="553">
        <v>16</v>
      </c>
      <c r="B1388" s="553">
        <v>7</v>
      </c>
      <c r="C1388" s="553">
        <v>2</v>
      </c>
      <c r="D1388" s="553">
        <v>20</v>
      </c>
      <c r="E1388" s="553">
        <v>1</v>
      </c>
      <c r="F1388" s="553">
        <v>1</v>
      </c>
      <c r="G1388" s="502" t="s">
        <v>477</v>
      </c>
      <c r="H1388" s="553">
        <v>1331.82</v>
      </c>
      <c r="I1388" s="553">
        <v>88</v>
      </c>
      <c r="J1388" s="553">
        <v>19</v>
      </c>
      <c r="K1388" s="553">
        <v>28</v>
      </c>
      <c r="L1388" s="553">
        <v>3</v>
      </c>
      <c r="M1388" s="505" t="s">
        <v>312</v>
      </c>
      <c r="N1388" s="500">
        <v>43047562190000</v>
      </c>
      <c r="O1388" s="553" t="s">
        <v>2016</v>
      </c>
      <c r="P1388" s="650" t="s">
        <v>2026</v>
      </c>
      <c r="Q1388" s="564" t="s">
        <v>583</v>
      </c>
      <c r="R1388" s="564">
        <v>1</v>
      </c>
    </row>
    <row r="1389" spans="1:19" s="501" customFormat="1" ht="15" customHeight="1" x14ac:dyDescent="0.25">
      <c r="A1389" s="553">
        <v>16</v>
      </c>
      <c r="B1389" s="553">
        <v>7</v>
      </c>
      <c r="C1389" s="553">
        <v>2</v>
      </c>
      <c r="D1389" s="553">
        <v>20</v>
      </c>
      <c r="E1389" s="553">
        <v>1</v>
      </c>
      <c r="F1389" s="553">
        <v>1</v>
      </c>
      <c r="G1389" s="553" t="s">
        <v>479</v>
      </c>
      <c r="H1389" s="553">
        <v>1330.125</v>
      </c>
      <c r="I1389" s="553">
        <v>89</v>
      </c>
      <c r="J1389" s="553">
        <v>4</v>
      </c>
      <c r="K1389" s="553">
        <v>56</v>
      </c>
      <c r="L1389" s="553">
        <v>3</v>
      </c>
      <c r="M1389" s="505" t="s">
        <v>312</v>
      </c>
      <c r="N1389" s="500">
        <v>43047562190000</v>
      </c>
      <c r="O1389" s="553" t="s">
        <v>2016</v>
      </c>
      <c r="P1389" s="650" t="s">
        <v>2027</v>
      </c>
      <c r="Q1389" s="564" t="s">
        <v>583</v>
      </c>
      <c r="R1389" s="564">
        <v>1</v>
      </c>
    </row>
    <row r="1390" spans="1:19" s="501" customFormat="1" ht="15" customHeight="1" x14ac:dyDescent="0.25">
      <c r="A1390" s="553">
        <v>16</v>
      </c>
      <c r="B1390" s="553">
        <v>7</v>
      </c>
      <c r="C1390" s="553">
        <v>2</v>
      </c>
      <c r="D1390" s="553">
        <v>20</v>
      </c>
      <c r="E1390" s="553">
        <v>1</v>
      </c>
      <c r="F1390" s="553">
        <v>1</v>
      </c>
      <c r="G1390" s="553" t="s">
        <v>485</v>
      </c>
      <c r="H1390" s="553">
        <v>1330.125</v>
      </c>
      <c r="I1390" s="553">
        <v>89</v>
      </c>
      <c r="J1390" s="553">
        <v>4</v>
      </c>
      <c r="K1390" s="553">
        <v>56</v>
      </c>
      <c r="L1390" s="553">
        <v>3</v>
      </c>
      <c r="M1390" s="505" t="s">
        <v>312</v>
      </c>
      <c r="N1390" s="500">
        <v>43047562190000</v>
      </c>
      <c r="O1390" s="553" t="s">
        <v>2016</v>
      </c>
      <c r="P1390" s="650" t="s">
        <v>2028</v>
      </c>
      <c r="Q1390" s="564" t="s">
        <v>583</v>
      </c>
      <c r="R1390" s="564">
        <v>1</v>
      </c>
    </row>
    <row r="1391" spans="1:19" s="501" customFormat="1" ht="15" customHeight="1" x14ac:dyDescent="0.25">
      <c r="A1391" s="553">
        <v>16</v>
      </c>
      <c r="B1391" s="553">
        <v>7</v>
      </c>
      <c r="C1391" s="553">
        <v>2</v>
      </c>
      <c r="D1391" s="553">
        <v>20</v>
      </c>
      <c r="E1391" s="553">
        <v>1</v>
      </c>
      <c r="F1391" s="553">
        <v>1</v>
      </c>
      <c r="G1391" s="553" t="s">
        <v>487</v>
      </c>
      <c r="H1391" s="553">
        <v>1334.5050000000001</v>
      </c>
      <c r="I1391" s="553">
        <v>88</v>
      </c>
      <c r="J1391" s="553">
        <v>4</v>
      </c>
      <c r="K1391" s="553">
        <v>28</v>
      </c>
      <c r="L1391" s="553">
        <v>3</v>
      </c>
      <c r="M1391" s="505" t="s">
        <v>312</v>
      </c>
      <c r="N1391" s="500">
        <v>43047562190000</v>
      </c>
      <c r="O1391" s="553" t="s">
        <v>2016</v>
      </c>
      <c r="P1391" s="650" t="s">
        <v>2029</v>
      </c>
      <c r="Q1391" s="564" t="s">
        <v>583</v>
      </c>
      <c r="R1391" s="564">
        <v>1</v>
      </c>
    </row>
    <row r="1392" spans="1:19" s="501" customFormat="1" ht="15" customHeight="1" x14ac:dyDescent="0.25">
      <c r="A1392" s="553">
        <v>16</v>
      </c>
      <c r="B1392" s="553">
        <v>7</v>
      </c>
      <c r="C1392" s="553">
        <v>2</v>
      </c>
      <c r="D1392" s="553">
        <v>20</v>
      </c>
      <c r="E1392" s="553">
        <v>1</v>
      </c>
      <c r="F1392" s="553">
        <v>1</v>
      </c>
      <c r="G1392" s="502" t="s">
        <v>489</v>
      </c>
      <c r="H1392" s="553">
        <v>1334.5050000000001</v>
      </c>
      <c r="I1392" s="553">
        <v>88</v>
      </c>
      <c r="J1392" s="553">
        <v>4</v>
      </c>
      <c r="K1392" s="553">
        <v>28</v>
      </c>
      <c r="L1392" s="553">
        <v>3</v>
      </c>
      <c r="M1392" s="505" t="s">
        <v>312</v>
      </c>
      <c r="N1392" s="500">
        <v>43047562190000</v>
      </c>
      <c r="O1392" s="553" t="s">
        <v>2016</v>
      </c>
      <c r="P1392" s="650" t="s">
        <v>2030</v>
      </c>
      <c r="Q1392" s="564" t="s">
        <v>583</v>
      </c>
      <c r="R1392" s="564">
        <v>1</v>
      </c>
    </row>
    <row r="1393" spans="1:18" s="501" customFormat="1" ht="15" customHeight="1" x14ac:dyDescent="0.25">
      <c r="A1393" s="553">
        <v>16</v>
      </c>
      <c r="B1393" s="553">
        <v>7</v>
      </c>
      <c r="C1393" s="553">
        <v>2</v>
      </c>
      <c r="D1393" s="553">
        <v>20</v>
      </c>
      <c r="E1393" s="553">
        <v>1</v>
      </c>
      <c r="F1393" s="553">
        <v>1</v>
      </c>
      <c r="G1393" s="553" t="s">
        <v>491</v>
      </c>
      <c r="H1393" s="553">
        <v>1333.1849999999999</v>
      </c>
      <c r="I1393" s="553">
        <v>88</v>
      </c>
      <c r="J1393" s="553">
        <v>2</v>
      </c>
      <c r="K1393" s="553">
        <v>28</v>
      </c>
      <c r="L1393" s="553">
        <v>3</v>
      </c>
      <c r="M1393" s="505" t="s">
        <v>312</v>
      </c>
      <c r="N1393" s="500">
        <v>43047562190000</v>
      </c>
      <c r="O1393" s="553" t="s">
        <v>2016</v>
      </c>
      <c r="P1393" s="650" t="s">
        <v>2031</v>
      </c>
      <c r="Q1393" s="564" t="s">
        <v>583</v>
      </c>
      <c r="R1393" s="564">
        <v>1</v>
      </c>
    </row>
    <row r="1394" spans="1:18" s="501" customFormat="1" ht="15" customHeight="1" x14ac:dyDescent="0.25">
      <c r="A1394" s="553">
        <v>16</v>
      </c>
      <c r="B1394" s="553">
        <v>7</v>
      </c>
      <c r="C1394" s="553">
        <v>2</v>
      </c>
      <c r="D1394" s="553">
        <v>20</v>
      </c>
      <c r="E1394" s="553">
        <v>1</v>
      </c>
      <c r="F1394" s="553">
        <v>1</v>
      </c>
      <c r="G1394" s="553" t="s">
        <v>494</v>
      </c>
      <c r="H1394" s="553">
        <v>1333.1849999999999</v>
      </c>
      <c r="I1394" s="553">
        <v>88</v>
      </c>
      <c r="J1394" s="553">
        <v>2</v>
      </c>
      <c r="K1394" s="553">
        <v>28</v>
      </c>
      <c r="L1394" s="553">
        <v>3</v>
      </c>
      <c r="M1394" s="505" t="s">
        <v>312</v>
      </c>
      <c r="N1394" s="500">
        <v>43047562190000</v>
      </c>
      <c r="O1394" s="553" t="s">
        <v>2016</v>
      </c>
      <c r="P1394" s="650" t="s">
        <v>2032</v>
      </c>
      <c r="Q1394" s="564" t="s">
        <v>583</v>
      </c>
      <c r="R1394" s="564">
        <v>1</v>
      </c>
    </row>
    <row r="1395" spans="1:18" ht="15" customHeight="1" x14ac:dyDescent="0.25">
      <c r="A1395" s="553">
        <v>16</v>
      </c>
      <c r="B1395" s="553">
        <v>7</v>
      </c>
      <c r="C1395" s="553">
        <v>2</v>
      </c>
      <c r="D1395" s="553">
        <v>23</v>
      </c>
      <c r="E1395" s="553">
        <v>1</v>
      </c>
      <c r="F1395" s="553">
        <v>1</v>
      </c>
      <c r="G1395" s="553" t="s">
        <v>473</v>
      </c>
      <c r="H1395" s="553">
        <v>1326.7349999999999</v>
      </c>
      <c r="I1395" s="553">
        <v>0</v>
      </c>
      <c r="J1395" s="553">
        <v>8</v>
      </c>
      <c r="K1395" s="553">
        <v>1</v>
      </c>
      <c r="L1395" s="553">
        <v>4</v>
      </c>
      <c r="M1395" s="505" t="s">
        <v>137</v>
      </c>
      <c r="N1395" s="500">
        <v>43047562280000</v>
      </c>
      <c r="O1395" s="553" t="s">
        <v>2033</v>
      </c>
      <c r="P1395" s="650" t="s">
        <v>2034</v>
      </c>
      <c r="Q1395" s="564" t="s">
        <v>583</v>
      </c>
      <c r="R1395" s="564">
        <v>2</v>
      </c>
    </row>
    <row r="1396" spans="1:18" ht="15" customHeight="1" x14ac:dyDescent="0.25">
      <c r="A1396" s="553">
        <v>16</v>
      </c>
      <c r="B1396" s="553">
        <v>7</v>
      </c>
      <c r="C1396" s="553">
        <v>2</v>
      </c>
      <c r="D1396" s="553">
        <v>23</v>
      </c>
      <c r="E1396" s="553">
        <v>1</v>
      </c>
      <c r="F1396" s="553">
        <v>1</v>
      </c>
      <c r="G1396" s="502" t="s">
        <v>476</v>
      </c>
      <c r="H1396" s="553">
        <v>1326.7349999999999</v>
      </c>
      <c r="I1396" s="553">
        <v>0</v>
      </c>
      <c r="J1396" s="553">
        <v>8</v>
      </c>
      <c r="K1396" s="553">
        <v>1</v>
      </c>
      <c r="L1396" s="553">
        <v>4</v>
      </c>
      <c r="M1396" s="505" t="s">
        <v>137</v>
      </c>
      <c r="N1396" s="500">
        <v>43047562280000</v>
      </c>
      <c r="O1396" s="553" t="s">
        <v>2033</v>
      </c>
      <c r="P1396" s="650" t="s">
        <v>2035</v>
      </c>
      <c r="Q1396" s="564" t="s">
        <v>583</v>
      </c>
      <c r="R1396" s="564">
        <v>2</v>
      </c>
    </row>
    <row r="1397" spans="1:18" ht="15" customHeight="1" x14ac:dyDescent="0.25">
      <c r="A1397" s="553">
        <v>16</v>
      </c>
      <c r="B1397" s="553">
        <v>7</v>
      </c>
      <c r="C1397" s="553">
        <v>2</v>
      </c>
      <c r="D1397" s="553">
        <v>23</v>
      </c>
      <c r="E1397" s="553">
        <v>1</v>
      </c>
      <c r="F1397" s="553">
        <v>1</v>
      </c>
      <c r="G1397" s="553" t="s">
        <v>478</v>
      </c>
      <c r="H1397" s="553">
        <v>1319.8150000000001</v>
      </c>
      <c r="I1397" s="553">
        <v>0</v>
      </c>
      <c r="J1397" s="553">
        <v>8</v>
      </c>
      <c r="K1397" s="553">
        <v>6</v>
      </c>
      <c r="L1397" s="553">
        <v>4</v>
      </c>
      <c r="M1397" s="505" t="s">
        <v>137</v>
      </c>
      <c r="N1397" s="500">
        <v>43047562280000</v>
      </c>
      <c r="O1397" s="553" t="s">
        <v>2033</v>
      </c>
      <c r="P1397" s="650" t="s">
        <v>2036</v>
      </c>
      <c r="Q1397" s="564" t="s">
        <v>583</v>
      </c>
      <c r="R1397" s="564">
        <v>2</v>
      </c>
    </row>
    <row r="1398" spans="1:18" ht="15" customHeight="1" x14ac:dyDescent="0.25">
      <c r="A1398" s="553">
        <v>16</v>
      </c>
      <c r="B1398" s="553">
        <v>7</v>
      </c>
      <c r="C1398" s="553">
        <v>2</v>
      </c>
      <c r="D1398" s="553">
        <v>23</v>
      </c>
      <c r="E1398" s="553">
        <v>1</v>
      </c>
      <c r="F1398" s="553">
        <v>1</v>
      </c>
      <c r="G1398" s="553" t="s">
        <v>484</v>
      </c>
      <c r="H1398" s="553">
        <v>1319.8150000000001</v>
      </c>
      <c r="I1398" s="553">
        <v>0</v>
      </c>
      <c r="J1398" s="553">
        <v>8</v>
      </c>
      <c r="K1398" s="553">
        <v>6</v>
      </c>
      <c r="L1398" s="553">
        <v>4</v>
      </c>
      <c r="M1398" s="505" t="s">
        <v>137</v>
      </c>
      <c r="N1398" s="500">
        <v>43047562280000</v>
      </c>
      <c r="O1398" s="553" t="s">
        <v>2033</v>
      </c>
      <c r="P1398" s="650" t="s">
        <v>2037</v>
      </c>
      <c r="Q1398" s="564" t="s">
        <v>583</v>
      </c>
      <c r="R1398" s="564">
        <v>2</v>
      </c>
    </row>
    <row r="1399" spans="1:18" ht="15" customHeight="1" x14ac:dyDescent="0.25">
      <c r="A1399" s="553">
        <v>16</v>
      </c>
      <c r="B1399" s="553">
        <v>7</v>
      </c>
      <c r="C1399" s="553">
        <v>2</v>
      </c>
      <c r="D1399" s="553">
        <v>23</v>
      </c>
      <c r="E1399" s="553">
        <v>1</v>
      </c>
      <c r="F1399" s="553">
        <v>1</v>
      </c>
      <c r="G1399" s="553" t="s">
        <v>486</v>
      </c>
      <c r="H1399" s="553">
        <v>1320.1125</v>
      </c>
      <c r="I1399" s="553">
        <v>0</v>
      </c>
      <c r="J1399" s="553">
        <v>11</v>
      </c>
      <c r="K1399" s="553">
        <v>3</v>
      </c>
      <c r="L1399" s="553">
        <v>1</v>
      </c>
      <c r="M1399" s="505" t="s">
        <v>137</v>
      </c>
      <c r="N1399" s="500">
        <v>43047562280000</v>
      </c>
      <c r="O1399" s="553" t="s">
        <v>2033</v>
      </c>
      <c r="P1399" s="650" t="s">
        <v>2038</v>
      </c>
      <c r="Q1399" s="564" t="s">
        <v>583</v>
      </c>
      <c r="R1399" s="564">
        <v>2</v>
      </c>
    </row>
    <row r="1400" spans="1:18" ht="15" customHeight="1" x14ac:dyDescent="0.25">
      <c r="A1400" s="553">
        <v>16</v>
      </c>
      <c r="B1400" s="553">
        <v>7</v>
      </c>
      <c r="C1400" s="553">
        <v>2</v>
      </c>
      <c r="D1400" s="553">
        <v>23</v>
      </c>
      <c r="E1400" s="553">
        <v>1</v>
      </c>
      <c r="F1400" s="553">
        <v>1</v>
      </c>
      <c r="G1400" s="502" t="s">
        <v>488</v>
      </c>
      <c r="H1400" s="553">
        <v>1320.1125</v>
      </c>
      <c r="I1400" s="553">
        <v>0</v>
      </c>
      <c r="J1400" s="553">
        <v>11</v>
      </c>
      <c r="K1400" s="553">
        <v>3</v>
      </c>
      <c r="L1400" s="553">
        <v>1</v>
      </c>
      <c r="M1400" s="505" t="s">
        <v>137</v>
      </c>
      <c r="N1400" s="500">
        <v>43047562280000</v>
      </c>
      <c r="O1400" s="553" t="s">
        <v>2033</v>
      </c>
      <c r="P1400" s="650" t="s">
        <v>2039</v>
      </c>
      <c r="Q1400" s="564" t="s">
        <v>583</v>
      </c>
      <c r="R1400" s="564">
        <v>2</v>
      </c>
    </row>
    <row r="1401" spans="1:18" ht="15" customHeight="1" x14ac:dyDescent="0.25">
      <c r="A1401" s="553">
        <v>16</v>
      </c>
      <c r="B1401" s="553">
        <v>7</v>
      </c>
      <c r="C1401" s="553">
        <v>2</v>
      </c>
      <c r="D1401" s="553">
        <v>23</v>
      </c>
      <c r="E1401" s="553">
        <v>1</v>
      </c>
      <c r="F1401" s="553">
        <v>1</v>
      </c>
      <c r="G1401" s="553" t="s">
        <v>490</v>
      </c>
      <c r="H1401" s="553">
        <v>1320.1125</v>
      </c>
      <c r="I1401" s="553">
        <v>0</v>
      </c>
      <c r="J1401" s="553">
        <v>11</v>
      </c>
      <c r="K1401" s="553">
        <v>3</v>
      </c>
      <c r="L1401" s="553">
        <v>1</v>
      </c>
      <c r="M1401" s="505" t="s">
        <v>137</v>
      </c>
      <c r="N1401" s="500">
        <v>43047562280000</v>
      </c>
      <c r="O1401" s="553" t="s">
        <v>2033</v>
      </c>
      <c r="P1401" s="650" t="s">
        <v>2040</v>
      </c>
      <c r="Q1401" s="564" t="s">
        <v>583</v>
      </c>
      <c r="R1401" s="564">
        <v>2</v>
      </c>
    </row>
    <row r="1402" spans="1:18" ht="15" customHeight="1" x14ac:dyDescent="0.25">
      <c r="A1402" s="553">
        <v>16</v>
      </c>
      <c r="B1402" s="553">
        <v>7</v>
      </c>
      <c r="C1402" s="553">
        <v>2</v>
      </c>
      <c r="D1402" s="553">
        <v>23</v>
      </c>
      <c r="E1402" s="553">
        <v>1</v>
      </c>
      <c r="F1402" s="553">
        <v>1</v>
      </c>
      <c r="G1402" s="553" t="s">
        <v>493</v>
      </c>
      <c r="H1402" s="553">
        <v>1320.1125</v>
      </c>
      <c r="I1402" s="553">
        <v>0</v>
      </c>
      <c r="J1402" s="553">
        <v>11</v>
      </c>
      <c r="K1402" s="553">
        <v>3</v>
      </c>
      <c r="L1402" s="553">
        <v>1</v>
      </c>
      <c r="M1402" s="505" t="s">
        <v>137</v>
      </c>
      <c r="N1402" s="500">
        <v>43047562280000</v>
      </c>
      <c r="O1402" s="553" t="s">
        <v>2033</v>
      </c>
      <c r="P1402" s="650" t="s">
        <v>2041</v>
      </c>
      <c r="Q1402" s="564" t="s">
        <v>583</v>
      </c>
      <c r="R1402" s="564">
        <v>2</v>
      </c>
    </row>
    <row r="1403" spans="1:18" ht="15" customHeight="1" x14ac:dyDescent="0.25">
      <c r="A1403" s="553">
        <v>16</v>
      </c>
      <c r="B1403" s="553">
        <v>7</v>
      </c>
      <c r="C1403" s="553">
        <v>2</v>
      </c>
      <c r="D1403" s="553">
        <v>23</v>
      </c>
      <c r="E1403" s="553">
        <v>1</v>
      </c>
      <c r="F1403" s="553">
        <v>1</v>
      </c>
      <c r="G1403" s="553" t="s">
        <v>474</v>
      </c>
      <c r="H1403" s="553">
        <v>1319.105</v>
      </c>
      <c r="I1403" s="553">
        <v>89</v>
      </c>
      <c r="J1403" s="553">
        <v>54</v>
      </c>
      <c r="K1403" s="553">
        <v>0</v>
      </c>
      <c r="L1403" s="553">
        <v>2</v>
      </c>
      <c r="M1403" s="505" t="s">
        <v>137</v>
      </c>
      <c r="N1403" s="500">
        <v>43047562280000</v>
      </c>
      <c r="O1403" s="553" t="s">
        <v>2033</v>
      </c>
      <c r="P1403" s="650" t="s">
        <v>2042</v>
      </c>
      <c r="Q1403" s="564" t="s">
        <v>583</v>
      </c>
      <c r="R1403" s="564">
        <v>2</v>
      </c>
    </row>
    <row r="1404" spans="1:18" ht="15" customHeight="1" x14ac:dyDescent="0.25">
      <c r="A1404" s="553">
        <v>16</v>
      </c>
      <c r="B1404" s="553">
        <v>7</v>
      </c>
      <c r="C1404" s="553">
        <v>2</v>
      </c>
      <c r="D1404" s="553">
        <v>23</v>
      </c>
      <c r="E1404" s="553">
        <v>1</v>
      </c>
      <c r="F1404" s="553">
        <v>1</v>
      </c>
      <c r="G1404" s="502" t="s">
        <v>477</v>
      </c>
      <c r="H1404" s="553">
        <v>1319.105</v>
      </c>
      <c r="I1404" s="553">
        <v>89</v>
      </c>
      <c r="J1404" s="553">
        <v>54</v>
      </c>
      <c r="K1404" s="553">
        <v>0</v>
      </c>
      <c r="L1404" s="553">
        <v>2</v>
      </c>
      <c r="M1404" s="505" t="s">
        <v>137</v>
      </c>
      <c r="N1404" s="500">
        <v>43047562280000</v>
      </c>
      <c r="O1404" s="553" t="s">
        <v>2033</v>
      </c>
      <c r="P1404" s="650" t="s">
        <v>2043</v>
      </c>
      <c r="Q1404" s="564" t="s">
        <v>583</v>
      </c>
      <c r="R1404" s="564">
        <v>2</v>
      </c>
    </row>
    <row r="1405" spans="1:18" ht="15" customHeight="1" x14ac:dyDescent="0.25">
      <c r="A1405" s="553">
        <v>16</v>
      </c>
      <c r="B1405" s="553">
        <v>7</v>
      </c>
      <c r="C1405" s="553">
        <v>2</v>
      </c>
      <c r="D1405" s="553">
        <v>23</v>
      </c>
      <c r="E1405" s="553">
        <v>1</v>
      </c>
      <c r="F1405" s="553">
        <v>1</v>
      </c>
      <c r="G1405" s="553" t="s">
        <v>479</v>
      </c>
      <c r="H1405" s="553">
        <v>1317.16</v>
      </c>
      <c r="I1405" s="553">
        <v>89</v>
      </c>
      <c r="J1405" s="553">
        <v>48</v>
      </c>
      <c r="K1405" s="553">
        <v>59</v>
      </c>
      <c r="L1405" s="553">
        <v>3</v>
      </c>
      <c r="M1405" s="505" t="s">
        <v>137</v>
      </c>
      <c r="N1405" s="500">
        <v>43047562280000</v>
      </c>
      <c r="O1405" s="553" t="s">
        <v>2033</v>
      </c>
      <c r="P1405" s="650" t="s">
        <v>2044</v>
      </c>
      <c r="Q1405" s="564" t="s">
        <v>583</v>
      </c>
      <c r="R1405" s="564">
        <v>2</v>
      </c>
    </row>
    <row r="1406" spans="1:18" ht="15" customHeight="1" x14ac:dyDescent="0.25">
      <c r="A1406" s="553">
        <v>16</v>
      </c>
      <c r="B1406" s="553">
        <v>7</v>
      </c>
      <c r="C1406" s="553">
        <v>2</v>
      </c>
      <c r="D1406" s="553">
        <v>23</v>
      </c>
      <c r="E1406" s="553">
        <v>1</v>
      </c>
      <c r="F1406" s="553">
        <v>1</v>
      </c>
      <c r="G1406" s="553" t="s">
        <v>485</v>
      </c>
      <c r="H1406" s="553">
        <v>1317.16</v>
      </c>
      <c r="I1406" s="553">
        <v>89</v>
      </c>
      <c r="J1406" s="553">
        <v>48</v>
      </c>
      <c r="K1406" s="553">
        <v>59</v>
      </c>
      <c r="L1406" s="553">
        <v>3</v>
      </c>
      <c r="M1406" s="505" t="s">
        <v>137</v>
      </c>
      <c r="N1406" s="500">
        <v>43047562280000</v>
      </c>
      <c r="O1406" s="553" t="s">
        <v>2033</v>
      </c>
      <c r="P1406" s="650" t="s">
        <v>2045</v>
      </c>
      <c r="Q1406" s="564" t="s">
        <v>583</v>
      </c>
      <c r="R1406" s="564">
        <v>2</v>
      </c>
    </row>
    <row r="1407" spans="1:18" ht="15" customHeight="1" x14ac:dyDescent="0.25">
      <c r="A1407" s="553">
        <v>16</v>
      </c>
      <c r="B1407" s="553">
        <v>7</v>
      </c>
      <c r="C1407" s="553">
        <v>2</v>
      </c>
      <c r="D1407" s="553">
        <v>23</v>
      </c>
      <c r="E1407" s="553">
        <v>1</v>
      </c>
      <c r="F1407" s="553">
        <v>1</v>
      </c>
      <c r="G1407" s="553" t="s">
        <v>487</v>
      </c>
      <c r="H1407" s="553">
        <v>1319.2349999999999</v>
      </c>
      <c r="I1407" s="553">
        <v>89</v>
      </c>
      <c r="J1407" s="553">
        <v>52</v>
      </c>
      <c r="K1407" s="553">
        <v>27</v>
      </c>
      <c r="L1407" s="553">
        <v>3</v>
      </c>
      <c r="M1407" s="505" t="s">
        <v>137</v>
      </c>
      <c r="N1407" s="500">
        <v>43047562280000</v>
      </c>
      <c r="O1407" s="553" t="s">
        <v>2033</v>
      </c>
      <c r="P1407" s="650" t="s">
        <v>2046</v>
      </c>
      <c r="Q1407" s="564" t="s">
        <v>583</v>
      </c>
      <c r="R1407" s="564">
        <v>2</v>
      </c>
    </row>
    <row r="1408" spans="1:18" ht="15" customHeight="1" x14ac:dyDescent="0.25">
      <c r="A1408" s="553">
        <v>16</v>
      </c>
      <c r="B1408" s="553">
        <v>7</v>
      </c>
      <c r="C1408" s="553">
        <v>2</v>
      </c>
      <c r="D1408" s="553">
        <v>23</v>
      </c>
      <c r="E1408" s="553">
        <v>1</v>
      </c>
      <c r="F1408" s="553">
        <v>1</v>
      </c>
      <c r="G1408" s="502" t="s">
        <v>489</v>
      </c>
      <c r="H1408" s="553">
        <v>1319.2349999999999</v>
      </c>
      <c r="I1408" s="553">
        <v>89</v>
      </c>
      <c r="J1408" s="553">
        <v>52</v>
      </c>
      <c r="K1408" s="553">
        <v>27</v>
      </c>
      <c r="L1408" s="553">
        <v>3</v>
      </c>
      <c r="M1408" s="505" t="s">
        <v>137</v>
      </c>
      <c r="N1408" s="500">
        <v>43047562280000</v>
      </c>
      <c r="O1408" s="553" t="s">
        <v>2033</v>
      </c>
      <c r="P1408" s="650" t="s">
        <v>2047</v>
      </c>
      <c r="Q1408" s="564" t="s">
        <v>583</v>
      </c>
      <c r="R1408" s="564">
        <v>2</v>
      </c>
    </row>
    <row r="1409" spans="1:18" ht="15" customHeight="1" x14ac:dyDescent="0.25">
      <c r="A1409" s="553">
        <v>16</v>
      </c>
      <c r="B1409" s="553">
        <v>7</v>
      </c>
      <c r="C1409" s="553">
        <v>2</v>
      </c>
      <c r="D1409" s="553">
        <v>23</v>
      </c>
      <c r="E1409" s="553">
        <v>1</v>
      </c>
      <c r="F1409" s="553">
        <v>1</v>
      </c>
      <c r="G1409" s="553" t="s">
        <v>491</v>
      </c>
      <c r="H1409" s="553">
        <v>1319.325</v>
      </c>
      <c r="I1409" s="553">
        <v>89</v>
      </c>
      <c r="J1409" s="553">
        <v>51</v>
      </c>
      <c r="K1409" s="553">
        <v>15</v>
      </c>
      <c r="L1409" s="553">
        <v>3</v>
      </c>
      <c r="M1409" s="505" t="s">
        <v>137</v>
      </c>
      <c r="N1409" s="500">
        <v>43047562280000</v>
      </c>
      <c r="O1409" s="553" t="s">
        <v>2033</v>
      </c>
      <c r="P1409" s="650" t="s">
        <v>2048</v>
      </c>
      <c r="Q1409" s="564" t="s">
        <v>583</v>
      </c>
      <c r="R1409" s="564">
        <v>2</v>
      </c>
    </row>
    <row r="1410" spans="1:18" ht="15" customHeight="1" x14ac:dyDescent="0.25">
      <c r="A1410" s="553">
        <v>16</v>
      </c>
      <c r="B1410" s="553">
        <v>7</v>
      </c>
      <c r="C1410" s="553">
        <v>2</v>
      </c>
      <c r="D1410" s="553">
        <v>23</v>
      </c>
      <c r="E1410" s="553">
        <v>1</v>
      </c>
      <c r="F1410" s="553">
        <v>1</v>
      </c>
      <c r="G1410" s="553" t="s">
        <v>494</v>
      </c>
      <c r="H1410" s="553">
        <v>1319.325</v>
      </c>
      <c r="I1410" s="553">
        <v>89</v>
      </c>
      <c r="J1410" s="553">
        <v>51</v>
      </c>
      <c r="K1410" s="553">
        <v>15</v>
      </c>
      <c r="L1410" s="553">
        <v>3</v>
      </c>
      <c r="M1410" s="505" t="s">
        <v>137</v>
      </c>
      <c r="N1410" s="500">
        <v>43047562280000</v>
      </c>
      <c r="O1410" s="553" t="s">
        <v>2033</v>
      </c>
      <c r="P1410" s="650" t="s">
        <v>2049</v>
      </c>
      <c r="Q1410" s="564" t="s">
        <v>583</v>
      </c>
      <c r="R1410" s="564">
        <v>2</v>
      </c>
    </row>
    <row r="1411" spans="1:18" ht="15" customHeight="1" x14ac:dyDescent="0.25">
      <c r="A1411" s="553">
        <v>16</v>
      </c>
      <c r="B1411" s="553">
        <v>2</v>
      </c>
      <c r="C1411" s="553">
        <v>2</v>
      </c>
      <c r="D1411" s="553">
        <v>1</v>
      </c>
      <c r="E1411" s="553">
        <v>2</v>
      </c>
      <c r="F1411" s="553">
        <v>2</v>
      </c>
      <c r="G1411" s="553" t="s">
        <v>473</v>
      </c>
      <c r="H1411" s="553">
        <v>1323.585</v>
      </c>
      <c r="I1411" s="553">
        <v>0</v>
      </c>
      <c r="J1411" s="553">
        <v>20</v>
      </c>
      <c r="K1411" s="553">
        <v>41</v>
      </c>
      <c r="L1411" s="553">
        <v>4</v>
      </c>
      <c r="M1411" s="505" t="s">
        <v>137</v>
      </c>
      <c r="N1411" s="500">
        <v>43013539170000</v>
      </c>
      <c r="O1411" s="553" t="s">
        <v>1897</v>
      </c>
      <c r="P1411" s="650" t="s">
        <v>2050</v>
      </c>
      <c r="Q1411" s="564" t="s">
        <v>583</v>
      </c>
      <c r="R1411" s="564">
        <v>1</v>
      </c>
    </row>
    <row r="1412" spans="1:18" ht="15" customHeight="1" x14ac:dyDescent="0.25">
      <c r="A1412" s="553">
        <v>16</v>
      </c>
      <c r="B1412" s="553">
        <v>2</v>
      </c>
      <c r="C1412" s="553">
        <v>2</v>
      </c>
      <c r="D1412" s="553">
        <v>1</v>
      </c>
      <c r="E1412" s="553">
        <v>2</v>
      </c>
      <c r="F1412" s="553">
        <v>2</v>
      </c>
      <c r="G1412" s="502" t="s">
        <v>476</v>
      </c>
      <c r="H1412" s="553">
        <v>1323.585</v>
      </c>
      <c r="I1412" s="553">
        <v>0</v>
      </c>
      <c r="J1412" s="553">
        <v>20</v>
      </c>
      <c r="K1412" s="553">
        <v>41</v>
      </c>
      <c r="L1412" s="553">
        <v>4</v>
      </c>
      <c r="M1412" s="505" t="s">
        <v>137</v>
      </c>
      <c r="N1412" s="500">
        <v>43013539170000</v>
      </c>
      <c r="O1412" s="553" t="s">
        <v>1897</v>
      </c>
      <c r="P1412" s="650" t="s">
        <v>2051</v>
      </c>
      <c r="Q1412" s="564" t="s">
        <v>583</v>
      </c>
      <c r="R1412" s="564">
        <v>1</v>
      </c>
    </row>
    <row r="1413" spans="1:18" ht="15" customHeight="1" x14ac:dyDescent="0.25">
      <c r="A1413" s="553">
        <v>16</v>
      </c>
      <c r="B1413" s="553">
        <v>2</v>
      </c>
      <c r="C1413" s="553">
        <v>2</v>
      </c>
      <c r="D1413" s="553">
        <v>1</v>
      </c>
      <c r="E1413" s="553">
        <v>2</v>
      </c>
      <c r="F1413" s="553">
        <v>2</v>
      </c>
      <c r="G1413" s="553" t="s">
        <v>478</v>
      </c>
      <c r="H1413" s="553">
        <v>1321.31</v>
      </c>
      <c r="I1413" s="553">
        <v>0</v>
      </c>
      <c r="J1413" s="553">
        <v>27</v>
      </c>
      <c r="K1413" s="553">
        <v>53</v>
      </c>
      <c r="L1413" s="553">
        <v>4</v>
      </c>
      <c r="M1413" s="505" t="s">
        <v>137</v>
      </c>
      <c r="N1413" s="500">
        <v>43013539170000</v>
      </c>
      <c r="O1413" s="553" t="s">
        <v>1897</v>
      </c>
      <c r="P1413" s="650" t="s">
        <v>2052</v>
      </c>
      <c r="Q1413" s="564" t="s">
        <v>583</v>
      </c>
      <c r="R1413" s="564">
        <v>1</v>
      </c>
    </row>
    <row r="1414" spans="1:18" ht="15" customHeight="1" x14ac:dyDescent="0.25">
      <c r="A1414" s="553">
        <v>16</v>
      </c>
      <c r="B1414" s="553">
        <v>2</v>
      </c>
      <c r="C1414" s="553">
        <v>2</v>
      </c>
      <c r="D1414" s="553">
        <v>1</v>
      </c>
      <c r="E1414" s="553">
        <v>2</v>
      </c>
      <c r="F1414" s="553">
        <v>2</v>
      </c>
      <c r="G1414" s="553" t="s">
        <v>484</v>
      </c>
      <c r="H1414" s="553">
        <v>1321.28</v>
      </c>
      <c r="I1414" s="553">
        <v>0</v>
      </c>
      <c r="J1414" s="553">
        <v>27</v>
      </c>
      <c r="K1414" s="553">
        <v>38</v>
      </c>
      <c r="L1414" s="553">
        <v>4</v>
      </c>
      <c r="M1414" s="505" t="s">
        <v>137</v>
      </c>
      <c r="N1414" s="500">
        <v>43013539170000</v>
      </c>
      <c r="O1414" s="553" t="s">
        <v>1897</v>
      </c>
      <c r="P1414" s="650" t="s">
        <v>2053</v>
      </c>
      <c r="Q1414" s="564" t="s">
        <v>583</v>
      </c>
      <c r="R1414" s="564">
        <v>1</v>
      </c>
    </row>
    <row r="1415" spans="1:18" ht="15" customHeight="1" x14ac:dyDescent="0.25">
      <c r="A1415" s="553">
        <v>16</v>
      </c>
      <c r="B1415" s="553">
        <v>2</v>
      </c>
      <c r="C1415" s="553">
        <v>2</v>
      </c>
      <c r="D1415" s="553">
        <v>1</v>
      </c>
      <c r="E1415" s="553">
        <v>2</v>
      </c>
      <c r="F1415" s="553">
        <v>2</v>
      </c>
      <c r="G1415" s="553" t="s">
        <v>486</v>
      </c>
      <c r="H1415" s="553">
        <v>1319.9749999999999</v>
      </c>
      <c r="I1415" s="553">
        <v>0</v>
      </c>
      <c r="J1415" s="553">
        <v>20</v>
      </c>
      <c r="K1415" s="553">
        <v>57</v>
      </c>
      <c r="L1415" s="553">
        <v>4</v>
      </c>
      <c r="M1415" s="505" t="s">
        <v>137</v>
      </c>
      <c r="N1415" s="500">
        <v>43013539170000</v>
      </c>
      <c r="O1415" s="553" t="s">
        <v>1897</v>
      </c>
      <c r="P1415" s="650" t="s">
        <v>2054</v>
      </c>
      <c r="Q1415" s="564" t="s">
        <v>583</v>
      </c>
      <c r="R1415" s="564">
        <v>1</v>
      </c>
    </row>
    <row r="1416" spans="1:18" ht="15" customHeight="1" x14ac:dyDescent="0.25">
      <c r="A1416" s="553">
        <v>16</v>
      </c>
      <c r="B1416" s="553">
        <v>2</v>
      </c>
      <c r="C1416" s="553">
        <v>2</v>
      </c>
      <c r="D1416" s="553">
        <v>1</v>
      </c>
      <c r="E1416" s="553">
        <v>2</v>
      </c>
      <c r="F1416" s="553">
        <v>2</v>
      </c>
      <c r="G1416" s="502" t="s">
        <v>488</v>
      </c>
      <c r="H1416" s="553">
        <v>1319.9749999999999</v>
      </c>
      <c r="I1416" s="553">
        <v>0</v>
      </c>
      <c r="J1416" s="553">
        <v>20</v>
      </c>
      <c r="K1416" s="553">
        <v>57</v>
      </c>
      <c r="L1416" s="553">
        <v>4</v>
      </c>
      <c r="M1416" s="505" t="s">
        <v>137</v>
      </c>
      <c r="N1416" s="500">
        <v>43013539170000</v>
      </c>
      <c r="O1416" s="553" t="s">
        <v>1897</v>
      </c>
      <c r="P1416" s="650" t="s">
        <v>2055</v>
      </c>
      <c r="Q1416" s="564" t="s">
        <v>583</v>
      </c>
      <c r="R1416" s="564">
        <v>1</v>
      </c>
    </row>
    <row r="1417" spans="1:18" ht="15" customHeight="1" x14ac:dyDescent="0.25">
      <c r="A1417" s="553">
        <v>16</v>
      </c>
      <c r="B1417" s="553">
        <v>2</v>
      </c>
      <c r="C1417" s="553">
        <v>2</v>
      </c>
      <c r="D1417" s="553">
        <v>1</v>
      </c>
      <c r="E1417" s="553">
        <v>2</v>
      </c>
      <c r="F1417" s="553">
        <v>2</v>
      </c>
      <c r="G1417" s="553" t="s">
        <v>490</v>
      </c>
      <c r="H1417" s="553">
        <v>1320.23</v>
      </c>
      <c r="I1417" s="553">
        <v>0</v>
      </c>
      <c r="J1417" s="553">
        <v>20</v>
      </c>
      <c r="K1417" s="553">
        <v>19</v>
      </c>
      <c r="L1417" s="553">
        <v>4</v>
      </c>
      <c r="M1417" s="505" t="s">
        <v>137</v>
      </c>
      <c r="N1417" s="500">
        <v>43013539170000</v>
      </c>
      <c r="O1417" s="553" t="s">
        <v>1897</v>
      </c>
      <c r="P1417" s="650" t="s">
        <v>2056</v>
      </c>
      <c r="Q1417" s="564" t="s">
        <v>583</v>
      </c>
      <c r="R1417" s="564">
        <v>1</v>
      </c>
    </row>
    <row r="1418" spans="1:18" ht="15" customHeight="1" x14ac:dyDescent="0.25">
      <c r="A1418" s="553">
        <v>16</v>
      </c>
      <c r="B1418" s="553">
        <v>2</v>
      </c>
      <c r="C1418" s="553">
        <v>2</v>
      </c>
      <c r="D1418" s="553">
        <v>1</v>
      </c>
      <c r="E1418" s="553">
        <v>2</v>
      </c>
      <c r="F1418" s="553">
        <v>2</v>
      </c>
      <c r="G1418" s="553" t="s">
        <v>493</v>
      </c>
      <c r="H1418" s="553">
        <v>1320.23</v>
      </c>
      <c r="I1418" s="553">
        <v>0</v>
      </c>
      <c r="J1418" s="553">
        <v>20</v>
      </c>
      <c r="K1418" s="553">
        <v>19</v>
      </c>
      <c r="L1418" s="553">
        <v>4</v>
      </c>
      <c r="M1418" s="505" t="s">
        <v>137</v>
      </c>
      <c r="N1418" s="500">
        <v>43013539170000</v>
      </c>
      <c r="O1418" s="553" t="s">
        <v>1897</v>
      </c>
      <c r="P1418" s="650" t="s">
        <v>2057</v>
      </c>
      <c r="Q1418" s="564" t="s">
        <v>583</v>
      </c>
      <c r="R1418" s="564">
        <v>1</v>
      </c>
    </row>
    <row r="1419" spans="1:18" ht="15" customHeight="1" x14ac:dyDescent="0.25">
      <c r="A1419" s="553">
        <v>16</v>
      </c>
      <c r="B1419" s="553">
        <v>2</v>
      </c>
      <c r="C1419" s="553">
        <v>2</v>
      </c>
      <c r="D1419" s="553">
        <v>1</v>
      </c>
      <c r="E1419" s="553">
        <v>2</v>
      </c>
      <c r="F1419" s="553">
        <v>2</v>
      </c>
      <c r="G1419" s="553" t="s">
        <v>474</v>
      </c>
      <c r="H1419" s="553">
        <v>1327.67</v>
      </c>
      <c r="I1419" s="553">
        <v>89</v>
      </c>
      <c r="J1419" s="553">
        <v>26</v>
      </c>
      <c r="K1419" s="553">
        <v>56</v>
      </c>
      <c r="L1419" s="553">
        <v>3</v>
      </c>
      <c r="M1419" s="505" t="s">
        <v>137</v>
      </c>
      <c r="N1419" s="500">
        <v>43013539170000</v>
      </c>
      <c r="O1419" s="553" t="s">
        <v>1897</v>
      </c>
      <c r="P1419" s="650" t="s">
        <v>2058</v>
      </c>
      <c r="Q1419" s="564" t="s">
        <v>583</v>
      </c>
      <c r="R1419" s="564">
        <v>1</v>
      </c>
    </row>
    <row r="1420" spans="1:18" ht="15" customHeight="1" x14ac:dyDescent="0.25">
      <c r="A1420" s="553">
        <v>16</v>
      </c>
      <c r="B1420" s="553">
        <v>2</v>
      </c>
      <c r="C1420" s="553">
        <v>2</v>
      </c>
      <c r="D1420" s="553">
        <v>1</v>
      </c>
      <c r="E1420" s="553">
        <v>2</v>
      </c>
      <c r="F1420" s="553">
        <v>2</v>
      </c>
      <c r="G1420" s="502" t="s">
        <v>477</v>
      </c>
      <c r="H1420" s="553">
        <v>1319.83</v>
      </c>
      <c r="I1420" s="553">
        <v>89</v>
      </c>
      <c r="J1420" s="553">
        <v>55</v>
      </c>
      <c r="K1420" s="553">
        <v>4</v>
      </c>
      <c r="L1420" s="553">
        <v>3</v>
      </c>
      <c r="M1420" s="505" t="s">
        <v>137</v>
      </c>
      <c r="N1420" s="500">
        <v>43013539170000</v>
      </c>
      <c r="O1420" s="553" t="s">
        <v>1897</v>
      </c>
      <c r="P1420" s="650" t="s">
        <v>2059</v>
      </c>
      <c r="Q1420" s="564" t="s">
        <v>583</v>
      </c>
      <c r="R1420" s="564">
        <v>1</v>
      </c>
    </row>
    <row r="1421" spans="1:18" ht="15" customHeight="1" x14ac:dyDescent="0.25">
      <c r="A1421" s="553">
        <v>16</v>
      </c>
      <c r="B1421" s="553">
        <v>2</v>
      </c>
      <c r="C1421" s="553">
        <v>2</v>
      </c>
      <c r="D1421" s="553">
        <v>1</v>
      </c>
      <c r="E1421" s="553">
        <v>2</v>
      </c>
      <c r="F1421" s="553">
        <v>2</v>
      </c>
      <c r="G1421" s="553" t="s">
        <v>479</v>
      </c>
      <c r="H1421" s="553">
        <v>1319.6</v>
      </c>
      <c r="I1421" s="553">
        <v>89</v>
      </c>
      <c r="J1421" s="553">
        <v>58</v>
      </c>
      <c r="K1421" s="553">
        <v>48</v>
      </c>
      <c r="L1421" s="553">
        <v>3</v>
      </c>
      <c r="M1421" s="505" t="s">
        <v>137</v>
      </c>
      <c r="N1421" s="500">
        <v>43013539170000</v>
      </c>
      <c r="O1421" s="553" t="s">
        <v>1897</v>
      </c>
      <c r="P1421" s="650" t="s">
        <v>2060</v>
      </c>
      <c r="Q1421" s="564" t="s">
        <v>583</v>
      </c>
      <c r="R1421" s="564">
        <v>1</v>
      </c>
    </row>
    <row r="1422" spans="1:18" ht="15" customHeight="1" x14ac:dyDescent="0.25">
      <c r="A1422" s="553">
        <v>16</v>
      </c>
      <c r="B1422" s="553">
        <v>2</v>
      </c>
      <c r="C1422" s="553">
        <v>2</v>
      </c>
      <c r="D1422" s="553">
        <v>1</v>
      </c>
      <c r="E1422" s="553">
        <v>2</v>
      </c>
      <c r="F1422" s="553">
        <v>2</v>
      </c>
      <c r="G1422" s="553" t="s">
        <v>485</v>
      </c>
      <c r="H1422" s="553">
        <v>1319.6</v>
      </c>
      <c r="I1422" s="553">
        <v>89</v>
      </c>
      <c r="J1422" s="553">
        <v>58</v>
      </c>
      <c r="K1422" s="553">
        <v>48</v>
      </c>
      <c r="L1422" s="553">
        <v>3</v>
      </c>
      <c r="M1422" s="505" t="s">
        <v>137</v>
      </c>
      <c r="N1422" s="500">
        <v>43013539170000</v>
      </c>
      <c r="O1422" s="553" t="s">
        <v>1897</v>
      </c>
      <c r="P1422" s="650" t="s">
        <v>2061</v>
      </c>
      <c r="Q1422" s="564" t="s">
        <v>583</v>
      </c>
      <c r="R1422" s="564">
        <v>1</v>
      </c>
    </row>
    <row r="1423" spans="1:18" ht="15" customHeight="1" x14ac:dyDescent="0.25">
      <c r="A1423" s="553">
        <v>16</v>
      </c>
      <c r="B1423" s="553">
        <v>2</v>
      </c>
      <c r="C1423" s="553">
        <v>2</v>
      </c>
      <c r="D1423" s="553">
        <v>1</v>
      </c>
      <c r="E1423" s="553">
        <v>2</v>
      </c>
      <c r="F1423" s="553">
        <v>2</v>
      </c>
      <c r="G1423" s="553" t="s">
        <v>487</v>
      </c>
      <c r="H1423" s="553">
        <v>1320.175</v>
      </c>
      <c r="I1423" s="553">
        <v>89</v>
      </c>
      <c r="J1423" s="553">
        <v>43</v>
      </c>
      <c r="K1423" s="553">
        <v>53</v>
      </c>
      <c r="L1423" s="553">
        <v>3</v>
      </c>
      <c r="M1423" s="505" t="s">
        <v>137</v>
      </c>
      <c r="N1423" s="500">
        <v>43013539170000</v>
      </c>
      <c r="O1423" s="553" t="s">
        <v>1897</v>
      </c>
      <c r="P1423" s="650" t="s">
        <v>2062</v>
      </c>
      <c r="Q1423" s="564" t="s">
        <v>583</v>
      </c>
      <c r="R1423" s="564">
        <v>1</v>
      </c>
    </row>
    <row r="1424" spans="1:18" ht="15" customHeight="1" x14ac:dyDescent="0.25">
      <c r="A1424" s="553">
        <v>16</v>
      </c>
      <c r="B1424" s="553">
        <v>2</v>
      </c>
      <c r="C1424" s="553">
        <v>2</v>
      </c>
      <c r="D1424" s="553">
        <v>1</v>
      </c>
      <c r="E1424" s="553">
        <v>2</v>
      </c>
      <c r="F1424" s="553">
        <v>2</v>
      </c>
      <c r="G1424" s="502" t="s">
        <v>489</v>
      </c>
      <c r="H1424" s="650">
        <v>1320.175</v>
      </c>
      <c r="I1424" s="650">
        <v>89</v>
      </c>
      <c r="J1424" s="650">
        <v>43</v>
      </c>
      <c r="K1424" s="650">
        <v>53</v>
      </c>
      <c r="L1424" s="650">
        <v>3</v>
      </c>
      <c r="M1424" s="654" t="s">
        <v>137</v>
      </c>
      <c r="N1424" s="655">
        <v>43013539170000</v>
      </c>
      <c r="O1424" s="650" t="s">
        <v>1897</v>
      </c>
      <c r="P1424" s="650" t="s">
        <v>2063</v>
      </c>
      <c r="Q1424" s="564" t="s">
        <v>583</v>
      </c>
      <c r="R1424" s="564">
        <v>1</v>
      </c>
    </row>
    <row r="1425" spans="1:19" ht="15" customHeight="1" x14ac:dyDescent="0.25">
      <c r="A1425" s="553">
        <v>16</v>
      </c>
      <c r="B1425" s="553">
        <v>2</v>
      </c>
      <c r="C1425" s="553">
        <v>2</v>
      </c>
      <c r="D1425" s="553">
        <v>1</v>
      </c>
      <c r="E1425" s="553">
        <v>2</v>
      </c>
      <c r="F1425" s="553">
        <v>2</v>
      </c>
      <c r="G1425" s="553" t="s">
        <v>491</v>
      </c>
      <c r="H1425" s="650">
        <v>1320.395</v>
      </c>
      <c r="I1425" s="650">
        <v>89</v>
      </c>
      <c r="J1425" s="650">
        <v>43</v>
      </c>
      <c r="K1425" s="650">
        <v>41</v>
      </c>
      <c r="L1425" s="650">
        <v>3</v>
      </c>
      <c r="M1425" s="654" t="s">
        <v>137</v>
      </c>
      <c r="N1425" s="655">
        <v>43013539170000</v>
      </c>
      <c r="O1425" s="650" t="s">
        <v>1897</v>
      </c>
      <c r="P1425" s="650" t="s">
        <v>2064</v>
      </c>
      <c r="Q1425" s="564" t="s">
        <v>583</v>
      </c>
      <c r="R1425" s="564">
        <v>1</v>
      </c>
      <c r="S1425" s="493">
        <v>1312.7366666666669</v>
      </c>
    </row>
    <row r="1426" spans="1:19" ht="15" customHeight="1" x14ac:dyDescent="0.25">
      <c r="A1426" s="553">
        <v>16</v>
      </c>
      <c r="B1426" s="553">
        <v>2</v>
      </c>
      <c r="C1426" s="553">
        <v>2</v>
      </c>
      <c r="D1426" s="553">
        <v>1</v>
      </c>
      <c r="E1426" s="553">
        <v>2</v>
      </c>
      <c r="F1426" s="553">
        <v>2</v>
      </c>
      <c r="G1426" s="553" t="s">
        <v>494</v>
      </c>
      <c r="H1426" s="650">
        <v>1320.395</v>
      </c>
      <c r="I1426" s="650">
        <v>89</v>
      </c>
      <c r="J1426" s="650">
        <v>43</v>
      </c>
      <c r="K1426" s="650">
        <v>41</v>
      </c>
      <c r="L1426" s="650">
        <v>3</v>
      </c>
      <c r="M1426" s="654" t="s">
        <v>137</v>
      </c>
      <c r="N1426" s="655">
        <v>43013539170000</v>
      </c>
      <c r="O1426" s="650" t="s">
        <v>1897</v>
      </c>
      <c r="P1426" s="650" t="s">
        <v>2065</v>
      </c>
      <c r="Q1426" s="564" t="s">
        <v>583</v>
      </c>
      <c r="R1426" s="564">
        <v>1</v>
      </c>
    </row>
    <row r="1427" spans="1:19" ht="15" customHeight="1" x14ac:dyDescent="0.25">
      <c r="A1427" s="553">
        <v>16</v>
      </c>
      <c r="B1427" s="553">
        <v>2</v>
      </c>
      <c r="C1427" s="553">
        <v>2</v>
      </c>
      <c r="D1427" s="553">
        <v>3</v>
      </c>
      <c r="E1427" s="553">
        <v>2</v>
      </c>
      <c r="F1427" s="553">
        <v>2</v>
      </c>
      <c r="G1427" s="553" t="s">
        <v>473</v>
      </c>
      <c r="H1427" s="650">
        <v>1317.7049999999999</v>
      </c>
      <c r="I1427" s="650">
        <v>0</v>
      </c>
      <c r="J1427" s="650">
        <v>2</v>
      </c>
      <c r="K1427" s="650">
        <v>47</v>
      </c>
      <c r="L1427" s="650">
        <v>3</v>
      </c>
      <c r="M1427" s="654" t="s">
        <v>137</v>
      </c>
      <c r="N1427" s="655">
        <v>43013538470000</v>
      </c>
      <c r="O1427" s="650" t="s">
        <v>1914</v>
      </c>
      <c r="P1427" s="650" t="s">
        <v>2066</v>
      </c>
      <c r="Q1427" s="564" t="s">
        <v>583</v>
      </c>
      <c r="R1427" s="564">
        <v>2</v>
      </c>
    </row>
    <row r="1428" spans="1:19" ht="15" customHeight="1" x14ac:dyDescent="0.25">
      <c r="A1428" s="553">
        <v>16</v>
      </c>
      <c r="B1428" s="553">
        <v>2</v>
      </c>
      <c r="C1428" s="553">
        <v>2</v>
      </c>
      <c r="D1428" s="553">
        <v>3</v>
      </c>
      <c r="E1428" s="553">
        <v>2</v>
      </c>
      <c r="F1428" s="553">
        <v>2</v>
      </c>
      <c r="G1428" s="502" t="s">
        <v>476</v>
      </c>
      <c r="H1428" s="650">
        <v>1317.7049999999999</v>
      </c>
      <c r="I1428" s="650">
        <v>0</v>
      </c>
      <c r="J1428" s="650">
        <v>2</v>
      </c>
      <c r="K1428" s="650">
        <v>47</v>
      </c>
      <c r="L1428" s="650">
        <v>3</v>
      </c>
      <c r="M1428" s="654" t="s">
        <v>137</v>
      </c>
      <c r="N1428" s="655">
        <v>43013538470000</v>
      </c>
      <c r="O1428" s="650" t="s">
        <v>1914</v>
      </c>
      <c r="P1428" s="650" t="s">
        <v>2067</v>
      </c>
      <c r="Q1428" s="564" t="s">
        <v>583</v>
      </c>
      <c r="R1428" s="564">
        <v>2</v>
      </c>
    </row>
    <row r="1429" spans="1:19" ht="15" customHeight="1" x14ac:dyDescent="0.25">
      <c r="A1429" s="553">
        <v>16</v>
      </c>
      <c r="B1429" s="553">
        <v>2</v>
      </c>
      <c r="C1429" s="553">
        <v>2</v>
      </c>
      <c r="D1429" s="553">
        <v>3</v>
      </c>
      <c r="E1429" s="553">
        <v>2</v>
      </c>
      <c r="F1429" s="553">
        <v>2</v>
      </c>
      <c r="G1429" s="553" t="s">
        <v>478</v>
      </c>
      <c r="H1429" s="650">
        <v>1317.7049999999999</v>
      </c>
      <c r="I1429" s="650">
        <v>0</v>
      </c>
      <c r="J1429" s="650">
        <v>2</v>
      </c>
      <c r="K1429" s="650">
        <v>47</v>
      </c>
      <c r="L1429" s="650">
        <v>3</v>
      </c>
      <c r="M1429" s="654" t="s">
        <v>137</v>
      </c>
      <c r="N1429" s="655">
        <v>43013538470000</v>
      </c>
      <c r="O1429" s="650" t="s">
        <v>1914</v>
      </c>
      <c r="P1429" s="650" t="s">
        <v>2068</v>
      </c>
      <c r="Q1429" s="564" t="s">
        <v>583</v>
      </c>
      <c r="R1429" s="564">
        <v>2</v>
      </c>
    </row>
    <row r="1430" spans="1:19" ht="15" customHeight="1" x14ac:dyDescent="0.25">
      <c r="A1430" s="553">
        <v>16</v>
      </c>
      <c r="B1430" s="553">
        <v>2</v>
      </c>
      <c r="C1430" s="553">
        <v>2</v>
      </c>
      <c r="D1430" s="553">
        <v>3</v>
      </c>
      <c r="E1430" s="553">
        <v>2</v>
      </c>
      <c r="F1430" s="553">
        <v>2</v>
      </c>
      <c r="G1430" s="553" t="s">
        <v>484</v>
      </c>
      <c r="H1430" s="650">
        <v>1317.7049999999999</v>
      </c>
      <c r="I1430" s="650">
        <v>0</v>
      </c>
      <c r="J1430" s="650">
        <v>2</v>
      </c>
      <c r="K1430" s="650">
        <v>47</v>
      </c>
      <c r="L1430" s="650">
        <v>3</v>
      </c>
      <c r="M1430" s="654" t="s">
        <v>137</v>
      </c>
      <c r="N1430" s="655">
        <v>43013538470000</v>
      </c>
      <c r="O1430" s="650" t="s">
        <v>1914</v>
      </c>
      <c r="P1430" s="650" t="s">
        <v>2069</v>
      </c>
      <c r="Q1430" s="564" t="s">
        <v>583</v>
      </c>
      <c r="R1430" s="564">
        <v>2</v>
      </c>
    </row>
    <row r="1431" spans="1:19" ht="15" customHeight="1" x14ac:dyDescent="0.25">
      <c r="A1431" s="553">
        <v>16</v>
      </c>
      <c r="B1431" s="553">
        <v>2</v>
      </c>
      <c r="C1431" s="553">
        <v>2</v>
      </c>
      <c r="D1431" s="553">
        <v>3</v>
      </c>
      <c r="E1431" s="553">
        <v>2</v>
      </c>
      <c r="F1431" s="553">
        <v>2</v>
      </c>
      <c r="G1431" s="553" t="s">
        <v>486</v>
      </c>
      <c r="H1431" s="650">
        <v>1316.04</v>
      </c>
      <c r="I1431" s="650">
        <v>0</v>
      </c>
      <c r="J1431" s="650">
        <v>26</v>
      </c>
      <c r="K1431" s="650">
        <v>33</v>
      </c>
      <c r="L1431" s="650">
        <v>4</v>
      </c>
      <c r="M1431" s="654" t="s">
        <v>137</v>
      </c>
      <c r="N1431" s="655">
        <v>43013538470000</v>
      </c>
      <c r="O1431" s="650" t="s">
        <v>1914</v>
      </c>
      <c r="P1431" s="650" t="s">
        <v>2070</v>
      </c>
      <c r="Q1431" s="564" t="s">
        <v>583</v>
      </c>
      <c r="R1431" s="564">
        <v>2</v>
      </c>
    </row>
    <row r="1432" spans="1:19" ht="15" customHeight="1" x14ac:dyDescent="0.25">
      <c r="A1432" s="553">
        <v>16</v>
      </c>
      <c r="B1432" s="553">
        <v>2</v>
      </c>
      <c r="C1432" s="553">
        <v>2</v>
      </c>
      <c r="D1432" s="553">
        <v>3</v>
      </c>
      <c r="E1432" s="553">
        <v>2</v>
      </c>
      <c r="F1432" s="553">
        <v>2</v>
      </c>
      <c r="G1432" s="502" t="s">
        <v>488</v>
      </c>
      <c r="H1432" s="650">
        <v>1316.04</v>
      </c>
      <c r="I1432" s="650">
        <v>0</v>
      </c>
      <c r="J1432" s="650">
        <v>26</v>
      </c>
      <c r="K1432" s="650">
        <v>33</v>
      </c>
      <c r="L1432" s="650">
        <v>4</v>
      </c>
      <c r="M1432" s="654" t="s">
        <v>137</v>
      </c>
      <c r="N1432" s="655">
        <v>43013538470000</v>
      </c>
      <c r="O1432" s="650" t="s">
        <v>1914</v>
      </c>
      <c r="P1432" s="650" t="s">
        <v>2071</v>
      </c>
      <c r="Q1432" s="564" t="s">
        <v>583</v>
      </c>
      <c r="R1432" s="564">
        <v>2</v>
      </c>
    </row>
    <row r="1433" spans="1:19" ht="15" customHeight="1" x14ac:dyDescent="0.25">
      <c r="A1433" s="553">
        <v>16</v>
      </c>
      <c r="B1433" s="553">
        <v>2</v>
      </c>
      <c r="C1433" s="553">
        <v>2</v>
      </c>
      <c r="D1433" s="553">
        <v>3</v>
      </c>
      <c r="E1433" s="553">
        <v>2</v>
      </c>
      <c r="F1433" s="553">
        <v>2</v>
      </c>
      <c r="G1433" s="553" t="s">
        <v>490</v>
      </c>
      <c r="H1433" s="650">
        <v>1313.605</v>
      </c>
      <c r="I1433" s="650">
        <v>0</v>
      </c>
      <c r="J1433" s="650">
        <v>26</v>
      </c>
      <c r="K1433" s="650">
        <v>33</v>
      </c>
      <c r="L1433" s="650">
        <v>4</v>
      </c>
      <c r="M1433" s="654" t="s">
        <v>137</v>
      </c>
      <c r="N1433" s="655">
        <v>43013538470000</v>
      </c>
      <c r="O1433" s="650" t="s">
        <v>1914</v>
      </c>
      <c r="P1433" s="650" t="s">
        <v>2072</v>
      </c>
      <c r="Q1433" s="564" t="s">
        <v>583</v>
      </c>
      <c r="R1433" s="564">
        <v>2</v>
      </c>
    </row>
    <row r="1434" spans="1:19" ht="15" customHeight="1" x14ac:dyDescent="0.25">
      <c r="A1434" s="553">
        <v>16</v>
      </c>
      <c r="B1434" s="553">
        <v>2</v>
      </c>
      <c r="C1434" s="553">
        <v>2</v>
      </c>
      <c r="D1434" s="553">
        <v>3</v>
      </c>
      <c r="E1434" s="553">
        <v>2</v>
      </c>
      <c r="F1434" s="553">
        <v>2</v>
      </c>
      <c r="G1434" s="553" t="s">
        <v>493</v>
      </c>
      <c r="H1434" s="650">
        <v>1313.605</v>
      </c>
      <c r="I1434" s="650">
        <v>0</v>
      </c>
      <c r="J1434" s="650">
        <v>26</v>
      </c>
      <c r="K1434" s="650">
        <v>33</v>
      </c>
      <c r="L1434" s="650">
        <v>4</v>
      </c>
      <c r="M1434" s="654" t="s">
        <v>137</v>
      </c>
      <c r="N1434" s="655">
        <v>43013538470000</v>
      </c>
      <c r="O1434" s="650" t="s">
        <v>1914</v>
      </c>
      <c r="P1434" s="650" t="s">
        <v>2073</v>
      </c>
      <c r="Q1434" s="564" t="s">
        <v>583</v>
      </c>
      <c r="R1434" s="564">
        <v>2</v>
      </c>
    </row>
    <row r="1435" spans="1:19" ht="15" customHeight="1" x14ac:dyDescent="0.25">
      <c r="A1435" s="553">
        <v>16</v>
      </c>
      <c r="B1435" s="553">
        <v>2</v>
      </c>
      <c r="C1435" s="553">
        <v>2</v>
      </c>
      <c r="D1435" s="553">
        <v>3</v>
      </c>
      <c r="E1435" s="553">
        <v>2</v>
      </c>
      <c r="F1435" s="553">
        <v>2</v>
      </c>
      <c r="G1435" s="553" t="s">
        <v>474</v>
      </c>
      <c r="H1435" s="650">
        <v>1318.2625</v>
      </c>
      <c r="I1435" s="650">
        <v>89</v>
      </c>
      <c r="J1435" s="650">
        <v>31</v>
      </c>
      <c r="K1435" s="650">
        <v>32</v>
      </c>
      <c r="L1435" s="650">
        <v>4</v>
      </c>
      <c r="M1435" s="654" t="s">
        <v>137</v>
      </c>
      <c r="N1435" s="655">
        <v>43013538470000</v>
      </c>
      <c r="O1435" s="650" t="s">
        <v>1914</v>
      </c>
      <c r="P1435" s="650" t="s">
        <v>2074</v>
      </c>
      <c r="Q1435" s="564" t="s">
        <v>583</v>
      </c>
      <c r="R1435" s="564">
        <v>2</v>
      </c>
    </row>
    <row r="1436" spans="1:19" ht="15" customHeight="1" x14ac:dyDescent="0.25">
      <c r="A1436" s="553">
        <v>16</v>
      </c>
      <c r="B1436" s="553">
        <v>2</v>
      </c>
      <c r="C1436" s="553">
        <v>2</v>
      </c>
      <c r="D1436" s="553">
        <v>3</v>
      </c>
      <c r="E1436" s="553">
        <v>2</v>
      </c>
      <c r="F1436" s="553">
        <v>2</v>
      </c>
      <c r="G1436" s="502" t="s">
        <v>477</v>
      </c>
      <c r="H1436" s="650">
        <v>1318.2625</v>
      </c>
      <c r="I1436" s="650">
        <v>89</v>
      </c>
      <c r="J1436" s="650">
        <v>31</v>
      </c>
      <c r="K1436" s="650">
        <v>32</v>
      </c>
      <c r="L1436" s="650">
        <v>4</v>
      </c>
      <c r="M1436" s="654" t="s">
        <v>137</v>
      </c>
      <c r="N1436" s="655">
        <v>43013538470000</v>
      </c>
      <c r="O1436" s="650" t="s">
        <v>1914</v>
      </c>
      <c r="P1436" s="650" t="s">
        <v>2075</v>
      </c>
      <c r="Q1436" s="564" t="s">
        <v>583</v>
      </c>
      <c r="R1436" s="564">
        <v>2</v>
      </c>
    </row>
    <row r="1437" spans="1:19" ht="15" customHeight="1" x14ac:dyDescent="0.25">
      <c r="A1437" s="553">
        <v>16</v>
      </c>
      <c r="B1437" s="553">
        <v>2</v>
      </c>
      <c r="C1437" s="553">
        <v>2</v>
      </c>
      <c r="D1437" s="553">
        <v>3</v>
      </c>
      <c r="E1437" s="553">
        <v>2</v>
      </c>
      <c r="F1437" s="553">
        <v>2</v>
      </c>
      <c r="G1437" s="553" t="s">
        <v>479</v>
      </c>
      <c r="H1437" s="650">
        <v>1318.2625</v>
      </c>
      <c r="I1437" s="650">
        <v>89</v>
      </c>
      <c r="J1437" s="650">
        <v>31</v>
      </c>
      <c r="K1437" s="650">
        <v>32</v>
      </c>
      <c r="L1437" s="650">
        <v>4</v>
      </c>
      <c r="M1437" s="654" t="s">
        <v>137</v>
      </c>
      <c r="N1437" s="655">
        <v>43013538470000</v>
      </c>
      <c r="O1437" s="650" t="s">
        <v>1914</v>
      </c>
      <c r="P1437" s="650" t="s">
        <v>2076</v>
      </c>
      <c r="Q1437" s="564" t="s">
        <v>583</v>
      </c>
      <c r="R1437" s="564">
        <v>2</v>
      </c>
    </row>
    <row r="1438" spans="1:19" ht="15" customHeight="1" x14ac:dyDescent="0.25">
      <c r="A1438" s="553">
        <v>16</v>
      </c>
      <c r="B1438" s="553">
        <v>2</v>
      </c>
      <c r="C1438" s="553">
        <v>2</v>
      </c>
      <c r="D1438" s="553">
        <v>3</v>
      </c>
      <c r="E1438" s="553">
        <v>2</v>
      </c>
      <c r="F1438" s="553">
        <v>2</v>
      </c>
      <c r="G1438" s="553" t="s">
        <v>485</v>
      </c>
      <c r="H1438" s="650">
        <v>1318.2625</v>
      </c>
      <c r="I1438" s="650">
        <v>89</v>
      </c>
      <c r="J1438" s="650">
        <v>31</v>
      </c>
      <c r="K1438" s="650">
        <v>32</v>
      </c>
      <c r="L1438" s="650">
        <v>4</v>
      </c>
      <c r="M1438" s="654" t="s">
        <v>137</v>
      </c>
      <c r="N1438" s="655">
        <v>43013538470000</v>
      </c>
      <c r="O1438" s="650" t="s">
        <v>1914</v>
      </c>
      <c r="P1438" s="650" t="s">
        <v>2077</v>
      </c>
      <c r="Q1438" s="564" t="s">
        <v>583</v>
      </c>
      <c r="R1438" s="564">
        <v>2</v>
      </c>
    </row>
    <row r="1439" spans="1:19" ht="15" customHeight="1" x14ac:dyDescent="0.25">
      <c r="A1439" s="553">
        <v>16</v>
      </c>
      <c r="B1439" s="553">
        <v>2</v>
      </c>
      <c r="C1439" s="553">
        <v>2</v>
      </c>
      <c r="D1439" s="553">
        <v>3</v>
      </c>
      <c r="E1439" s="553">
        <v>2</v>
      </c>
      <c r="F1439" s="553">
        <v>2</v>
      </c>
      <c r="G1439" s="553" t="s">
        <v>487</v>
      </c>
      <c r="H1439" s="650">
        <v>1329.46</v>
      </c>
      <c r="I1439" s="650">
        <v>89</v>
      </c>
      <c r="J1439" s="650">
        <v>39</v>
      </c>
      <c r="K1439" s="650">
        <v>20</v>
      </c>
      <c r="L1439" s="650">
        <v>4</v>
      </c>
      <c r="M1439" s="654" t="s">
        <v>137</v>
      </c>
      <c r="N1439" s="655">
        <v>43013538470000</v>
      </c>
      <c r="O1439" s="650" t="s">
        <v>1914</v>
      </c>
      <c r="P1439" s="650" t="s">
        <v>2078</v>
      </c>
      <c r="Q1439" s="564" t="s">
        <v>583</v>
      </c>
      <c r="R1439" s="564">
        <v>2</v>
      </c>
    </row>
    <row r="1440" spans="1:19" ht="15" customHeight="1" x14ac:dyDescent="0.25">
      <c r="A1440" s="553">
        <v>16</v>
      </c>
      <c r="B1440" s="553">
        <v>2</v>
      </c>
      <c r="C1440" s="553">
        <v>2</v>
      </c>
      <c r="D1440" s="553">
        <v>3</v>
      </c>
      <c r="E1440" s="553">
        <v>2</v>
      </c>
      <c r="F1440" s="553">
        <v>2</v>
      </c>
      <c r="G1440" s="502" t="s">
        <v>489</v>
      </c>
      <c r="H1440" s="553">
        <v>1329.46</v>
      </c>
      <c r="I1440" s="553">
        <v>89</v>
      </c>
      <c r="J1440" s="553">
        <v>39</v>
      </c>
      <c r="K1440" s="553">
        <v>20</v>
      </c>
      <c r="L1440" s="553">
        <v>4</v>
      </c>
      <c r="M1440" s="505" t="s">
        <v>137</v>
      </c>
      <c r="N1440" s="500">
        <v>43013538470000</v>
      </c>
      <c r="O1440" s="553" t="s">
        <v>1914</v>
      </c>
      <c r="P1440" s="650" t="s">
        <v>2079</v>
      </c>
      <c r="Q1440" s="564" t="s">
        <v>583</v>
      </c>
      <c r="R1440" s="564">
        <v>2</v>
      </c>
    </row>
    <row r="1441" spans="1:18" ht="15" customHeight="1" x14ac:dyDescent="0.25">
      <c r="A1441" s="553">
        <v>16</v>
      </c>
      <c r="B1441" s="553">
        <v>2</v>
      </c>
      <c r="C1441" s="553">
        <v>2</v>
      </c>
      <c r="D1441" s="553">
        <v>3</v>
      </c>
      <c r="E1441" s="553">
        <v>2</v>
      </c>
      <c r="F1441" s="553">
        <v>2</v>
      </c>
      <c r="G1441" s="553" t="s">
        <v>491</v>
      </c>
      <c r="H1441" s="553">
        <v>1329.46</v>
      </c>
      <c r="I1441" s="553">
        <v>89</v>
      </c>
      <c r="J1441" s="553">
        <v>39</v>
      </c>
      <c r="K1441" s="553">
        <v>20</v>
      </c>
      <c r="L1441" s="553">
        <v>4</v>
      </c>
      <c r="M1441" s="505" t="s">
        <v>137</v>
      </c>
      <c r="N1441" s="500">
        <v>43013538470000</v>
      </c>
      <c r="O1441" s="553" t="s">
        <v>1914</v>
      </c>
      <c r="P1441" s="650" t="s">
        <v>2080</v>
      </c>
      <c r="Q1441" s="564" t="s">
        <v>583</v>
      </c>
      <c r="R1441" s="564">
        <v>2</v>
      </c>
    </row>
    <row r="1442" spans="1:18" ht="15" customHeight="1" x14ac:dyDescent="0.25">
      <c r="A1442" s="553">
        <v>16</v>
      </c>
      <c r="B1442" s="553">
        <v>2</v>
      </c>
      <c r="C1442" s="553">
        <v>2</v>
      </c>
      <c r="D1442" s="553">
        <v>3</v>
      </c>
      <c r="E1442" s="553">
        <v>2</v>
      </c>
      <c r="F1442" s="553">
        <v>2</v>
      </c>
      <c r="G1442" s="553" t="s">
        <v>494</v>
      </c>
      <c r="H1442" s="553">
        <v>1329.46</v>
      </c>
      <c r="I1442" s="553">
        <v>89</v>
      </c>
      <c r="J1442" s="553">
        <v>39</v>
      </c>
      <c r="K1442" s="553">
        <v>20</v>
      </c>
      <c r="L1442" s="553">
        <v>4</v>
      </c>
      <c r="M1442" s="505" t="s">
        <v>137</v>
      </c>
      <c r="N1442" s="500">
        <v>43013538470000</v>
      </c>
      <c r="O1442" s="553" t="s">
        <v>1914</v>
      </c>
      <c r="P1442" s="650" t="s">
        <v>2081</v>
      </c>
      <c r="Q1442" s="564" t="s">
        <v>583</v>
      </c>
      <c r="R1442" s="564">
        <v>2</v>
      </c>
    </row>
    <row r="1443" spans="1:18" ht="15" customHeight="1" x14ac:dyDescent="0.25">
      <c r="A1443" s="553">
        <v>16</v>
      </c>
      <c r="B1443" s="553">
        <v>3</v>
      </c>
      <c r="C1443" s="553">
        <v>2</v>
      </c>
      <c r="D1443" s="553">
        <v>1</v>
      </c>
      <c r="E1443" s="553">
        <v>2</v>
      </c>
      <c r="F1443" s="553">
        <v>2</v>
      </c>
      <c r="G1443" s="553" t="s">
        <v>473</v>
      </c>
      <c r="H1443" s="553">
        <v>1324.46</v>
      </c>
      <c r="I1443" s="553">
        <v>0</v>
      </c>
      <c r="J1443" s="553">
        <v>3</v>
      </c>
      <c r="K1443" s="553">
        <v>5</v>
      </c>
      <c r="L1443" s="553">
        <v>1</v>
      </c>
      <c r="M1443" s="505" t="s">
        <v>137</v>
      </c>
      <c r="N1443" s="500">
        <v>43013539530000</v>
      </c>
      <c r="O1443" s="553" t="s">
        <v>2082</v>
      </c>
      <c r="P1443" s="650" t="s">
        <v>2083</v>
      </c>
      <c r="Q1443" s="564" t="s">
        <v>583</v>
      </c>
      <c r="R1443" s="564">
        <v>1</v>
      </c>
    </row>
    <row r="1444" spans="1:18" ht="15" customHeight="1" x14ac:dyDescent="0.25">
      <c r="A1444" s="553">
        <v>16</v>
      </c>
      <c r="B1444" s="553">
        <v>3</v>
      </c>
      <c r="C1444" s="553">
        <v>2</v>
      </c>
      <c r="D1444" s="553">
        <v>1</v>
      </c>
      <c r="E1444" s="553">
        <v>2</v>
      </c>
      <c r="F1444" s="553">
        <v>2</v>
      </c>
      <c r="G1444" s="502" t="s">
        <v>476</v>
      </c>
      <c r="H1444" s="553">
        <v>1311.44</v>
      </c>
      <c r="I1444" s="553">
        <v>0</v>
      </c>
      <c r="J1444" s="553">
        <v>15</v>
      </c>
      <c r="K1444" s="553">
        <v>50</v>
      </c>
      <c r="L1444" s="553">
        <v>4</v>
      </c>
      <c r="M1444" s="505" t="s">
        <v>137</v>
      </c>
      <c r="N1444" s="500">
        <v>43013539530000</v>
      </c>
      <c r="O1444" s="553" t="s">
        <v>2082</v>
      </c>
      <c r="P1444" s="650" t="s">
        <v>2084</v>
      </c>
      <c r="Q1444" s="564" t="s">
        <v>583</v>
      </c>
      <c r="R1444" s="564">
        <v>1</v>
      </c>
    </row>
    <row r="1445" spans="1:18" ht="15" customHeight="1" x14ac:dyDescent="0.25">
      <c r="A1445" s="553">
        <v>16</v>
      </c>
      <c r="B1445" s="553">
        <v>3</v>
      </c>
      <c r="C1445" s="553">
        <v>2</v>
      </c>
      <c r="D1445" s="553">
        <v>1</v>
      </c>
      <c r="E1445" s="553">
        <v>2</v>
      </c>
      <c r="F1445" s="553">
        <v>2</v>
      </c>
      <c r="G1445" s="553" t="s">
        <v>478</v>
      </c>
      <c r="H1445" s="553">
        <v>1323.46</v>
      </c>
      <c r="I1445" s="553">
        <v>0</v>
      </c>
      <c r="J1445" s="553">
        <v>11</v>
      </c>
      <c r="K1445" s="553">
        <v>26</v>
      </c>
      <c r="L1445" s="553">
        <v>2</v>
      </c>
      <c r="M1445" s="505" t="s">
        <v>137</v>
      </c>
      <c r="N1445" s="500">
        <v>43013539530000</v>
      </c>
      <c r="O1445" s="553" t="s">
        <v>2082</v>
      </c>
      <c r="P1445" s="650" t="s">
        <v>2085</v>
      </c>
      <c r="Q1445" s="564" t="s">
        <v>583</v>
      </c>
      <c r="R1445" s="564">
        <v>1</v>
      </c>
    </row>
    <row r="1446" spans="1:18" ht="15" customHeight="1" x14ac:dyDescent="0.25">
      <c r="A1446" s="553">
        <v>16</v>
      </c>
      <c r="B1446" s="553">
        <v>3</v>
      </c>
      <c r="C1446" s="553">
        <v>2</v>
      </c>
      <c r="D1446" s="553">
        <v>1</v>
      </c>
      <c r="E1446" s="553">
        <v>2</v>
      </c>
      <c r="F1446" s="553">
        <v>2</v>
      </c>
      <c r="G1446" s="553" t="s">
        <v>484</v>
      </c>
      <c r="H1446" s="553">
        <v>1320.21</v>
      </c>
      <c r="I1446" s="553">
        <v>0</v>
      </c>
      <c r="J1446" s="553">
        <v>4</v>
      </c>
      <c r="K1446" s="553">
        <v>39</v>
      </c>
      <c r="L1446" s="553">
        <v>2</v>
      </c>
      <c r="M1446" s="505" t="s">
        <v>137</v>
      </c>
      <c r="N1446" s="500">
        <v>43013539530000</v>
      </c>
      <c r="O1446" s="553" t="s">
        <v>2082</v>
      </c>
      <c r="P1446" s="650" t="s">
        <v>2086</v>
      </c>
      <c r="Q1446" s="564" t="s">
        <v>583</v>
      </c>
      <c r="R1446" s="564">
        <v>1</v>
      </c>
    </row>
    <row r="1447" spans="1:18" ht="15" customHeight="1" x14ac:dyDescent="0.25">
      <c r="A1447" s="553">
        <v>16</v>
      </c>
      <c r="B1447" s="553">
        <v>3</v>
      </c>
      <c r="C1447" s="553">
        <v>2</v>
      </c>
      <c r="D1447" s="553">
        <v>1</v>
      </c>
      <c r="E1447" s="553">
        <v>2</v>
      </c>
      <c r="F1447" s="553">
        <v>2</v>
      </c>
      <c r="G1447" s="553" t="s">
        <v>486</v>
      </c>
      <c r="H1447" s="553">
        <v>1320.63</v>
      </c>
      <c r="I1447" s="553">
        <v>0</v>
      </c>
      <c r="J1447" s="553">
        <v>4</v>
      </c>
      <c r="K1447" s="553">
        <v>2</v>
      </c>
      <c r="L1447" s="553">
        <v>2</v>
      </c>
      <c r="M1447" s="505" t="s">
        <v>137</v>
      </c>
      <c r="N1447" s="500">
        <v>43013539530000</v>
      </c>
      <c r="O1447" s="553" t="s">
        <v>2082</v>
      </c>
      <c r="P1447" s="650" t="s">
        <v>2087</v>
      </c>
      <c r="Q1447" s="564" t="s">
        <v>583</v>
      </c>
      <c r="R1447" s="564">
        <v>1</v>
      </c>
    </row>
    <row r="1448" spans="1:18" ht="15" customHeight="1" x14ac:dyDescent="0.25">
      <c r="A1448" s="553">
        <v>16</v>
      </c>
      <c r="B1448" s="553">
        <v>3</v>
      </c>
      <c r="C1448" s="553">
        <v>2</v>
      </c>
      <c r="D1448" s="553">
        <v>1</v>
      </c>
      <c r="E1448" s="553">
        <v>2</v>
      </c>
      <c r="F1448" s="553">
        <v>2</v>
      </c>
      <c r="G1448" s="502" t="s">
        <v>488</v>
      </c>
      <c r="H1448" s="553">
        <v>1320.635</v>
      </c>
      <c r="I1448" s="553">
        <v>0</v>
      </c>
      <c r="J1448" s="553">
        <v>4</v>
      </c>
      <c r="K1448" s="553">
        <v>2</v>
      </c>
      <c r="L1448" s="553">
        <v>2</v>
      </c>
      <c r="M1448" s="505" t="s">
        <v>137</v>
      </c>
      <c r="N1448" s="500">
        <v>43013539530000</v>
      </c>
      <c r="O1448" s="553" t="s">
        <v>2082</v>
      </c>
      <c r="P1448" s="650" t="s">
        <v>2088</v>
      </c>
      <c r="Q1448" s="564" t="s">
        <v>583</v>
      </c>
      <c r="R1448" s="564">
        <v>1</v>
      </c>
    </row>
    <row r="1449" spans="1:18" ht="15" customHeight="1" x14ac:dyDescent="0.25">
      <c r="A1449" s="553">
        <v>16</v>
      </c>
      <c r="B1449" s="553">
        <v>3</v>
      </c>
      <c r="C1449" s="553">
        <v>2</v>
      </c>
      <c r="D1449" s="553">
        <v>1</v>
      </c>
      <c r="E1449" s="553">
        <v>2</v>
      </c>
      <c r="F1449" s="553">
        <v>2</v>
      </c>
      <c r="G1449" s="553" t="s">
        <v>490</v>
      </c>
      <c r="H1449" s="553">
        <v>1320.635</v>
      </c>
      <c r="I1449" s="553">
        <v>0</v>
      </c>
      <c r="J1449" s="553">
        <v>4</v>
      </c>
      <c r="K1449" s="553">
        <v>2</v>
      </c>
      <c r="L1449" s="553">
        <v>2</v>
      </c>
      <c r="M1449" s="505" t="s">
        <v>137</v>
      </c>
      <c r="N1449" s="500">
        <v>43013539530000</v>
      </c>
      <c r="O1449" s="553" t="s">
        <v>2082</v>
      </c>
      <c r="P1449" s="650" t="s">
        <v>2089</v>
      </c>
      <c r="Q1449" s="564" t="s">
        <v>583</v>
      </c>
      <c r="R1449" s="564">
        <v>1</v>
      </c>
    </row>
    <row r="1450" spans="1:18" ht="15" customHeight="1" x14ac:dyDescent="0.25">
      <c r="A1450" s="553">
        <v>16</v>
      </c>
      <c r="B1450" s="553">
        <v>3</v>
      </c>
      <c r="C1450" s="553">
        <v>2</v>
      </c>
      <c r="D1450" s="553">
        <v>1</v>
      </c>
      <c r="E1450" s="553">
        <v>2</v>
      </c>
      <c r="F1450" s="553">
        <v>2</v>
      </c>
      <c r="G1450" s="553" t="s">
        <v>493</v>
      </c>
      <c r="H1450" s="553">
        <v>1319.71</v>
      </c>
      <c r="I1450" s="553">
        <v>0</v>
      </c>
      <c r="J1450" s="553">
        <v>5</v>
      </c>
      <c r="K1450" s="553">
        <v>51</v>
      </c>
      <c r="L1450" s="553">
        <v>2</v>
      </c>
      <c r="M1450" s="505" t="s">
        <v>137</v>
      </c>
      <c r="N1450" s="500">
        <v>43013539530000</v>
      </c>
      <c r="O1450" s="553" t="s">
        <v>2082</v>
      </c>
      <c r="P1450" s="650" t="s">
        <v>2090</v>
      </c>
      <c r="Q1450" s="564" t="s">
        <v>583</v>
      </c>
      <c r="R1450" s="564">
        <v>1</v>
      </c>
    </row>
    <row r="1451" spans="1:18" ht="15" customHeight="1" x14ac:dyDescent="0.25">
      <c r="A1451" s="553">
        <v>16</v>
      </c>
      <c r="B1451" s="553">
        <v>3</v>
      </c>
      <c r="C1451" s="553">
        <v>2</v>
      </c>
      <c r="D1451" s="553">
        <v>1</v>
      </c>
      <c r="E1451" s="553">
        <v>2</v>
      </c>
      <c r="F1451" s="553">
        <v>2</v>
      </c>
      <c r="G1451" s="553" t="s">
        <v>474</v>
      </c>
      <c r="H1451" s="553">
        <v>1325.12</v>
      </c>
      <c r="I1451" s="553">
        <v>89</v>
      </c>
      <c r="J1451" s="553">
        <v>59</v>
      </c>
      <c r="K1451" s="553">
        <v>54</v>
      </c>
      <c r="L1451" s="553">
        <v>1</v>
      </c>
      <c r="M1451" s="505" t="s">
        <v>137</v>
      </c>
      <c r="N1451" s="500">
        <v>43013539530000</v>
      </c>
      <c r="O1451" s="553" t="s">
        <v>2082</v>
      </c>
      <c r="P1451" s="650" t="s">
        <v>2091</v>
      </c>
      <c r="Q1451" s="564" t="s">
        <v>583</v>
      </c>
      <c r="R1451" s="564">
        <v>1</v>
      </c>
    </row>
    <row r="1452" spans="1:18" ht="15" customHeight="1" x14ac:dyDescent="0.25">
      <c r="A1452" s="553">
        <v>16</v>
      </c>
      <c r="B1452" s="553">
        <v>3</v>
      </c>
      <c r="C1452" s="553">
        <v>2</v>
      </c>
      <c r="D1452" s="553">
        <v>1</v>
      </c>
      <c r="E1452" s="553">
        <v>2</v>
      </c>
      <c r="F1452" s="553">
        <v>2</v>
      </c>
      <c r="G1452" s="502" t="s">
        <v>477</v>
      </c>
      <c r="H1452" s="553">
        <v>1320.2</v>
      </c>
      <c r="I1452" s="553">
        <v>89</v>
      </c>
      <c r="J1452" s="553">
        <v>59</v>
      </c>
      <c r="K1452" s="553">
        <v>52</v>
      </c>
      <c r="L1452" s="553">
        <v>2</v>
      </c>
      <c r="M1452" s="505" t="s">
        <v>137</v>
      </c>
      <c r="N1452" s="500">
        <v>43013539530000</v>
      </c>
      <c r="O1452" s="553" t="s">
        <v>2082</v>
      </c>
      <c r="P1452" s="650" t="s">
        <v>2092</v>
      </c>
      <c r="Q1452" s="564" t="s">
        <v>583</v>
      </c>
      <c r="R1452" s="564">
        <v>1</v>
      </c>
    </row>
    <row r="1453" spans="1:18" ht="15" customHeight="1" x14ac:dyDescent="0.25">
      <c r="A1453" s="553">
        <v>16</v>
      </c>
      <c r="B1453" s="553">
        <v>3</v>
      </c>
      <c r="C1453" s="553">
        <v>2</v>
      </c>
      <c r="D1453" s="553">
        <v>1</v>
      </c>
      <c r="E1453" s="553">
        <v>2</v>
      </c>
      <c r="F1453" s="553">
        <v>2</v>
      </c>
      <c r="G1453" s="553" t="s">
        <v>479</v>
      </c>
      <c r="H1453" s="553">
        <v>1323.73</v>
      </c>
      <c r="I1453" s="553">
        <v>89</v>
      </c>
      <c r="J1453" s="553">
        <v>57</v>
      </c>
      <c r="K1453" s="553">
        <v>9</v>
      </c>
      <c r="L1453" s="553">
        <v>2</v>
      </c>
      <c r="M1453" s="505" t="s">
        <v>137</v>
      </c>
      <c r="N1453" s="500">
        <v>43013539530000</v>
      </c>
      <c r="O1453" s="553" t="s">
        <v>2082</v>
      </c>
      <c r="P1453" s="650" t="s">
        <v>2093</v>
      </c>
      <c r="Q1453" s="564" t="s">
        <v>583</v>
      </c>
      <c r="R1453" s="564">
        <v>1</v>
      </c>
    </row>
    <row r="1454" spans="1:18" ht="15" customHeight="1" x14ac:dyDescent="0.25">
      <c r="A1454" s="553">
        <v>16</v>
      </c>
      <c r="B1454" s="553">
        <v>3</v>
      </c>
      <c r="C1454" s="553">
        <v>2</v>
      </c>
      <c r="D1454" s="553">
        <v>1</v>
      </c>
      <c r="E1454" s="553">
        <v>2</v>
      </c>
      <c r="F1454" s="553">
        <v>2</v>
      </c>
      <c r="G1454" s="553" t="s">
        <v>485</v>
      </c>
      <c r="H1454" s="553">
        <v>1323.73</v>
      </c>
      <c r="I1454" s="553">
        <v>89</v>
      </c>
      <c r="J1454" s="553">
        <v>57</v>
      </c>
      <c r="K1454" s="553">
        <v>9</v>
      </c>
      <c r="L1454" s="553">
        <v>2</v>
      </c>
      <c r="M1454" s="505" t="s">
        <v>137</v>
      </c>
      <c r="N1454" s="500">
        <v>43013539530000</v>
      </c>
      <c r="O1454" s="553" t="s">
        <v>2082</v>
      </c>
      <c r="P1454" s="650" t="s">
        <v>2094</v>
      </c>
      <c r="Q1454" s="564" t="s">
        <v>583</v>
      </c>
      <c r="R1454" s="564">
        <v>1</v>
      </c>
    </row>
    <row r="1455" spans="1:18" ht="15" customHeight="1" x14ac:dyDescent="0.25">
      <c r="A1455" s="553">
        <v>16</v>
      </c>
      <c r="B1455" s="553">
        <v>3</v>
      </c>
      <c r="C1455" s="553">
        <v>2</v>
      </c>
      <c r="D1455" s="553">
        <v>1</v>
      </c>
      <c r="E1455" s="553">
        <v>2</v>
      </c>
      <c r="F1455" s="553">
        <v>2</v>
      </c>
      <c r="G1455" s="553" t="s">
        <v>487</v>
      </c>
      <c r="H1455" s="553">
        <v>1325.58</v>
      </c>
      <c r="I1455" s="553">
        <v>89</v>
      </c>
      <c r="J1455" s="553">
        <v>53</v>
      </c>
      <c r="K1455" s="553">
        <v>20</v>
      </c>
      <c r="L1455" s="553">
        <v>3</v>
      </c>
      <c r="M1455" s="505" t="s">
        <v>137</v>
      </c>
      <c r="N1455" s="500">
        <v>43013539530000</v>
      </c>
      <c r="O1455" s="553" t="s">
        <v>2082</v>
      </c>
      <c r="P1455" s="650" t="s">
        <v>2095</v>
      </c>
      <c r="Q1455" s="564" t="s">
        <v>583</v>
      </c>
      <c r="R1455" s="564">
        <v>1</v>
      </c>
    </row>
    <row r="1456" spans="1:18" ht="15" customHeight="1" x14ac:dyDescent="0.25">
      <c r="A1456" s="553">
        <v>16</v>
      </c>
      <c r="B1456" s="553">
        <v>3</v>
      </c>
      <c r="C1456" s="553">
        <v>2</v>
      </c>
      <c r="D1456" s="553">
        <v>1</v>
      </c>
      <c r="E1456" s="553">
        <v>2</v>
      </c>
      <c r="F1456" s="553">
        <v>2</v>
      </c>
      <c r="G1456" s="502" t="s">
        <v>489</v>
      </c>
      <c r="H1456" s="553">
        <v>1318.12</v>
      </c>
      <c r="I1456" s="553">
        <v>89</v>
      </c>
      <c r="J1456" s="553">
        <v>56</v>
      </c>
      <c r="K1456" s="553">
        <v>56</v>
      </c>
      <c r="L1456" s="553">
        <v>3</v>
      </c>
      <c r="M1456" s="505" t="s">
        <v>137</v>
      </c>
      <c r="N1456" s="500">
        <v>43013539530000</v>
      </c>
      <c r="O1456" s="553" t="s">
        <v>2082</v>
      </c>
      <c r="P1456" s="650" t="s">
        <v>2096</v>
      </c>
      <c r="Q1456" s="564" t="s">
        <v>583</v>
      </c>
      <c r="R1456" s="564">
        <v>1</v>
      </c>
    </row>
    <row r="1457" spans="1:18" ht="15" customHeight="1" x14ac:dyDescent="0.25">
      <c r="A1457" s="553">
        <v>16</v>
      </c>
      <c r="B1457" s="553">
        <v>3</v>
      </c>
      <c r="C1457" s="553">
        <v>2</v>
      </c>
      <c r="D1457" s="553">
        <v>1</v>
      </c>
      <c r="E1457" s="553">
        <v>2</v>
      </c>
      <c r="F1457" s="553">
        <v>2</v>
      </c>
      <c r="G1457" s="553" t="s">
        <v>491</v>
      </c>
      <c r="H1457" s="553">
        <v>1320.585</v>
      </c>
      <c r="I1457" s="553">
        <v>89</v>
      </c>
      <c r="J1457" s="553">
        <v>55</v>
      </c>
      <c r="K1457" s="553">
        <v>18</v>
      </c>
      <c r="L1457" s="553">
        <v>1</v>
      </c>
      <c r="M1457" s="505" t="s">
        <v>137</v>
      </c>
      <c r="N1457" s="500">
        <v>43013539530000</v>
      </c>
      <c r="O1457" s="553" t="s">
        <v>2082</v>
      </c>
      <c r="P1457" s="650" t="s">
        <v>2097</v>
      </c>
      <c r="Q1457" s="564" t="s">
        <v>583</v>
      </c>
      <c r="R1457" s="564">
        <v>1</v>
      </c>
    </row>
    <row r="1458" spans="1:18" ht="15" customHeight="1" x14ac:dyDescent="0.25">
      <c r="A1458" s="553">
        <v>16</v>
      </c>
      <c r="B1458" s="553">
        <v>3</v>
      </c>
      <c r="C1458" s="553">
        <v>2</v>
      </c>
      <c r="D1458" s="553">
        <v>1</v>
      </c>
      <c r="E1458" s="553">
        <v>2</v>
      </c>
      <c r="F1458" s="553">
        <v>2</v>
      </c>
      <c r="G1458" s="553" t="s">
        <v>494</v>
      </c>
      <c r="H1458" s="553">
        <v>1320.585</v>
      </c>
      <c r="I1458" s="553">
        <v>89</v>
      </c>
      <c r="J1458" s="553">
        <v>55</v>
      </c>
      <c r="K1458" s="553">
        <v>18</v>
      </c>
      <c r="L1458" s="553">
        <v>1</v>
      </c>
      <c r="M1458" s="505" t="s">
        <v>137</v>
      </c>
      <c r="N1458" s="500">
        <v>43013539530000</v>
      </c>
      <c r="O1458" s="553" t="s">
        <v>2082</v>
      </c>
      <c r="P1458" s="650" t="s">
        <v>2098</v>
      </c>
      <c r="Q1458" s="564" t="s">
        <v>583</v>
      </c>
      <c r="R1458" s="564">
        <v>1</v>
      </c>
    </row>
    <row r="1459" spans="1:18" ht="15" customHeight="1" x14ac:dyDescent="0.25">
      <c r="A1459" s="553">
        <v>16</v>
      </c>
      <c r="B1459" s="553">
        <v>3</v>
      </c>
      <c r="C1459" s="553">
        <v>2</v>
      </c>
      <c r="D1459" s="553">
        <v>2</v>
      </c>
      <c r="E1459" s="553">
        <v>2</v>
      </c>
      <c r="F1459" s="553">
        <v>2</v>
      </c>
      <c r="G1459" s="553" t="s">
        <v>473</v>
      </c>
      <c r="H1459" s="553">
        <v>1323.34</v>
      </c>
      <c r="I1459" s="553">
        <v>1</v>
      </c>
      <c r="J1459" s="553">
        <v>48</v>
      </c>
      <c r="K1459" s="553">
        <v>31</v>
      </c>
      <c r="L1459" s="553">
        <v>4</v>
      </c>
      <c r="M1459" s="505" t="s">
        <v>137</v>
      </c>
      <c r="N1459" s="500">
        <v>43013537010000</v>
      </c>
      <c r="O1459" s="553" t="s">
        <v>1418</v>
      </c>
      <c r="P1459" s="650" t="s">
        <v>2099</v>
      </c>
      <c r="Q1459" s="564" t="s">
        <v>583</v>
      </c>
      <c r="R1459" s="564">
        <v>2</v>
      </c>
    </row>
    <row r="1460" spans="1:18" ht="15" customHeight="1" x14ac:dyDescent="0.25">
      <c r="A1460" s="553">
        <v>16</v>
      </c>
      <c r="B1460" s="553">
        <v>3</v>
      </c>
      <c r="C1460" s="553">
        <v>2</v>
      </c>
      <c r="D1460" s="553">
        <v>2</v>
      </c>
      <c r="E1460" s="553">
        <v>2</v>
      </c>
      <c r="F1460" s="553">
        <v>2</v>
      </c>
      <c r="G1460" s="502" t="s">
        <v>476</v>
      </c>
      <c r="H1460" s="553">
        <v>1323.34</v>
      </c>
      <c r="I1460" s="553">
        <v>1</v>
      </c>
      <c r="J1460" s="553">
        <v>48</v>
      </c>
      <c r="K1460" s="553">
        <v>31</v>
      </c>
      <c r="L1460" s="553">
        <v>4</v>
      </c>
      <c r="M1460" s="505" t="s">
        <v>137</v>
      </c>
      <c r="N1460" s="500">
        <v>43013537010000</v>
      </c>
      <c r="O1460" s="553" t="s">
        <v>1418</v>
      </c>
      <c r="P1460" s="650" t="s">
        <v>2100</v>
      </c>
      <c r="Q1460" s="564" t="s">
        <v>583</v>
      </c>
      <c r="R1460" s="564">
        <v>2</v>
      </c>
    </row>
    <row r="1461" spans="1:18" ht="15" customHeight="1" x14ac:dyDescent="0.25">
      <c r="A1461" s="553">
        <v>16</v>
      </c>
      <c r="B1461" s="553">
        <v>3</v>
      </c>
      <c r="C1461" s="553">
        <v>2</v>
      </c>
      <c r="D1461" s="553">
        <v>2</v>
      </c>
      <c r="E1461" s="553">
        <v>2</v>
      </c>
      <c r="F1461" s="553">
        <v>2</v>
      </c>
      <c r="G1461" s="553" t="s">
        <v>478</v>
      </c>
      <c r="H1461" s="553">
        <v>1320.14</v>
      </c>
      <c r="I1461" s="553">
        <v>1</v>
      </c>
      <c r="J1461" s="553">
        <v>46</v>
      </c>
      <c r="K1461" s="553">
        <v>42</v>
      </c>
      <c r="L1461" s="553">
        <v>4</v>
      </c>
      <c r="M1461" s="505" t="s">
        <v>137</v>
      </c>
      <c r="N1461" s="500">
        <v>43013537010000</v>
      </c>
      <c r="O1461" s="553" t="s">
        <v>1418</v>
      </c>
      <c r="P1461" s="650" t="s">
        <v>2101</v>
      </c>
      <c r="Q1461" s="564" t="s">
        <v>583</v>
      </c>
      <c r="R1461" s="564">
        <v>2</v>
      </c>
    </row>
    <row r="1462" spans="1:18" ht="15" customHeight="1" x14ac:dyDescent="0.25">
      <c r="A1462" s="553">
        <v>16</v>
      </c>
      <c r="B1462" s="553">
        <v>3</v>
      </c>
      <c r="C1462" s="553">
        <v>2</v>
      </c>
      <c r="D1462" s="553">
        <v>2</v>
      </c>
      <c r="E1462" s="553">
        <v>2</v>
      </c>
      <c r="F1462" s="553">
        <v>2</v>
      </c>
      <c r="G1462" s="553" t="s">
        <v>484</v>
      </c>
      <c r="H1462" s="553">
        <v>1320.14</v>
      </c>
      <c r="I1462" s="553">
        <v>1</v>
      </c>
      <c r="J1462" s="553">
        <v>46</v>
      </c>
      <c r="K1462" s="553">
        <v>42</v>
      </c>
      <c r="L1462" s="553">
        <v>4</v>
      </c>
      <c r="M1462" s="505" t="s">
        <v>137</v>
      </c>
      <c r="N1462" s="500">
        <v>43013537010000</v>
      </c>
      <c r="O1462" s="553" t="s">
        <v>1418</v>
      </c>
      <c r="P1462" s="650" t="s">
        <v>2102</v>
      </c>
      <c r="Q1462" s="564" t="s">
        <v>583</v>
      </c>
      <c r="R1462" s="564">
        <v>2</v>
      </c>
    </row>
    <row r="1463" spans="1:18" ht="15" customHeight="1" x14ac:dyDescent="0.25">
      <c r="A1463" s="553">
        <v>16</v>
      </c>
      <c r="B1463" s="553">
        <v>3</v>
      </c>
      <c r="C1463" s="553">
        <v>2</v>
      </c>
      <c r="D1463" s="553">
        <v>2</v>
      </c>
      <c r="E1463" s="553">
        <v>2</v>
      </c>
      <c r="F1463" s="553">
        <v>2</v>
      </c>
      <c r="G1463" s="553" t="s">
        <v>486</v>
      </c>
      <c r="H1463" s="553">
        <v>1337.03</v>
      </c>
      <c r="I1463" s="553">
        <v>1</v>
      </c>
      <c r="J1463" s="553">
        <v>24</v>
      </c>
      <c r="K1463" s="553">
        <v>6</v>
      </c>
      <c r="L1463" s="553">
        <v>1</v>
      </c>
      <c r="M1463" s="505" t="s">
        <v>137</v>
      </c>
      <c r="N1463" s="500">
        <v>43013537010000</v>
      </c>
      <c r="O1463" s="553" t="s">
        <v>1418</v>
      </c>
      <c r="P1463" s="650" t="s">
        <v>2103</v>
      </c>
      <c r="Q1463" s="564" t="s">
        <v>583</v>
      </c>
      <c r="R1463" s="564">
        <v>2</v>
      </c>
    </row>
    <row r="1464" spans="1:18" ht="15" customHeight="1" x14ac:dyDescent="0.25">
      <c r="A1464" s="553">
        <v>16</v>
      </c>
      <c r="B1464" s="553">
        <v>3</v>
      </c>
      <c r="C1464" s="553">
        <v>2</v>
      </c>
      <c r="D1464" s="553">
        <v>2</v>
      </c>
      <c r="E1464" s="553">
        <v>2</v>
      </c>
      <c r="F1464" s="553">
        <v>2</v>
      </c>
      <c r="G1464" s="502" t="s">
        <v>488</v>
      </c>
      <c r="H1464" s="553">
        <v>1337.03</v>
      </c>
      <c r="I1464" s="553">
        <v>1</v>
      </c>
      <c r="J1464" s="553">
        <v>24</v>
      </c>
      <c r="K1464" s="553">
        <v>6</v>
      </c>
      <c r="L1464" s="553">
        <v>1</v>
      </c>
      <c r="M1464" s="505" t="s">
        <v>137</v>
      </c>
      <c r="N1464" s="500">
        <v>43013537010000</v>
      </c>
      <c r="O1464" s="553" t="s">
        <v>1418</v>
      </c>
      <c r="P1464" s="650" t="s">
        <v>2104</v>
      </c>
      <c r="Q1464" s="564" t="s">
        <v>583</v>
      </c>
      <c r="R1464" s="564">
        <v>2</v>
      </c>
    </row>
    <row r="1465" spans="1:18" ht="15" customHeight="1" x14ac:dyDescent="0.25">
      <c r="A1465" s="553">
        <v>16</v>
      </c>
      <c r="B1465" s="553">
        <v>3</v>
      </c>
      <c r="C1465" s="553">
        <v>2</v>
      </c>
      <c r="D1465" s="553">
        <v>2</v>
      </c>
      <c r="E1465" s="553">
        <v>2</v>
      </c>
      <c r="F1465" s="553">
        <v>2</v>
      </c>
      <c r="G1465" s="553" t="s">
        <v>490</v>
      </c>
      <c r="H1465" s="553">
        <v>1337.03</v>
      </c>
      <c r="I1465" s="553">
        <v>1</v>
      </c>
      <c r="J1465" s="553">
        <v>24</v>
      </c>
      <c r="K1465" s="553">
        <v>6</v>
      </c>
      <c r="L1465" s="553">
        <v>1</v>
      </c>
      <c r="M1465" s="505" t="s">
        <v>137</v>
      </c>
      <c r="N1465" s="500">
        <v>43013537010000</v>
      </c>
      <c r="O1465" s="553" t="s">
        <v>1418</v>
      </c>
      <c r="P1465" s="650" t="s">
        <v>2105</v>
      </c>
      <c r="Q1465" s="564" t="s">
        <v>583</v>
      </c>
      <c r="R1465" s="564">
        <v>2</v>
      </c>
    </row>
    <row r="1466" spans="1:18" ht="15" customHeight="1" x14ac:dyDescent="0.25">
      <c r="A1466" s="553">
        <v>16</v>
      </c>
      <c r="B1466" s="553">
        <v>3</v>
      </c>
      <c r="C1466" s="553">
        <v>2</v>
      </c>
      <c r="D1466" s="553">
        <v>2</v>
      </c>
      <c r="E1466" s="553">
        <v>2</v>
      </c>
      <c r="F1466" s="553">
        <v>2</v>
      </c>
      <c r="G1466" s="553" t="s">
        <v>493</v>
      </c>
      <c r="H1466" s="553">
        <v>1337.03</v>
      </c>
      <c r="I1466" s="553">
        <v>1</v>
      </c>
      <c r="J1466" s="553">
        <v>24</v>
      </c>
      <c r="K1466" s="553">
        <v>6</v>
      </c>
      <c r="L1466" s="553">
        <v>1</v>
      </c>
      <c r="M1466" s="505" t="s">
        <v>137</v>
      </c>
      <c r="N1466" s="500">
        <v>43013537010000</v>
      </c>
      <c r="O1466" s="553" t="s">
        <v>1418</v>
      </c>
      <c r="P1466" s="650" t="s">
        <v>2106</v>
      </c>
      <c r="Q1466" s="564" t="s">
        <v>583</v>
      </c>
      <c r="R1466" s="564">
        <v>2</v>
      </c>
    </row>
    <row r="1467" spans="1:18" ht="15" customHeight="1" x14ac:dyDescent="0.25">
      <c r="A1467" s="553">
        <v>16</v>
      </c>
      <c r="B1467" s="553">
        <v>3</v>
      </c>
      <c r="C1467" s="553">
        <v>2</v>
      </c>
      <c r="D1467" s="553">
        <v>2</v>
      </c>
      <c r="E1467" s="553">
        <v>2</v>
      </c>
      <c r="F1467" s="553">
        <v>2</v>
      </c>
      <c r="G1467" s="553" t="s">
        <v>474</v>
      </c>
      <c r="H1467" s="553">
        <v>1323.635</v>
      </c>
      <c r="I1467" s="553">
        <v>88</v>
      </c>
      <c r="J1467" s="553">
        <v>39</v>
      </c>
      <c r="K1467" s="553">
        <v>21</v>
      </c>
      <c r="L1467" s="553">
        <v>2</v>
      </c>
      <c r="M1467" s="505" t="s">
        <v>137</v>
      </c>
      <c r="N1467" s="500">
        <v>43013537010000</v>
      </c>
      <c r="O1467" s="553" t="s">
        <v>1418</v>
      </c>
      <c r="P1467" s="650" t="s">
        <v>2107</v>
      </c>
      <c r="Q1467" s="564" t="s">
        <v>583</v>
      </c>
      <c r="R1467" s="564">
        <v>2</v>
      </c>
    </row>
    <row r="1468" spans="1:18" ht="15" customHeight="1" x14ac:dyDescent="0.25">
      <c r="A1468" s="553">
        <v>16</v>
      </c>
      <c r="B1468" s="553">
        <v>3</v>
      </c>
      <c r="C1468" s="553">
        <v>2</v>
      </c>
      <c r="D1468" s="553">
        <v>2</v>
      </c>
      <c r="E1468" s="553">
        <v>2</v>
      </c>
      <c r="F1468" s="553">
        <v>2</v>
      </c>
      <c r="G1468" s="502" t="s">
        <v>477</v>
      </c>
      <c r="H1468" s="553">
        <v>1323.635</v>
      </c>
      <c r="I1468" s="553">
        <v>88</v>
      </c>
      <c r="J1468" s="553">
        <v>39</v>
      </c>
      <c r="K1468" s="553">
        <v>21</v>
      </c>
      <c r="L1468" s="553">
        <v>2</v>
      </c>
      <c r="M1468" s="505" t="s">
        <v>137</v>
      </c>
      <c r="N1468" s="500">
        <v>43013537010000</v>
      </c>
      <c r="O1468" s="553" t="s">
        <v>1418</v>
      </c>
      <c r="P1468" s="650" t="s">
        <v>2108</v>
      </c>
      <c r="Q1468" s="564" t="s">
        <v>583</v>
      </c>
      <c r="R1468" s="564">
        <v>2</v>
      </c>
    </row>
    <row r="1469" spans="1:18" ht="15" customHeight="1" x14ac:dyDescent="0.25">
      <c r="A1469" s="553">
        <v>16</v>
      </c>
      <c r="B1469" s="553">
        <v>3</v>
      </c>
      <c r="C1469" s="553">
        <v>2</v>
      </c>
      <c r="D1469" s="553">
        <v>2</v>
      </c>
      <c r="E1469" s="553">
        <v>2</v>
      </c>
      <c r="F1469" s="553">
        <v>2</v>
      </c>
      <c r="G1469" s="553" t="s">
        <v>479</v>
      </c>
      <c r="H1469" s="553">
        <v>1323.635</v>
      </c>
      <c r="I1469" s="553">
        <v>88</v>
      </c>
      <c r="J1469" s="553">
        <v>39</v>
      </c>
      <c r="K1469" s="553">
        <v>21</v>
      </c>
      <c r="L1469" s="553">
        <v>2</v>
      </c>
      <c r="M1469" s="505" t="s">
        <v>137</v>
      </c>
      <c r="N1469" s="500">
        <v>43013537010000</v>
      </c>
      <c r="O1469" s="553" t="s">
        <v>1418</v>
      </c>
      <c r="P1469" s="650" t="s">
        <v>2109</v>
      </c>
      <c r="Q1469" s="564" t="s">
        <v>583</v>
      </c>
      <c r="R1469" s="564">
        <v>2</v>
      </c>
    </row>
    <row r="1470" spans="1:18" ht="15" customHeight="1" x14ac:dyDescent="0.25">
      <c r="A1470" s="553">
        <v>16</v>
      </c>
      <c r="B1470" s="553">
        <v>3</v>
      </c>
      <c r="C1470" s="553">
        <v>2</v>
      </c>
      <c r="D1470" s="553">
        <v>2</v>
      </c>
      <c r="E1470" s="553">
        <v>2</v>
      </c>
      <c r="F1470" s="553">
        <v>2</v>
      </c>
      <c r="G1470" s="553" t="s">
        <v>485</v>
      </c>
      <c r="H1470" s="553">
        <v>1323.635</v>
      </c>
      <c r="I1470" s="553">
        <v>88</v>
      </c>
      <c r="J1470" s="553">
        <v>39</v>
      </c>
      <c r="K1470" s="553">
        <v>21</v>
      </c>
      <c r="L1470" s="553">
        <v>2</v>
      </c>
      <c r="M1470" s="505" t="s">
        <v>137</v>
      </c>
      <c r="N1470" s="500">
        <v>43013537010000</v>
      </c>
      <c r="O1470" s="553" t="s">
        <v>1418</v>
      </c>
      <c r="P1470" s="650" t="s">
        <v>2110</v>
      </c>
      <c r="Q1470" s="564" t="s">
        <v>583</v>
      </c>
      <c r="R1470" s="564">
        <v>2</v>
      </c>
    </row>
    <row r="1471" spans="1:18" ht="15" customHeight="1" x14ac:dyDescent="0.25">
      <c r="A1471" s="553">
        <v>16</v>
      </c>
      <c r="B1471" s="553">
        <v>3</v>
      </c>
      <c r="C1471" s="553">
        <v>2</v>
      </c>
      <c r="D1471" s="553">
        <v>2</v>
      </c>
      <c r="E1471" s="553">
        <v>2</v>
      </c>
      <c r="F1471" s="553">
        <v>2</v>
      </c>
      <c r="G1471" s="553" t="s">
        <v>487</v>
      </c>
      <c r="H1471" s="553">
        <v>1323.3</v>
      </c>
      <c r="I1471" s="553">
        <v>89</v>
      </c>
      <c r="J1471" s="553">
        <v>26</v>
      </c>
      <c r="K1471" s="553">
        <v>3</v>
      </c>
      <c r="L1471" s="553">
        <v>1</v>
      </c>
      <c r="M1471" s="505" t="s">
        <v>137</v>
      </c>
      <c r="N1471" s="500">
        <v>43013537010000</v>
      </c>
      <c r="O1471" s="553" t="s">
        <v>1418</v>
      </c>
      <c r="P1471" s="650" t="s">
        <v>2111</v>
      </c>
      <c r="Q1471" s="564" t="s">
        <v>583</v>
      </c>
      <c r="R1471" s="564">
        <v>2</v>
      </c>
    </row>
    <row r="1472" spans="1:18" ht="15" customHeight="1" x14ac:dyDescent="0.25">
      <c r="A1472" s="553">
        <v>16</v>
      </c>
      <c r="B1472" s="553">
        <v>3</v>
      </c>
      <c r="C1472" s="553">
        <v>2</v>
      </c>
      <c r="D1472" s="553">
        <v>2</v>
      </c>
      <c r="E1472" s="553">
        <v>2</v>
      </c>
      <c r="F1472" s="553">
        <v>2</v>
      </c>
      <c r="G1472" s="502" t="s">
        <v>489</v>
      </c>
      <c r="H1472" s="553">
        <v>1301.71</v>
      </c>
      <c r="I1472" s="553">
        <v>89</v>
      </c>
      <c r="J1472" s="553">
        <v>2</v>
      </c>
      <c r="K1472" s="553">
        <v>57</v>
      </c>
      <c r="L1472" s="553">
        <v>2</v>
      </c>
      <c r="M1472" s="554" t="s">
        <v>137</v>
      </c>
      <c r="N1472" s="500">
        <v>43013537010000</v>
      </c>
      <c r="O1472" s="553" t="s">
        <v>1418</v>
      </c>
      <c r="P1472" s="650" t="s">
        <v>2112</v>
      </c>
      <c r="Q1472" s="564" t="s">
        <v>583</v>
      </c>
      <c r="R1472" s="564">
        <v>2</v>
      </c>
    </row>
    <row r="1473" spans="1:18" ht="15" customHeight="1" x14ac:dyDescent="0.25">
      <c r="A1473" s="553">
        <v>16</v>
      </c>
      <c r="B1473" s="553">
        <v>3</v>
      </c>
      <c r="C1473" s="553">
        <v>2</v>
      </c>
      <c r="D1473" s="553">
        <v>2</v>
      </c>
      <c r="E1473" s="553">
        <v>2</v>
      </c>
      <c r="F1473" s="553">
        <v>2</v>
      </c>
      <c r="G1473" s="553" t="s">
        <v>491</v>
      </c>
      <c r="H1473" s="553">
        <v>1317.105</v>
      </c>
      <c r="I1473" s="553">
        <v>88</v>
      </c>
      <c r="J1473" s="553">
        <v>50</v>
      </c>
      <c r="K1473" s="553">
        <v>10</v>
      </c>
      <c r="L1473" s="553">
        <v>2</v>
      </c>
      <c r="M1473" s="554" t="s">
        <v>137</v>
      </c>
      <c r="N1473" s="500">
        <v>43013537010000</v>
      </c>
      <c r="O1473" s="553" t="s">
        <v>1418</v>
      </c>
      <c r="P1473" s="650" t="s">
        <v>2113</v>
      </c>
      <c r="Q1473" s="564" t="s">
        <v>583</v>
      </c>
      <c r="R1473" s="564">
        <v>2</v>
      </c>
    </row>
    <row r="1474" spans="1:18" ht="15" customHeight="1" x14ac:dyDescent="0.25">
      <c r="A1474" s="553">
        <v>16</v>
      </c>
      <c r="B1474" s="553">
        <v>3</v>
      </c>
      <c r="C1474" s="553">
        <v>2</v>
      </c>
      <c r="D1474" s="553">
        <v>2</v>
      </c>
      <c r="E1474" s="553">
        <v>2</v>
      </c>
      <c r="F1474" s="553">
        <v>2</v>
      </c>
      <c r="G1474" s="553" t="s">
        <v>494</v>
      </c>
      <c r="H1474" s="553">
        <v>1317.105</v>
      </c>
      <c r="I1474" s="553">
        <v>88</v>
      </c>
      <c r="J1474" s="553">
        <v>50</v>
      </c>
      <c r="K1474" s="553">
        <v>10</v>
      </c>
      <c r="L1474" s="553">
        <v>2</v>
      </c>
      <c r="M1474" s="554" t="s">
        <v>137</v>
      </c>
      <c r="N1474" s="500">
        <v>43013537010000</v>
      </c>
      <c r="O1474" s="553" t="s">
        <v>1418</v>
      </c>
      <c r="P1474" s="650" t="s">
        <v>2114</v>
      </c>
      <c r="Q1474" s="564" t="s">
        <v>583</v>
      </c>
      <c r="R1474" s="564">
        <v>2</v>
      </c>
    </row>
    <row r="1475" spans="1:18" ht="15" customHeight="1" x14ac:dyDescent="0.25">
      <c r="A1475" s="553">
        <v>16</v>
      </c>
      <c r="B1475" s="553">
        <v>3</v>
      </c>
      <c r="C1475" s="553">
        <v>2</v>
      </c>
      <c r="D1475" s="553">
        <v>5</v>
      </c>
      <c r="E1475" s="553">
        <v>2</v>
      </c>
      <c r="F1475" s="553">
        <v>2</v>
      </c>
      <c r="G1475" s="553" t="s">
        <v>473</v>
      </c>
      <c r="H1475" s="553">
        <v>1319.48</v>
      </c>
      <c r="I1475" s="553">
        <v>0</v>
      </c>
      <c r="J1475" s="553">
        <v>31</v>
      </c>
      <c r="K1475" s="553">
        <v>12</v>
      </c>
      <c r="L1475" s="553">
        <v>2</v>
      </c>
      <c r="M1475" s="554" t="s">
        <v>137</v>
      </c>
      <c r="N1475" s="500">
        <v>43013540320000</v>
      </c>
      <c r="O1475" s="553" t="s">
        <v>1948</v>
      </c>
      <c r="P1475" s="650" t="s">
        <v>2115</v>
      </c>
      <c r="Q1475" s="564" t="s">
        <v>583</v>
      </c>
      <c r="R1475" s="564">
        <v>1</v>
      </c>
    </row>
    <row r="1476" spans="1:18" ht="15" customHeight="1" x14ac:dyDescent="0.25">
      <c r="A1476" s="553">
        <v>16</v>
      </c>
      <c r="B1476" s="553">
        <v>3</v>
      </c>
      <c r="C1476" s="553">
        <v>2</v>
      </c>
      <c r="D1476" s="553">
        <v>5</v>
      </c>
      <c r="E1476" s="553">
        <v>2</v>
      </c>
      <c r="F1476" s="553">
        <v>2</v>
      </c>
      <c r="G1476" s="502" t="s">
        <v>476</v>
      </c>
      <c r="H1476" s="553">
        <v>1319.48</v>
      </c>
      <c r="I1476" s="553">
        <v>0</v>
      </c>
      <c r="J1476" s="553">
        <v>31</v>
      </c>
      <c r="K1476" s="553">
        <v>12</v>
      </c>
      <c r="L1476" s="553">
        <v>2</v>
      </c>
      <c r="M1476" s="554" t="s">
        <v>137</v>
      </c>
      <c r="N1476" s="500">
        <v>43013540320000</v>
      </c>
      <c r="O1476" s="553" t="s">
        <v>1948</v>
      </c>
      <c r="P1476" s="650" t="s">
        <v>2116</v>
      </c>
      <c r="Q1476" s="564" t="s">
        <v>583</v>
      </c>
      <c r="R1476" s="564">
        <v>1</v>
      </c>
    </row>
    <row r="1477" spans="1:18" ht="15" customHeight="1" x14ac:dyDescent="0.25">
      <c r="A1477" s="553">
        <v>16</v>
      </c>
      <c r="B1477" s="553">
        <v>3</v>
      </c>
      <c r="C1477" s="553">
        <v>2</v>
      </c>
      <c r="D1477" s="553">
        <v>5</v>
      </c>
      <c r="E1477" s="553">
        <v>2</v>
      </c>
      <c r="F1477" s="553">
        <v>2</v>
      </c>
      <c r="G1477" s="553" t="s">
        <v>478</v>
      </c>
      <c r="H1477" s="553">
        <v>1327.9749999999999</v>
      </c>
      <c r="I1477" s="553">
        <v>0</v>
      </c>
      <c r="J1477" s="553">
        <v>2</v>
      </c>
      <c r="K1477" s="553">
        <v>9</v>
      </c>
      <c r="L1477" s="553">
        <v>4</v>
      </c>
      <c r="M1477" s="554" t="s">
        <v>137</v>
      </c>
      <c r="N1477" s="500">
        <v>43013540320000</v>
      </c>
      <c r="O1477" s="553" t="s">
        <v>1948</v>
      </c>
      <c r="P1477" s="650" t="s">
        <v>2117</v>
      </c>
      <c r="Q1477" s="564" t="s">
        <v>583</v>
      </c>
      <c r="R1477" s="564">
        <v>1</v>
      </c>
    </row>
    <row r="1478" spans="1:18" ht="15" customHeight="1" x14ac:dyDescent="0.25">
      <c r="A1478" s="553">
        <v>16</v>
      </c>
      <c r="B1478" s="553">
        <v>3</v>
      </c>
      <c r="C1478" s="553">
        <v>2</v>
      </c>
      <c r="D1478" s="553">
        <v>5</v>
      </c>
      <c r="E1478" s="553">
        <v>2</v>
      </c>
      <c r="F1478" s="553">
        <v>2</v>
      </c>
      <c r="G1478" s="553" t="s">
        <v>484</v>
      </c>
      <c r="H1478" s="553">
        <v>1327.9749999999999</v>
      </c>
      <c r="I1478" s="553">
        <v>0</v>
      </c>
      <c r="J1478" s="553">
        <v>2</v>
      </c>
      <c r="K1478" s="553">
        <v>9</v>
      </c>
      <c r="L1478" s="553">
        <v>4</v>
      </c>
      <c r="M1478" s="554" t="s">
        <v>137</v>
      </c>
      <c r="N1478" s="500">
        <v>43013540320000</v>
      </c>
      <c r="O1478" s="553" t="s">
        <v>1948</v>
      </c>
      <c r="P1478" s="650" t="s">
        <v>2118</v>
      </c>
      <c r="Q1478" s="564" t="s">
        <v>583</v>
      </c>
      <c r="R1478" s="564">
        <v>1</v>
      </c>
    </row>
    <row r="1479" spans="1:18" ht="15" customHeight="1" x14ac:dyDescent="0.25">
      <c r="A1479" s="553">
        <v>16</v>
      </c>
      <c r="B1479" s="553">
        <v>3</v>
      </c>
      <c r="C1479" s="553">
        <v>2</v>
      </c>
      <c r="D1479" s="553">
        <v>5</v>
      </c>
      <c r="E1479" s="553">
        <v>2</v>
      </c>
      <c r="F1479" s="553">
        <v>2</v>
      </c>
      <c r="G1479" s="553" t="s">
        <v>486</v>
      </c>
      <c r="H1479" s="553">
        <v>1321.2349999999999</v>
      </c>
      <c r="I1479" s="553">
        <v>0</v>
      </c>
      <c r="J1479" s="553">
        <v>9</v>
      </c>
      <c r="K1479" s="553">
        <v>53</v>
      </c>
      <c r="L1479" s="553">
        <v>4</v>
      </c>
      <c r="M1479" s="554" t="s">
        <v>137</v>
      </c>
      <c r="N1479" s="500">
        <v>43013540320000</v>
      </c>
      <c r="O1479" s="553" t="s">
        <v>1948</v>
      </c>
      <c r="P1479" s="650" t="s">
        <v>2119</v>
      </c>
      <c r="Q1479" s="564" t="s">
        <v>583</v>
      </c>
      <c r="R1479" s="564">
        <v>1</v>
      </c>
    </row>
    <row r="1480" spans="1:18" ht="15" customHeight="1" x14ac:dyDescent="0.25">
      <c r="A1480" s="553">
        <v>16</v>
      </c>
      <c r="B1480" s="553">
        <v>3</v>
      </c>
      <c r="C1480" s="553">
        <v>2</v>
      </c>
      <c r="D1480" s="553">
        <v>5</v>
      </c>
      <c r="E1480" s="553">
        <v>2</v>
      </c>
      <c r="F1480" s="553">
        <v>2</v>
      </c>
      <c r="G1480" s="502" t="s">
        <v>488</v>
      </c>
      <c r="H1480" s="553">
        <v>1321.2349999999999</v>
      </c>
      <c r="I1480" s="553">
        <v>0</v>
      </c>
      <c r="J1480" s="553">
        <v>9</v>
      </c>
      <c r="K1480" s="553">
        <v>53</v>
      </c>
      <c r="L1480" s="553">
        <v>4</v>
      </c>
      <c r="M1480" s="554" t="s">
        <v>137</v>
      </c>
      <c r="N1480" s="500">
        <v>43013540320000</v>
      </c>
      <c r="O1480" s="553" t="s">
        <v>1948</v>
      </c>
      <c r="P1480" s="650" t="s">
        <v>2120</v>
      </c>
      <c r="Q1480" s="564" t="s">
        <v>583</v>
      </c>
      <c r="R1480" s="564">
        <v>1</v>
      </c>
    </row>
    <row r="1481" spans="1:18" ht="15" customHeight="1" x14ac:dyDescent="0.25">
      <c r="A1481" s="553">
        <v>16</v>
      </c>
      <c r="B1481" s="553">
        <v>3</v>
      </c>
      <c r="C1481" s="553">
        <v>2</v>
      </c>
      <c r="D1481" s="553">
        <v>5</v>
      </c>
      <c r="E1481" s="553">
        <v>2</v>
      </c>
      <c r="F1481" s="553">
        <v>2</v>
      </c>
      <c r="G1481" s="553" t="s">
        <v>490</v>
      </c>
      <c r="H1481" s="553">
        <v>1322.0650000000001</v>
      </c>
      <c r="I1481" s="553">
        <v>0</v>
      </c>
      <c r="J1481" s="553">
        <v>6</v>
      </c>
      <c r="K1481" s="553">
        <v>17</v>
      </c>
      <c r="L1481" s="553">
        <v>4</v>
      </c>
      <c r="M1481" s="554" t="s">
        <v>137</v>
      </c>
      <c r="N1481" s="500">
        <v>43013540320000</v>
      </c>
      <c r="O1481" s="553" t="s">
        <v>1948</v>
      </c>
      <c r="P1481" s="650" t="s">
        <v>2121</v>
      </c>
      <c r="Q1481" s="564" t="s">
        <v>583</v>
      </c>
      <c r="R1481" s="564">
        <v>1</v>
      </c>
    </row>
    <row r="1482" spans="1:18" ht="15" customHeight="1" x14ac:dyDescent="0.25">
      <c r="A1482" s="553">
        <v>16</v>
      </c>
      <c r="B1482" s="553">
        <v>3</v>
      </c>
      <c r="C1482" s="553">
        <v>2</v>
      </c>
      <c r="D1482" s="553">
        <v>5</v>
      </c>
      <c r="E1482" s="553">
        <v>2</v>
      </c>
      <c r="F1482" s="553">
        <v>2</v>
      </c>
      <c r="G1482" s="553" t="s">
        <v>493</v>
      </c>
      <c r="H1482" s="553">
        <v>1322.0650000000001</v>
      </c>
      <c r="I1482" s="553">
        <v>0</v>
      </c>
      <c r="J1482" s="553">
        <v>6</v>
      </c>
      <c r="K1482" s="553">
        <v>17</v>
      </c>
      <c r="L1482" s="553">
        <v>4</v>
      </c>
      <c r="M1482" s="554" t="s">
        <v>137</v>
      </c>
      <c r="N1482" s="500">
        <v>43013540320000</v>
      </c>
      <c r="O1482" s="553" t="s">
        <v>1948</v>
      </c>
      <c r="P1482" s="650" t="s">
        <v>2122</v>
      </c>
      <c r="Q1482" s="564" t="s">
        <v>583</v>
      </c>
      <c r="R1482" s="564">
        <v>1</v>
      </c>
    </row>
    <row r="1483" spans="1:18" ht="15" customHeight="1" x14ac:dyDescent="0.25">
      <c r="A1483" s="553">
        <v>16</v>
      </c>
      <c r="B1483" s="553">
        <v>3</v>
      </c>
      <c r="C1483" s="553">
        <v>2</v>
      </c>
      <c r="D1483" s="553">
        <v>5</v>
      </c>
      <c r="E1483" s="553">
        <v>2</v>
      </c>
      <c r="F1483" s="553">
        <v>2</v>
      </c>
      <c r="G1483" s="553" t="s">
        <v>474</v>
      </c>
      <c r="H1483" s="553">
        <v>1319.4</v>
      </c>
      <c r="I1483" s="553">
        <v>89</v>
      </c>
      <c r="J1483" s="553">
        <v>49</v>
      </c>
      <c r="K1483" s="553">
        <v>46</v>
      </c>
      <c r="L1483" s="553">
        <v>3</v>
      </c>
      <c r="M1483" s="554" t="s">
        <v>137</v>
      </c>
      <c r="N1483" s="500">
        <v>43013540320000</v>
      </c>
      <c r="O1483" s="553" t="s">
        <v>1948</v>
      </c>
      <c r="P1483" s="650" t="s">
        <v>2123</v>
      </c>
      <c r="Q1483" s="564" t="s">
        <v>583</v>
      </c>
      <c r="R1483" s="564">
        <v>1</v>
      </c>
    </row>
    <row r="1484" spans="1:18" ht="15" customHeight="1" x14ac:dyDescent="0.25">
      <c r="A1484" s="553">
        <v>16</v>
      </c>
      <c r="B1484" s="553">
        <v>3</v>
      </c>
      <c r="C1484" s="553">
        <v>2</v>
      </c>
      <c r="D1484" s="553">
        <v>5</v>
      </c>
      <c r="E1484" s="553">
        <v>2</v>
      </c>
      <c r="F1484" s="553">
        <v>2</v>
      </c>
      <c r="G1484" s="502" t="s">
        <v>477</v>
      </c>
      <c r="H1484" s="553">
        <v>1319.4</v>
      </c>
      <c r="I1484" s="553">
        <v>89</v>
      </c>
      <c r="J1484" s="553">
        <v>49</v>
      </c>
      <c r="K1484" s="553">
        <v>46</v>
      </c>
      <c r="L1484" s="553">
        <v>3</v>
      </c>
      <c r="M1484" s="554" t="s">
        <v>137</v>
      </c>
      <c r="N1484" s="500">
        <v>43013540320000</v>
      </c>
      <c r="O1484" s="553" t="s">
        <v>1948</v>
      </c>
      <c r="P1484" s="650" t="s">
        <v>2124</v>
      </c>
      <c r="Q1484" s="564" t="s">
        <v>583</v>
      </c>
      <c r="R1484" s="564">
        <v>1</v>
      </c>
    </row>
    <row r="1485" spans="1:18" ht="15" customHeight="1" x14ac:dyDescent="0.25">
      <c r="A1485" s="553">
        <v>16</v>
      </c>
      <c r="B1485" s="553">
        <v>3</v>
      </c>
      <c r="C1485" s="553">
        <v>2</v>
      </c>
      <c r="D1485" s="553">
        <v>5</v>
      </c>
      <c r="E1485" s="553">
        <v>2</v>
      </c>
      <c r="F1485" s="553">
        <v>2</v>
      </c>
      <c r="G1485" s="553" t="s">
        <v>479</v>
      </c>
      <c r="H1485" s="553">
        <v>1329.65</v>
      </c>
      <c r="I1485" s="553">
        <v>89</v>
      </c>
      <c r="J1485" s="553">
        <v>53</v>
      </c>
      <c r="K1485" s="553">
        <v>58</v>
      </c>
      <c r="L1485" s="553">
        <v>3</v>
      </c>
      <c r="M1485" s="554" t="s">
        <v>137</v>
      </c>
      <c r="N1485" s="500">
        <v>43013540320000</v>
      </c>
      <c r="O1485" s="553" t="s">
        <v>1948</v>
      </c>
      <c r="P1485" s="650" t="s">
        <v>2125</v>
      </c>
      <c r="Q1485" s="564" t="s">
        <v>583</v>
      </c>
      <c r="R1485" s="564">
        <v>1</v>
      </c>
    </row>
    <row r="1486" spans="1:18" ht="15" customHeight="1" x14ac:dyDescent="0.25">
      <c r="A1486" s="553">
        <v>16</v>
      </c>
      <c r="B1486" s="553">
        <v>3</v>
      </c>
      <c r="C1486" s="553">
        <v>2</v>
      </c>
      <c r="D1486" s="553">
        <v>5</v>
      </c>
      <c r="E1486" s="553">
        <v>2</v>
      </c>
      <c r="F1486" s="553">
        <v>2</v>
      </c>
      <c r="G1486" s="553" t="s">
        <v>485</v>
      </c>
      <c r="H1486" s="553">
        <v>1329.65</v>
      </c>
      <c r="I1486" s="553">
        <v>89</v>
      </c>
      <c r="J1486" s="553">
        <v>53</v>
      </c>
      <c r="K1486" s="553">
        <v>58</v>
      </c>
      <c r="L1486" s="553">
        <v>3</v>
      </c>
      <c r="M1486" s="554" t="s">
        <v>137</v>
      </c>
      <c r="N1486" s="500">
        <v>43013540320000</v>
      </c>
      <c r="O1486" s="553" t="s">
        <v>1948</v>
      </c>
      <c r="P1486" s="650" t="s">
        <v>2126</v>
      </c>
      <c r="Q1486" s="564" t="s">
        <v>583</v>
      </c>
      <c r="R1486" s="564">
        <v>1</v>
      </c>
    </row>
    <row r="1487" spans="1:18" ht="15" customHeight="1" x14ac:dyDescent="0.25">
      <c r="A1487" s="553">
        <v>16</v>
      </c>
      <c r="B1487" s="553">
        <v>3</v>
      </c>
      <c r="C1487" s="553">
        <v>2</v>
      </c>
      <c r="D1487" s="553">
        <v>5</v>
      </c>
      <c r="E1487" s="553">
        <v>2</v>
      </c>
      <c r="F1487" s="553">
        <v>2</v>
      </c>
      <c r="G1487" s="553" t="s">
        <v>487</v>
      </c>
      <c r="H1487" s="553">
        <v>1347.29</v>
      </c>
      <c r="I1487" s="553">
        <v>89</v>
      </c>
      <c r="J1487" s="553">
        <v>53</v>
      </c>
      <c r="K1487" s="553">
        <v>24</v>
      </c>
      <c r="L1487" s="553">
        <v>1</v>
      </c>
      <c r="M1487" s="554" t="s">
        <v>137</v>
      </c>
      <c r="N1487" s="500">
        <v>43013540320000</v>
      </c>
      <c r="O1487" s="553" t="s">
        <v>1948</v>
      </c>
      <c r="P1487" s="650" t="s">
        <v>2127</v>
      </c>
      <c r="Q1487" s="564" t="s">
        <v>583</v>
      </c>
      <c r="R1487" s="564">
        <v>1</v>
      </c>
    </row>
    <row r="1488" spans="1:18" ht="15" customHeight="1" x14ac:dyDescent="0.25">
      <c r="A1488" s="508">
        <v>16</v>
      </c>
      <c r="B1488" s="508">
        <v>3</v>
      </c>
      <c r="C1488" s="508">
        <v>2</v>
      </c>
      <c r="D1488" s="508">
        <v>5</v>
      </c>
      <c r="E1488" s="508">
        <v>2</v>
      </c>
      <c r="F1488" s="508">
        <v>2</v>
      </c>
      <c r="G1488" s="509" t="s">
        <v>489</v>
      </c>
      <c r="H1488" s="508">
        <v>1347.29</v>
      </c>
      <c r="I1488" s="508">
        <v>89</v>
      </c>
      <c r="J1488" s="508">
        <v>53</v>
      </c>
      <c r="K1488" s="508">
        <v>24</v>
      </c>
      <c r="L1488" s="508">
        <v>1</v>
      </c>
      <c r="M1488" s="557" t="s">
        <v>137</v>
      </c>
      <c r="N1488" s="510">
        <v>43013540320000</v>
      </c>
      <c r="O1488" s="508" t="s">
        <v>1948</v>
      </c>
      <c r="P1488" s="650" t="s">
        <v>2128</v>
      </c>
      <c r="Q1488" s="564" t="s">
        <v>583</v>
      </c>
      <c r="R1488" s="564">
        <v>1</v>
      </c>
    </row>
    <row r="1489" spans="1:18" ht="15" customHeight="1" x14ac:dyDescent="0.25">
      <c r="A1489" s="508">
        <v>16</v>
      </c>
      <c r="B1489" s="508">
        <v>3</v>
      </c>
      <c r="C1489" s="508">
        <v>2</v>
      </c>
      <c r="D1489" s="508">
        <v>5</v>
      </c>
      <c r="E1489" s="508">
        <v>2</v>
      </c>
      <c r="F1489" s="508">
        <v>2</v>
      </c>
      <c r="G1489" s="508" t="s">
        <v>491</v>
      </c>
      <c r="H1489" s="508">
        <v>1319.45</v>
      </c>
      <c r="I1489" s="508">
        <v>89</v>
      </c>
      <c r="J1489" s="508">
        <v>26</v>
      </c>
      <c r="K1489" s="508">
        <v>15</v>
      </c>
      <c r="L1489" s="508">
        <v>3</v>
      </c>
      <c r="M1489" s="557" t="s">
        <v>137</v>
      </c>
      <c r="N1489" s="510">
        <v>43013540320000</v>
      </c>
      <c r="O1489" s="508" t="s">
        <v>1948</v>
      </c>
      <c r="P1489" s="650" t="s">
        <v>2129</v>
      </c>
      <c r="Q1489" s="564" t="s">
        <v>583</v>
      </c>
      <c r="R1489" s="564">
        <v>1</v>
      </c>
    </row>
    <row r="1490" spans="1:18" ht="15" customHeight="1" x14ac:dyDescent="0.25">
      <c r="A1490" s="508">
        <v>16</v>
      </c>
      <c r="B1490" s="508">
        <v>3</v>
      </c>
      <c r="C1490" s="508">
        <v>2</v>
      </c>
      <c r="D1490" s="508">
        <v>5</v>
      </c>
      <c r="E1490" s="508">
        <v>2</v>
      </c>
      <c r="F1490" s="508">
        <v>2</v>
      </c>
      <c r="G1490" s="508" t="s">
        <v>494</v>
      </c>
      <c r="H1490" s="508">
        <v>1319.45</v>
      </c>
      <c r="I1490" s="508">
        <v>89</v>
      </c>
      <c r="J1490" s="508">
        <v>26</v>
      </c>
      <c r="K1490" s="508">
        <v>15</v>
      </c>
      <c r="L1490" s="508">
        <v>3</v>
      </c>
      <c r="M1490" s="557" t="s">
        <v>137</v>
      </c>
      <c r="N1490" s="510">
        <v>43013540320000</v>
      </c>
      <c r="O1490" s="508" t="s">
        <v>1948</v>
      </c>
      <c r="P1490" s="650" t="s">
        <v>2130</v>
      </c>
      <c r="Q1490" s="564" t="s">
        <v>583</v>
      </c>
      <c r="R1490" s="564">
        <v>1</v>
      </c>
    </row>
    <row r="1491" spans="1:18" ht="15" customHeight="1" x14ac:dyDescent="0.25">
      <c r="A1491" s="564">
        <v>16</v>
      </c>
      <c r="B1491" s="564">
        <v>4</v>
      </c>
      <c r="C1491" s="564">
        <v>2</v>
      </c>
      <c r="D1491" s="564">
        <v>1</v>
      </c>
      <c r="E1491" s="564">
        <v>2</v>
      </c>
      <c r="F1491" s="564">
        <v>2</v>
      </c>
      <c r="G1491" s="564" t="s">
        <v>473</v>
      </c>
      <c r="H1491" s="564">
        <v>1320.91</v>
      </c>
      <c r="I1491" s="564">
        <v>0</v>
      </c>
      <c r="J1491" s="564">
        <v>1</v>
      </c>
      <c r="K1491" s="564">
        <v>21</v>
      </c>
      <c r="L1491" s="564">
        <v>4</v>
      </c>
      <c r="M1491" s="561" t="s">
        <v>137</v>
      </c>
      <c r="N1491" s="520"/>
      <c r="O1491" s="564"/>
      <c r="P1491" s="564" t="s">
        <v>2131</v>
      </c>
      <c r="Q1491" s="564"/>
      <c r="R1491" s="564">
        <v>2</v>
      </c>
    </row>
    <row r="1492" spans="1:18" ht="15" customHeight="1" x14ac:dyDescent="0.25">
      <c r="A1492" s="564">
        <v>16</v>
      </c>
      <c r="B1492" s="564">
        <v>4</v>
      </c>
      <c r="C1492" s="564">
        <v>2</v>
      </c>
      <c r="D1492" s="564">
        <v>1</v>
      </c>
      <c r="E1492" s="564">
        <v>2</v>
      </c>
      <c r="F1492" s="564">
        <v>2</v>
      </c>
      <c r="G1492" s="521" t="s">
        <v>476</v>
      </c>
      <c r="H1492" s="564">
        <v>1320.91</v>
      </c>
      <c r="I1492" s="564">
        <v>0</v>
      </c>
      <c r="J1492" s="564">
        <v>1</v>
      </c>
      <c r="K1492" s="564">
        <v>21</v>
      </c>
      <c r="L1492" s="564">
        <v>4</v>
      </c>
      <c r="M1492" s="561" t="s">
        <v>137</v>
      </c>
      <c r="N1492" s="520"/>
      <c r="O1492" s="564"/>
      <c r="P1492" s="564" t="s">
        <v>2132</v>
      </c>
      <c r="Q1492" s="564"/>
      <c r="R1492" s="564">
        <v>2</v>
      </c>
    </row>
    <row r="1493" spans="1:18" ht="15" customHeight="1" x14ac:dyDescent="0.25">
      <c r="A1493" s="564">
        <v>16</v>
      </c>
      <c r="B1493" s="564">
        <v>4</v>
      </c>
      <c r="C1493" s="564">
        <v>2</v>
      </c>
      <c r="D1493" s="564">
        <v>1</v>
      </c>
      <c r="E1493" s="564">
        <v>2</v>
      </c>
      <c r="F1493" s="564">
        <v>2</v>
      </c>
      <c r="G1493" s="564" t="s">
        <v>478</v>
      </c>
      <c r="H1493" s="564">
        <v>1320.91</v>
      </c>
      <c r="I1493" s="564">
        <v>0</v>
      </c>
      <c r="J1493" s="564">
        <v>1</v>
      </c>
      <c r="K1493" s="564">
        <v>21</v>
      </c>
      <c r="L1493" s="564">
        <v>0</v>
      </c>
      <c r="M1493" s="561" t="s">
        <v>137</v>
      </c>
      <c r="N1493" s="520"/>
      <c r="O1493" s="564"/>
      <c r="P1493" s="564" t="s">
        <v>2133</v>
      </c>
      <c r="Q1493" s="564"/>
      <c r="R1493" s="564">
        <v>2</v>
      </c>
    </row>
    <row r="1494" spans="1:18" ht="15" customHeight="1" x14ac:dyDescent="0.25">
      <c r="A1494" s="564">
        <v>16</v>
      </c>
      <c r="B1494" s="564">
        <v>4</v>
      </c>
      <c r="C1494" s="564">
        <v>2</v>
      </c>
      <c r="D1494" s="564">
        <v>1</v>
      </c>
      <c r="E1494" s="564">
        <v>2</v>
      </c>
      <c r="F1494" s="564">
        <v>2</v>
      </c>
      <c r="G1494" s="564" t="s">
        <v>484</v>
      </c>
      <c r="H1494" s="564">
        <v>1320.91</v>
      </c>
      <c r="I1494" s="564">
        <v>0</v>
      </c>
      <c r="J1494" s="564">
        <v>1</v>
      </c>
      <c r="K1494" s="564">
        <v>21</v>
      </c>
      <c r="L1494" s="564">
        <v>0</v>
      </c>
      <c r="M1494" s="561" t="s">
        <v>137</v>
      </c>
      <c r="N1494" s="520"/>
      <c r="O1494" s="564"/>
      <c r="P1494" s="564" t="s">
        <v>2134</v>
      </c>
      <c r="Q1494" s="564"/>
      <c r="R1494" s="564">
        <v>2</v>
      </c>
    </row>
    <row r="1495" spans="1:18" ht="15" customHeight="1" x14ac:dyDescent="0.25">
      <c r="A1495" s="564">
        <v>16</v>
      </c>
      <c r="B1495" s="564">
        <v>4</v>
      </c>
      <c r="C1495" s="564">
        <v>2</v>
      </c>
      <c r="D1495" s="564">
        <v>1</v>
      </c>
      <c r="E1495" s="564">
        <v>2</v>
      </c>
      <c r="F1495" s="564">
        <v>2</v>
      </c>
      <c r="G1495" s="564" t="s">
        <v>486</v>
      </c>
      <c r="H1495" s="564">
        <v>1319.01</v>
      </c>
      <c r="I1495" s="564">
        <v>0</v>
      </c>
      <c r="J1495" s="564">
        <v>4</v>
      </c>
      <c r="K1495" s="564">
        <v>42</v>
      </c>
      <c r="L1495" s="564">
        <v>4</v>
      </c>
      <c r="M1495" s="561" t="s">
        <v>137</v>
      </c>
      <c r="N1495" s="520"/>
      <c r="O1495" s="564"/>
      <c r="P1495" s="564" t="s">
        <v>2135</v>
      </c>
      <c r="Q1495" s="564"/>
      <c r="R1495" s="564">
        <v>2</v>
      </c>
    </row>
    <row r="1496" spans="1:18" ht="15" customHeight="1" x14ac:dyDescent="0.25">
      <c r="A1496" s="564">
        <v>16</v>
      </c>
      <c r="B1496" s="564">
        <v>4</v>
      </c>
      <c r="C1496" s="564">
        <v>2</v>
      </c>
      <c r="D1496" s="564">
        <v>1</v>
      </c>
      <c r="E1496" s="564">
        <v>2</v>
      </c>
      <c r="F1496" s="564">
        <v>2</v>
      </c>
      <c r="G1496" s="521" t="s">
        <v>488</v>
      </c>
      <c r="H1496" s="564">
        <v>1319.01</v>
      </c>
      <c r="I1496" s="564">
        <v>0</v>
      </c>
      <c r="J1496" s="564">
        <v>4</v>
      </c>
      <c r="K1496" s="564">
        <v>42</v>
      </c>
      <c r="L1496" s="564">
        <v>4</v>
      </c>
      <c r="M1496" s="561" t="s">
        <v>137</v>
      </c>
      <c r="N1496" s="520"/>
      <c r="O1496" s="564"/>
      <c r="P1496" s="564" t="s">
        <v>2136</v>
      </c>
      <c r="Q1496" s="564"/>
      <c r="R1496" s="564">
        <v>2</v>
      </c>
    </row>
    <row r="1497" spans="1:18" ht="15" customHeight="1" x14ac:dyDescent="0.25">
      <c r="A1497" s="564">
        <v>16</v>
      </c>
      <c r="B1497" s="564">
        <v>4</v>
      </c>
      <c r="C1497" s="564">
        <v>2</v>
      </c>
      <c r="D1497" s="564">
        <v>1</v>
      </c>
      <c r="E1497" s="564">
        <v>2</v>
      </c>
      <c r="F1497" s="564">
        <v>2</v>
      </c>
      <c r="G1497" s="564" t="s">
        <v>490</v>
      </c>
      <c r="H1497" s="564">
        <v>1319.855</v>
      </c>
      <c r="I1497" s="564">
        <v>0</v>
      </c>
      <c r="J1497" s="564">
        <v>18</v>
      </c>
      <c r="K1497" s="564">
        <v>31</v>
      </c>
      <c r="L1497" s="564">
        <v>4</v>
      </c>
      <c r="M1497" s="561" t="s">
        <v>137</v>
      </c>
      <c r="N1497" s="520"/>
      <c r="O1497" s="564"/>
      <c r="P1497" s="564" t="s">
        <v>2137</v>
      </c>
      <c r="Q1497" s="564"/>
      <c r="R1497" s="564">
        <v>2</v>
      </c>
    </row>
    <row r="1498" spans="1:18" ht="15" customHeight="1" x14ac:dyDescent="0.25">
      <c r="A1498" s="564">
        <v>16</v>
      </c>
      <c r="B1498" s="564">
        <v>4</v>
      </c>
      <c r="C1498" s="564">
        <v>2</v>
      </c>
      <c r="D1498" s="564">
        <v>1</v>
      </c>
      <c r="E1498" s="564">
        <v>2</v>
      </c>
      <c r="F1498" s="564">
        <v>2</v>
      </c>
      <c r="G1498" s="564" t="s">
        <v>493</v>
      </c>
      <c r="H1498" s="564">
        <v>1319.855</v>
      </c>
      <c r="I1498" s="564">
        <v>0</v>
      </c>
      <c r="J1498" s="564">
        <v>18</v>
      </c>
      <c r="K1498" s="564">
        <v>31</v>
      </c>
      <c r="L1498" s="564">
        <v>4</v>
      </c>
      <c r="M1498" s="561" t="s">
        <v>137</v>
      </c>
      <c r="N1498" s="520"/>
      <c r="O1498" s="564"/>
      <c r="P1498" s="564" t="s">
        <v>2138</v>
      </c>
      <c r="Q1498" s="564"/>
      <c r="R1498" s="564">
        <v>2</v>
      </c>
    </row>
    <row r="1499" spans="1:18" ht="15" customHeight="1" x14ac:dyDescent="0.25">
      <c r="A1499" s="564">
        <v>16</v>
      </c>
      <c r="B1499" s="564">
        <v>4</v>
      </c>
      <c r="C1499" s="564">
        <v>2</v>
      </c>
      <c r="D1499" s="564">
        <v>1</v>
      </c>
      <c r="E1499" s="564">
        <v>2</v>
      </c>
      <c r="F1499" s="564">
        <v>2</v>
      </c>
      <c r="G1499" s="564" t="s">
        <v>474</v>
      </c>
      <c r="H1499" s="564">
        <v>1319.3775000000001</v>
      </c>
      <c r="I1499" s="564">
        <v>89</v>
      </c>
      <c r="J1499" s="564">
        <v>56</v>
      </c>
      <c r="K1499" s="564">
        <v>41</v>
      </c>
      <c r="L1499" s="564">
        <v>3</v>
      </c>
      <c r="M1499" s="561" t="s">
        <v>137</v>
      </c>
      <c r="N1499" s="520"/>
      <c r="O1499" s="564"/>
      <c r="P1499" s="564" t="s">
        <v>2139</v>
      </c>
      <c r="Q1499" s="564"/>
      <c r="R1499" s="564">
        <v>2</v>
      </c>
    </row>
    <row r="1500" spans="1:18" ht="15" customHeight="1" x14ac:dyDescent="0.25">
      <c r="A1500" s="564">
        <v>16</v>
      </c>
      <c r="B1500" s="564">
        <v>4</v>
      </c>
      <c r="C1500" s="564">
        <v>2</v>
      </c>
      <c r="D1500" s="564">
        <v>1</v>
      </c>
      <c r="E1500" s="564">
        <v>2</v>
      </c>
      <c r="F1500" s="564">
        <v>2</v>
      </c>
      <c r="G1500" s="521" t="s">
        <v>477</v>
      </c>
      <c r="H1500" s="564">
        <v>1319.3775000000001</v>
      </c>
      <c r="I1500" s="564">
        <v>89</v>
      </c>
      <c r="J1500" s="564">
        <v>56</v>
      </c>
      <c r="K1500" s="564">
        <v>41</v>
      </c>
      <c r="L1500" s="564">
        <v>3</v>
      </c>
      <c r="M1500" s="561" t="s">
        <v>137</v>
      </c>
      <c r="N1500" s="520"/>
      <c r="O1500" s="564"/>
      <c r="P1500" s="564" t="s">
        <v>2140</v>
      </c>
      <c r="Q1500" s="564"/>
      <c r="R1500" s="564">
        <v>2</v>
      </c>
    </row>
    <row r="1501" spans="1:18" ht="15" customHeight="1" x14ac:dyDescent="0.25">
      <c r="A1501" s="564">
        <v>16</v>
      </c>
      <c r="B1501" s="564">
        <v>4</v>
      </c>
      <c r="C1501" s="564">
        <v>2</v>
      </c>
      <c r="D1501" s="564">
        <v>1</v>
      </c>
      <c r="E1501" s="564">
        <v>2</v>
      </c>
      <c r="F1501" s="564">
        <v>2</v>
      </c>
      <c r="G1501" s="564" t="s">
        <v>479</v>
      </c>
      <c r="H1501" s="564">
        <v>1319.3775000000001</v>
      </c>
      <c r="I1501" s="564">
        <v>89</v>
      </c>
      <c r="J1501" s="564">
        <v>56</v>
      </c>
      <c r="K1501" s="564">
        <v>41</v>
      </c>
      <c r="L1501" s="564">
        <v>3</v>
      </c>
      <c r="M1501" s="561" t="s">
        <v>137</v>
      </c>
      <c r="N1501" s="520"/>
      <c r="O1501" s="564"/>
      <c r="P1501" s="564" t="s">
        <v>2141</v>
      </c>
      <c r="Q1501" s="564"/>
      <c r="R1501" s="564">
        <v>2</v>
      </c>
    </row>
    <row r="1502" spans="1:18" ht="15" customHeight="1" x14ac:dyDescent="0.25">
      <c r="A1502" s="564">
        <v>16</v>
      </c>
      <c r="B1502" s="564">
        <v>4</v>
      </c>
      <c r="C1502" s="564">
        <v>2</v>
      </c>
      <c r="D1502" s="564">
        <v>1</v>
      </c>
      <c r="E1502" s="564">
        <v>2</v>
      </c>
      <c r="F1502" s="564">
        <v>2</v>
      </c>
      <c r="G1502" s="564" t="s">
        <v>485</v>
      </c>
      <c r="H1502" s="564">
        <v>1319.3775000000001</v>
      </c>
      <c r="I1502" s="564">
        <v>89</v>
      </c>
      <c r="J1502" s="564">
        <v>56</v>
      </c>
      <c r="K1502" s="564">
        <v>41</v>
      </c>
      <c r="L1502" s="564">
        <v>3</v>
      </c>
      <c r="M1502" s="561" t="s">
        <v>137</v>
      </c>
      <c r="N1502" s="520"/>
      <c r="O1502" s="564"/>
      <c r="P1502" s="564" t="s">
        <v>2142</v>
      </c>
      <c r="Q1502" s="564"/>
      <c r="R1502" s="564">
        <v>2</v>
      </c>
    </row>
    <row r="1503" spans="1:18" ht="15" customHeight="1" x14ac:dyDescent="0.25">
      <c r="A1503" s="564">
        <v>16</v>
      </c>
      <c r="B1503" s="564">
        <v>4</v>
      </c>
      <c r="C1503" s="564">
        <v>2</v>
      </c>
      <c r="D1503" s="564">
        <v>1</v>
      </c>
      <c r="E1503" s="564">
        <v>2</v>
      </c>
      <c r="F1503" s="564">
        <v>2</v>
      </c>
      <c r="G1503" s="564" t="s">
        <v>487</v>
      </c>
      <c r="H1503" s="564">
        <v>1314.9075</v>
      </c>
      <c r="I1503" s="564">
        <v>88</v>
      </c>
      <c r="J1503" s="564">
        <v>24</v>
      </c>
      <c r="K1503" s="564">
        <v>10</v>
      </c>
      <c r="L1503" s="564">
        <v>2</v>
      </c>
      <c r="M1503" s="561" t="s">
        <v>137</v>
      </c>
      <c r="N1503" s="520"/>
      <c r="O1503" s="564"/>
      <c r="P1503" s="564" t="s">
        <v>2143</v>
      </c>
      <c r="Q1503" s="564"/>
      <c r="R1503" s="564">
        <v>2</v>
      </c>
    </row>
    <row r="1504" spans="1:18" ht="15" customHeight="1" x14ac:dyDescent="0.25">
      <c r="A1504" s="564">
        <v>16</v>
      </c>
      <c r="B1504" s="564">
        <v>4</v>
      </c>
      <c r="C1504" s="564">
        <v>2</v>
      </c>
      <c r="D1504" s="564">
        <v>1</v>
      </c>
      <c r="E1504" s="564">
        <v>2</v>
      </c>
      <c r="F1504" s="564">
        <v>2</v>
      </c>
      <c r="G1504" s="521" t="s">
        <v>489</v>
      </c>
      <c r="H1504" s="564">
        <v>1314.9075</v>
      </c>
      <c r="I1504" s="564">
        <v>88</v>
      </c>
      <c r="J1504" s="564">
        <v>24</v>
      </c>
      <c r="K1504" s="564">
        <v>10</v>
      </c>
      <c r="L1504" s="564">
        <v>2</v>
      </c>
      <c r="M1504" s="561" t="s">
        <v>137</v>
      </c>
      <c r="N1504" s="520"/>
      <c r="O1504" s="564"/>
      <c r="P1504" s="564" t="s">
        <v>2144</v>
      </c>
      <c r="Q1504" s="564"/>
      <c r="R1504" s="564">
        <v>2</v>
      </c>
    </row>
    <row r="1505" spans="1:18" ht="15" customHeight="1" x14ac:dyDescent="0.25">
      <c r="A1505" s="564">
        <v>16</v>
      </c>
      <c r="B1505" s="564">
        <v>4</v>
      </c>
      <c r="C1505" s="564">
        <v>2</v>
      </c>
      <c r="D1505" s="564">
        <v>1</v>
      </c>
      <c r="E1505" s="564">
        <v>2</v>
      </c>
      <c r="F1505" s="564">
        <v>2</v>
      </c>
      <c r="G1505" s="564" t="s">
        <v>491</v>
      </c>
      <c r="H1505" s="564">
        <v>1314.9075</v>
      </c>
      <c r="I1505" s="564">
        <v>88</v>
      </c>
      <c r="J1505" s="564">
        <v>24</v>
      </c>
      <c r="K1505" s="564">
        <v>10</v>
      </c>
      <c r="L1505" s="564">
        <v>2</v>
      </c>
      <c r="M1505" s="561" t="s">
        <v>137</v>
      </c>
      <c r="N1505" s="520"/>
      <c r="O1505" s="564"/>
      <c r="P1505" s="564" t="s">
        <v>2145</v>
      </c>
      <c r="Q1505" s="564"/>
      <c r="R1505" s="564">
        <v>2</v>
      </c>
    </row>
    <row r="1506" spans="1:18" ht="15" customHeight="1" x14ac:dyDescent="0.25">
      <c r="A1506" s="564">
        <v>16</v>
      </c>
      <c r="B1506" s="564">
        <v>4</v>
      </c>
      <c r="C1506" s="564">
        <v>2</v>
      </c>
      <c r="D1506" s="564">
        <v>1</v>
      </c>
      <c r="E1506" s="564">
        <v>2</v>
      </c>
      <c r="F1506" s="564">
        <v>2</v>
      </c>
      <c r="G1506" s="564" t="s">
        <v>494</v>
      </c>
      <c r="H1506" s="564">
        <v>1314.9075</v>
      </c>
      <c r="I1506" s="564">
        <v>88</v>
      </c>
      <c r="J1506" s="564">
        <v>24</v>
      </c>
      <c r="K1506" s="564">
        <v>10</v>
      </c>
      <c r="L1506" s="564">
        <v>2</v>
      </c>
      <c r="M1506" s="561" t="s">
        <v>137</v>
      </c>
      <c r="N1506" s="520"/>
      <c r="O1506" s="564"/>
      <c r="P1506" s="564" t="s">
        <v>2146</v>
      </c>
      <c r="Q1506" s="564"/>
      <c r="R1506" s="564">
        <v>2</v>
      </c>
    </row>
    <row r="1507" spans="1:18" ht="15" customHeight="1" x14ac:dyDescent="0.25">
      <c r="A1507" s="564">
        <v>16</v>
      </c>
      <c r="B1507" s="564">
        <v>9</v>
      </c>
      <c r="C1507" s="564">
        <v>2</v>
      </c>
      <c r="D1507" s="564">
        <v>22</v>
      </c>
      <c r="E1507" s="564">
        <v>1</v>
      </c>
      <c r="F1507" s="564">
        <v>1</v>
      </c>
      <c r="G1507" s="564" t="s">
        <v>473</v>
      </c>
      <c r="H1507" s="564">
        <v>1321.33</v>
      </c>
      <c r="I1507" s="564">
        <v>0</v>
      </c>
      <c r="J1507" s="564">
        <v>5</v>
      </c>
      <c r="K1507" s="564">
        <v>57</v>
      </c>
      <c r="L1507" s="564">
        <v>4</v>
      </c>
      <c r="M1507" s="561" t="s">
        <v>137</v>
      </c>
      <c r="N1507" s="651">
        <v>4304756526</v>
      </c>
      <c r="O1507" s="564" t="s">
        <v>902</v>
      </c>
      <c r="P1507" s="564" t="s">
        <v>2147</v>
      </c>
      <c r="Q1507" s="564"/>
      <c r="R1507" s="564">
        <v>1</v>
      </c>
    </row>
    <row r="1508" spans="1:18" ht="15" customHeight="1" x14ac:dyDescent="0.25">
      <c r="A1508" s="564">
        <v>16</v>
      </c>
      <c r="B1508" s="564">
        <v>9</v>
      </c>
      <c r="C1508" s="564">
        <v>2</v>
      </c>
      <c r="D1508" s="564">
        <v>22</v>
      </c>
      <c r="E1508" s="564">
        <v>1</v>
      </c>
      <c r="F1508" s="564">
        <v>1</v>
      </c>
      <c r="G1508" s="521" t="s">
        <v>476</v>
      </c>
      <c r="H1508" s="564">
        <v>1321.33</v>
      </c>
      <c r="I1508" s="564">
        <v>0</v>
      </c>
      <c r="J1508" s="564">
        <v>5</v>
      </c>
      <c r="K1508" s="564">
        <v>57</v>
      </c>
      <c r="L1508" s="564">
        <v>4</v>
      </c>
      <c r="M1508" s="561" t="s">
        <v>137</v>
      </c>
      <c r="N1508" s="651">
        <v>4304756526</v>
      </c>
      <c r="O1508" s="564" t="s">
        <v>902</v>
      </c>
      <c r="P1508" s="564" t="s">
        <v>2148</v>
      </c>
      <c r="Q1508" s="564"/>
      <c r="R1508" s="564">
        <v>1</v>
      </c>
    </row>
    <row r="1509" spans="1:18" ht="15" customHeight="1" x14ac:dyDescent="0.25">
      <c r="A1509" s="564">
        <v>16</v>
      </c>
      <c r="B1509" s="564">
        <v>9</v>
      </c>
      <c r="C1509" s="564">
        <v>2</v>
      </c>
      <c r="D1509" s="564">
        <v>22</v>
      </c>
      <c r="E1509" s="564">
        <v>1</v>
      </c>
      <c r="F1509" s="564">
        <v>1</v>
      </c>
      <c r="G1509" s="564" t="s">
        <v>478</v>
      </c>
      <c r="H1509" s="564">
        <v>1321.4449999999999</v>
      </c>
      <c r="I1509" s="564">
        <v>0</v>
      </c>
      <c r="J1509" s="564">
        <v>7</v>
      </c>
      <c r="K1509" s="564">
        <v>20</v>
      </c>
      <c r="L1509" s="564">
        <v>4</v>
      </c>
      <c r="M1509" s="561" t="s">
        <v>137</v>
      </c>
      <c r="N1509" s="651">
        <v>4304756526</v>
      </c>
      <c r="O1509" s="564" t="s">
        <v>902</v>
      </c>
      <c r="P1509" s="564" t="s">
        <v>2149</v>
      </c>
      <c r="Q1509" s="564"/>
      <c r="R1509" s="564">
        <v>1</v>
      </c>
    </row>
    <row r="1510" spans="1:18" ht="15" customHeight="1" x14ac:dyDescent="0.25">
      <c r="A1510" s="564">
        <v>16</v>
      </c>
      <c r="B1510" s="564">
        <v>9</v>
      </c>
      <c r="C1510" s="564">
        <v>2</v>
      </c>
      <c r="D1510" s="564">
        <v>22</v>
      </c>
      <c r="E1510" s="564">
        <v>1</v>
      </c>
      <c r="F1510" s="564">
        <v>1</v>
      </c>
      <c r="G1510" s="564" t="s">
        <v>484</v>
      </c>
      <c r="H1510" s="564">
        <v>1321.4449999999999</v>
      </c>
      <c r="I1510" s="564">
        <v>0</v>
      </c>
      <c r="J1510" s="564">
        <v>7</v>
      </c>
      <c r="K1510" s="564">
        <v>20</v>
      </c>
      <c r="L1510" s="564">
        <v>4</v>
      </c>
      <c r="M1510" s="561" t="s">
        <v>137</v>
      </c>
      <c r="N1510" s="651">
        <v>4304756526</v>
      </c>
      <c r="O1510" s="564" t="s">
        <v>902</v>
      </c>
      <c r="P1510" s="564" t="s">
        <v>2150</v>
      </c>
      <c r="Q1510" s="564"/>
      <c r="R1510" s="564">
        <v>1</v>
      </c>
    </row>
    <row r="1511" spans="1:18" ht="15" customHeight="1" x14ac:dyDescent="0.25">
      <c r="A1511" s="564">
        <v>16</v>
      </c>
      <c r="B1511" s="564">
        <v>9</v>
      </c>
      <c r="C1511" s="564">
        <v>2</v>
      </c>
      <c r="D1511" s="564">
        <v>22</v>
      </c>
      <c r="E1511" s="564">
        <v>1</v>
      </c>
      <c r="F1511" s="564">
        <v>1</v>
      </c>
      <c r="G1511" s="564" t="s">
        <v>486</v>
      </c>
      <c r="H1511" s="564">
        <v>1315.62</v>
      </c>
      <c r="I1511" s="564">
        <v>0</v>
      </c>
      <c r="J1511" s="564">
        <v>4</v>
      </c>
      <c r="K1511" s="564">
        <v>57</v>
      </c>
      <c r="L1511" s="564">
        <v>4</v>
      </c>
      <c r="M1511" s="561" t="s">
        <v>137</v>
      </c>
      <c r="N1511" s="651">
        <v>4304756526</v>
      </c>
      <c r="O1511" s="564" t="s">
        <v>902</v>
      </c>
      <c r="P1511" s="564" t="s">
        <v>2151</v>
      </c>
      <c r="Q1511" s="564"/>
      <c r="R1511" s="564">
        <v>1</v>
      </c>
    </row>
    <row r="1512" spans="1:18" ht="15" customHeight="1" x14ac:dyDescent="0.25">
      <c r="A1512" s="564">
        <v>16</v>
      </c>
      <c r="B1512" s="564">
        <v>9</v>
      </c>
      <c r="C1512" s="564">
        <v>2</v>
      </c>
      <c r="D1512" s="564">
        <v>22</v>
      </c>
      <c r="E1512" s="564">
        <v>1</v>
      </c>
      <c r="F1512" s="564">
        <v>1</v>
      </c>
      <c r="G1512" s="521" t="s">
        <v>488</v>
      </c>
      <c r="H1512" s="564">
        <v>1315.62</v>
      </c>
      <c r="I1512" s="564">
        <v>0</v>
      </c>
      <c r="J1512" s="564">
        <v>4</v>
      </c>
      <c r="K1512" s="564">
        <v>57</v>
      </c>
      <c r="L1512" s="564">
        <v>4</v>
      </c>
      <c r="M1512" s="561" t="s">
        <v>137</v>
      </c>
      <c r="N1512" s="651">
        <v>4304756526</v>
      </c>
      <c r="O1512" s="564" t="s">
        <v>902</v>
      </c>
      <c r="P1512" s="564" t="s">
        <v>2152</v>
      </c>
      <c r="Q1512" s="564"/>
      <c r="R1512" s="564">
        <v>1</v>
      </c>
    </row>
    <row r="1513" spans="1:18" ht="15" customHeight="1" x14ac:dyDescent="0.25">
      <c r="A1513" s="564">
        <v>16</v>
      </c>
      <c r="B1513" s="564">
        <v>9</v>
      </c>
      <c r="C1513" s="564">
        <v>2</v>
      </c>
      <c r="D1513" s="564">
        <v>22</v>
      </c>
      <c r="E1513" s="564">
        <v>1</v>
      </c>
      <c r="F1513" s="564">
        <v>1</v>
      </c>
      <c r="G1513" s="564" t="s">
        <v>490</v>
      </c>
      <c r="H1513" s="564">
        <v>1330.665</v>
      </c>
      <c r="I1513" s="564">
        <v>0</v>
      </c>
      <c r="J1513" s="564">
        <v>2</v>
      </c>
      <c r="K1513" s="564">
        <v>17</v>
      </c>
      <c r="L1513" s="564">
        <v>4</v>
      </c>
      <c r="M1513" s="561" t="s">
        <v>137</v>
      </c>
      <c r="N1513" s="651">
        <v>4304756526</v>
      </c>
      <c r="O1513" s="564" t="s">
        <v>902</v>
      </c>
      <c r="P1513" s="564" t="s">
        <v>2153</v>
      </c>
      <c r="Q1513" s="564"/>
      <c r="R1513" s="564">
        <v>1</v>
      </c>
    </row>
    <row r="1514" spans="1:18" ht="15" customHeight="1" x14ac:dyDescent="0.25">
      <c r="A1514" s="564">
        <v>16</v>
      </c>
      <c r="B1514" s="564">
        <v>9</v>
      </c>
      <c r="C1514" s="564">
        <v>2</v>
      </c>
      <c r="D1514" s="564">
        <v>22</v>
      </c>
      <c r="E1514" s="564">
        <v>1</v>
      </c>
      <c r="F1514" s="564">
        <v>1</v>
      </c>
      <c r="G1514" s="564" t="s">
        <v>493</v>
      </c>
      <c r="H1514" s="564">
        <v>1330.665</v>
      </c>
      <c r="I1514" s="564">
        <v>0</v>
      </c>
      <c r="J1514" s="564">
        <v>2</v>
      </c>
      <c r="K1514" s="564">
        <v>17</v>
      </c>
      <c r="L1514" s="564">
        <v>4</v>
      </c>
      <c r="M1514" s="561" t="s">
        <v>137</v>
      </c>
      <c r="N1514" s="651">
        <v>4304756526</v>
      </c>
      <c r="O1514" s="564" t="s">
        <v>902</v>
      </c>
      <c r="P1514" s="564" t="s">
        <v>2154</v>
      </c>
      <c r="Q1514" s="564"/>
      <c r="R1514" s="564">
        <v>1</v>
      </c>
    </row>
    <row r="1515" spans="1:18" ht="15" customHeight="1" x14ac:dyDescent="0.25">
      <c r="A1515" s="564">
        <v>16</v>
      </c>
      <c r="B1515" s="564">
        <v>9</v>
      </c>
      <c r="C1515" s="564">
        <v>2</v>
      </c>
      <c r="D1515" s="564">
        <v>22</v>
      </c>
      <c r="E1515" s="564">
        <v>1</v>
      </c>
      <c r="F1515" s="564">
        <v>1</v>
      </c>
      <c r="G1515" s="564" t="s">
        <v>474</v>
      </c>
      <c r="H1515" s="564">
        <v>1325.26</v>
      </c>
      <c r="I1515" s="564">
        <v>89</v>
      </c>
      <c r="J1515" s="564">
        <v>46</v>
      </c>
      <c r="K1515" s="564">
        <v>50</v>
      </c>
      <c r="L1515" s="564">
        <v>3</v>
      </c>
      <c r="M1515" s="561" t="s">
        <v>137</v>
      </c>
      <c r="N1515" s="651">
        <v>4304756526</v>
      </c>
      <c r="O1515" s="564" t="s">
        <v>902</v>
      </c>
      <c r="P1515" s="564" t="s">
        <v>2155</v>
      </c>
      <c r="Q1515" s="564"/>
      <c r="R1515" s="564">
        <v>1</v>
      </c>
    </row>
    <row r="1516" spans="1:18" ht="15" customHeight="1" x14ac:dyDescent="0.25">
      <c r="A1516" s="564">
        <v>16</v>
      </c>
      <c r="B1516" s="564">
        <v>9</v>
      </c>
      <c r="C1516" s="564">
        <v>2</v>
      </c>
      <c r="D1516" s="564">
        <v>22</v>
      </c>
      <c r="E1516" s="564">
        <v>1</v>
      </c>
      <c r="F1516" s="564">
        <v>1</v>
      </c>
      <c r="G1516" s="521" t="s">
        <v>477</v>
      </c>
      <c r="H1516" s="564">
        <v>1325.26</v>
      </c>
      <c r="I1516" s="564">
        <v>89</v>
      </c>
      <c r="J1516" s="564">
        <v>46</v>
      </c>
      <c r="K1516" s="564">
        <v>50</v>
      </c>
      <c r="L1516" s="564">
        <v>3</v>
      </c>
      <c r="M1516" s="561" t="s">
        <v>137</v>
      </c>
      <c r="N1516" s="651">
        <v>4304756526</v>
      </c>
      <c r="O1516" s="564" t="s">
        <v>902</v>
      </c>
      <c r="P1516" s="564" t="s">
        <v>2156</v>
      </c>
      <c r="Q1516" s="564"/>
      <c r="R1516" s="564">
        <v>1</v>
      </c>
    </row>
    <row r="1517" spans="1:18" ht="15" customHeight="1" x14ac:dyDescent="0.25">
      <c r="A1517" s="564">
        <v>16</v>
      </c>
      <c r="B1517" s="564">
        <v>9</v>
      </c>
      <c r="C1517" s="564">
        <v>2</v>
      </c>
      <c r="D1517" s="564">
        <v>22</v>
      </c>
      <c r="E1517" s="564">
        <v>1</v>
      </c>
      <c r="F1517" s="564">
        <v>1</v>
      </c>
      <c r="G1517" s="564" t="s">
        <v>479</v>
      </c>
      <c r="H1517" s="564">
        <v>1323.2049999999999</v>
      </c>
      <c r="I1517" s="564">
        <v>89</v>
      </c>
      <c r="J1517" s="564">
        <v>54</v>
      </c>
      <c r="K1517" s="564">
        <v>55</v>
      </c>
      <c r="L1517" s="564">
        <v>4</v>
      </c>
      <c r="M1517" s="561" t="s">
        <v>137</v>
      </c>
      <c r="N1517" s="651">
        <v>4304756526</v>
      </c>
      <c r="O1517" s="564" t="s">
        <v>902</v>
      </c>
      <c r="P1517" s="564" t="s">
        <v>2157</v>
      </c>
      <c r="Q1517" s="564"/>
      <c r="R1517" s="564">
        <v>1</v>
      </c>
    </row>
    <row r="1518" spans="1:18" ht="15" customHeight="1" x14ac:dyDescent="0.25">
      <c r="A1518" s="564">
        <v>16</v>
      </c>
      <c r="B1518" s="564">
        <v>9</v>
      </c>
      <c r="C1518" s="564">
        <v>2</v>
      </c>
      <c r="D1518" s="564">
        <v>22</v>
      </c>
      <c r="E1518" s="564">
        <v>1</v>
      </c>
      <c r="F1518" s="564">
        <v>1</v>
      </c>
      <c r="G1518" s="564" t="s">
        <v>485</v>
      </c>
      <c r="H1518" s="564">
        <v>1323.2049999999999</v>
      </c>
      <c r="I1518" s="564">
        <v>89</v>
      </c>
      <c r="J1518" s="564">
        <v>54</v>
      </c>
      <c r="K1518" s="564">
        <v>55</v>
      </c>
      <c r="L1518" s="564">
        <v>4</v>
      </c>
      <c r="M1518" s="561" t="s">
        <v>137</v>
      </c>
      <c r="N1518" s="651">
        <v>4304756526</v>
      </c>
      <c r="O1518" s="564" t="s">
        <v>902</v>
      </c>
      <c r="P1518" s="564" t="s">
        <v>2158</v>
      </c>
      <c r="Q1518" s="564"/>
      <c r="R1518" s="564">
        <v>1</v>
      </c>
    </row>
    <row r="1519" spans="1:18" ht="15" customHeight="1" x14ac:dyDescent="0.25">
      <c r="A1519" s="564">
        <v>16</v>
      </c>
      <c r="B1519" s="564">
        <v>9</v>
      </c>
      <c r="C1519" s="564">
        <v>2</v>
      </c>
      <c r="D1519" s="564">
        <v>22</v>
      </c>
      <c r="E1519" s="564">
        <v>1</v>
      </c>
      <c r="F1519" s="564">
        <v>1</v>
      </c>
      <c r="G1519" s="564" t="s">
        <v>487</v>
      </c>
      <c r="H1519" s="564">
        <v>1331.635</v>
      </c>
      <c r="I1519" s="564">
        <v>89</v>
      </c>
      <c r="J1519" s="564">
        <v>54</v>
      </c>
      <c r="K1519" s="564">
        <v>56</v>
      </c>
      <c r="L1519" s="564">
        <v>3</v>
      </c>
      <c r="M1519" s="561" t="s">
        <v>137</v>
      </c>
      <c r="N1519" s="651">
        <v>4304756526</v>
      </c>
      <c r="O1519" s="564" t="s">
        <v>902</v>
      </c>
      <c r="P1519" s="564" t="s">
        <v>2159</v>
      </c>
      <c r="Q1519" s="564"/>
      <c r="R1519" s="564">
        <v>1</v>
      </c>
    </row>
    <row r="1520" spans="1:18" ht="15" customHeight="1" x14ac:dyDescent="0.25">
      <c r="A1520" s="564">
        <v>16</v>
      </c>
      <c r="B1520" s="564">
        <v>9</v>
      </c>
      <c r="C1520" s="564">
        <v>2</v>
      </c>
      <c r="D1520" s="564">
        <v>22</v>
      </c>
      <c r="E1520" s="564">
        <v>1</v>
      </c>
      <c r="F1520" s="564">
        <v>1</v>
      </c>
      <c r="G1520" s="521" t="s">
        <v>489</v>
      </c>
      <c r="H1520" s="564">
        <v>1331.635</v>
      </c>
      <c r="I1520" s="564">
        <v>89</v>
      </c>
      <c r="J1520" s="564">
        <v>54</v>
      </c>
      <c r="K1520" s="564">
        <v>56</v>
      </c>
      <c r="L1520" s="564">
        <v>3</v>
      </c>
      <c r="M1520" s="561" t="s">
        <v>137</v>
      </c>
      <c r="N1520" s="651">
        <v>4304756526</v>
      </c>
      <c r="O1520" s="564" t="s">
        <v>902</v>
      </c>
      <c r="P1520" s="564" t="s">
        <v>2160</v>
      </c>
      <c r="Q1520" s="564"/>
      <c r="R1520" s="564">
        <v>1</v>
      </c>
    </row>
    <row r="1521" spans="1:18" ht="15" customHeight="1" x14ac:dyDescent="0.25">
      <c r="A1521" s="564">
        <v>16</v>
      </c>
      <c r="B1521" s="564">
        <v>9</v>
      </c>
      <c r="C1521" s="564">
        <v>2</v>
      </c>
      <c r="D1521" s="564">
        <v>22</v>
      </c>
      <c r="E1521" s="564">
        <v>1</v>
      </c>
      <c r="F1521" s="564">
        <v>1</v>
      </c>
      <c r="G1521" s="564" t="s">
        <v>491</v>
      </c>
      <c r="H1521" s="564">
        <v>1314.5</v>
      </c>
      <c r="I1521" s="564">
        <v>89</v>
      </c>
      <c r="J1521" s="564">
        <v>53</v>
      </c>
      <c r="K1521" s="564">
        <v>50</v>
      </c>
      <c r="L1521" s="564">
        <v>4</v>
      </c>
      <c r="M1521" s="561" t="s">
        <v>137</v>
      </c>
      <c r="N1521" s="651">
        <v>4304756526</v>
      </c>
      <c r="O1521" s="564" t="s">
        <v>902</v>
      </c>
      <c r="P1521" s="564" t="s">
        <v>2161</v>
      </c>
      <c r="Q1521" s="564"/>
      <c r="R1521" s="564">
        <v>1</v>
      </c>
    </row>
    <row r="1522" spans="1:18" ht="15" customHeight="1" x14ac:dyDescent="0.25">
      <c r="A1522" s="564">
        <v>16</v>
      </c>
      <c r="B1522" s="564">
        <v>9</v>
      </c>
      <c r="C1522" s="564">
        <v>2</v>
      </c>
      <c r="D1522" s="564">
        <v>22</v>
      </c>
      <c r="E1522" s="564">
        <v>1</v>
      </c>
      <c r="F1522" s="564">
        <v>1</v>
      </c>
      <c r="G1522" s="564" t="s">
        <v>494</v>
      </c>
      <c r="H1522" s="564">
        <v>1314.5</v>
      </c>
      <c r="I1522" s="564">
        <v>89</v>
      </c>
      <c r="J1522" s="564">
        <v>53</v>
      </c>
      <c r="K1522" s="564">
        <v>50</v>
      </c>
      <c r="L1522" s="564">
        <v>4</v>
      </c>
      <c r="M1522" s="561" t="s">
        <v>137</v>
      </c>
      <c r="N1522" s="651">
        <v>4304756526</v>
      </c>
      <c r="O1522" s="564" t="s">
        <v>902</v>
      </c>
      <c r="P1522" s="564" t="s">
        <v>2162</v>
      </c>
      <c r="Q1522" s="564"/>
      <c r="R1522" s="564">
        <v>1</v>
      </c>
    </row>
    <row r="1523" spans="1:18" ht="15" customHeight="1" x14ac:dyDescent="0.25">
      <c r="A1523" s="564">
        <v>16</v>
      </c>
      <c r="B1523" s="564">
        <v>3</v>
      </c>
      <c r="C1523" s="564">
        <v>2</v>
      </c>
      <c r="D1523" s="564">
        <v>1</v>
      </c>
      <c r="E1523" s="564">
        <v>1</v>
      </c>
      <c r="F1523" s="564">
        <v>2</v>
      </c>
      <c r="G1523" s="564" t="s">
        <v>473</v>
      </c>
      <c r="H1523" s="564">
        <v>1330.86</v>
      </c>
      <c r="I1523" s="564">
        <v>1</v>
      </c>
      <c r="J1523" s="564">
        <v>19</v>
      </c>
      <c r="K1523" s="564">
        <v>8</v>
      </c>
      <c r="L1523" s="564">
        <v>4</v>
      </c>
      <c r="M1523" s="561" t="s">
        <v>137</v>
      </c>
      <c r="N1523" s="651">
        <v>4304756723</v>
      </c>
      <c r="O1523" s="564" t="s">
        <v>919</v>
      </c>
      <c r="P1523" s="564" t="s">
        <v>2163</v>
      </c>
      <c r="Q1523" s="564"/>
      <c r="R1523" s="564">
        <v>2</v>
      </c>
    </row>
    <row r="1524" spans="1:18" ht="15" customHeight="1" x14ac:dyDescent="0.25">
      <c r="A1524" s="564">
        <v>16</v>
      </c>
      <c r="B1524" s="564">
        <v>3</v>
      </c>
      <c r="C1524" s="564">
        <v>2</v>
      </c>
      <c r="D1524" s="564">
        <v>1</v>
      </c>
      <c r="E1524" s="564">
        <v>1</v>
      </c>
      <c r="F1524" s="564">
        <v>2</v>
      </c>
      <c r="G1524" s="521" t="s">
        <v>476</v>
      </c>
      <c r="H1524" s="564">
        <v>1330.86</v>
      </c>
      <c r="I1524" s="564">
        <v>1</v>
      </c>
      <c r="J1524" s="564">
        <v>19</v>
      </c>
      <c r="K1524" s="564">
        <v>8</v>
      </c>
      <c r="L1524" s="564">
        <v>4</v>
      </c>
      <c r="M1524" s="561" t="s">
        <v>137</v>
      </c>
      <c r="N1524" s="651">
        <v>4304756723</v>
      </c>
      <c r="O1524" s="564" t="s">
        <v>919</v>
      </c>
      <c r="P1524" s="564" t="s">
        <v>2164</v>
      </c>
      <c r="Q1524" s="564"/>
      <c r="R1524" s="564">
        <v>2</v>
      </c>
    </row>
    <row r="1525" spans="1:18" ht="15" customHeight="1" x14ac:dyDescent="0.25">
      <c r="A1525" s="564">
        <v>16</v>
      </c>
      <c r="B1525" s="564">
        <v>3</v>
      </c>
      <c r="C1525" s="564">
        <v>2</v>
      </c>
      <c r="D1525" s="564">
        <v>1</v>
      </c>
      <c r="E1525" s="564">
        <v>1</v>
      </c>
      <c r="F1525" s="564">
        <v>2</v>
      </c>
      <c r="G1525" s="564" t="s">
        <v>478</v>
      </c>
      <c r="H1525" s="564">
        <v>1326.615</v>
      </c>
      <c r="I1525" s="564">
        <v>0</v>
      </c>
      <c r="J1525" s="564">
        <v>46</v>
      </c>
      <c r="K1525" s="564">
        <v>18</v>
      </c>
      <c r="L1525" s="564">
        <v>4</v>
      </c>
      <c r="M1525" s="561" t="s">
        <v>137</v>
      </c>
      <c r="N1525" s="651">
        <v>4304756723</v>
      </c>
      <c r="O1525" s="564" t="s">
        <v>919</v>
      </c>
      <c r="P1525" s="564" t="s">
        <v>2165</v>
      </c>
      <c r="Q1525" s="564"/>
      <c r="R1525" s="564">
        <v>2</v>
      </c>
    </row>
    <row r="1526" spans="1:18" ht="15" customHeight="1" x14ac:dyDescent="0.25">
      <c r="A1526" s="564">
        <v>16</v>
      </c>
      <c r="B1526" s="564">
        <v>3</v>
      </c>
      <c r="C1526" s="564">
        <v>2</v>
      </c>
      <c r="D1526" s="564">
        <v>1</v>
      </c>
      <c r="E1526" s="564">
        <v>1</v>
      </c>
      <c r="F1526" s="564">
        <v>2</v>
      </c>
      <c r="G1526" s="564" t="s">
        <v>484</v>
      </c>
      <c r="H1526" s="564">
        <v>1326.615</v>
      </c>
      <c r="I1526" s="564">
        <v>0</v>
      </c>
      <c r="J1526" s="564">
        <v>46</v>
      </c>
      <c r="K1526" s="564">
        <v>18</v>
      </c>
      <c r="L1526" s="564">
        <v>4</v>
      </c>
      <c r="M1526" s="561" t="s">
        <v>137</v>
      </c>
      <c r="N1526" s="651">
        <v>4304756723</v>
      </c>
      <c r="O1526" s="564" t="s">
        <v>919</v>
      </c>
      <c r="P1526" s="564" t="s">
        <v>2166</v>
      </c>
      <c r="Q1526" s="564"/>
      <c r="R1526" s="564">
        <v>2</v>
      </c>
    </row>
    <row r="1527" spans="1:18" ht="15" customHeight="1" x14ac:dyDescent="0.25">
      <c r="A1527" s="564">
        <v>16</v>
      </c>
      <c r="B1527" s="564">
        <v>3</v>
      </c>
      <c r="C1527" s="564">
        <v>2</v>
      </c>
      <c r="D1527" s="564">
        <v>1</v>
      </c>
      <c r="E1527" s="564">
        <v>1</v>
      </c>
      <c r="F1527" s="564">
        <v>2</v>
      </c>
      <c r="G1527" s="564" t="s">
        <v>486</v>
      </c>
      <c r="H1527" s="564">
        <v>1320.3</v>
      </c>
      <c r="I1527" s="564">
        <v>0</v>
      </c>
      <c r="J1527" s="564">
        <v>39</v>
      </c>
      <c r="K1527" s="564">
        <v>59</v>
      </c>
      <c r="L1527" s="564">
        <v>4</v>
      </c>
      <c r="M1527" s="561" t="s">
        <v>137</v>
      </c>
      <c r="N1527" s="651">
        <v>4304756723</v>
      </c>
      <c r="O1527" s="564" t="s">
        <v>919</v>
      </c>
      <c r="P1527" s="564" t="s">
        <v>2167</v>
      </c>
      <c r="Q1527" s="564"/>
      <c r="R1527" s="564">
        <v>2</v>
      </c>
    </row>
    <row r="1528" spans="1:18" ht="15" customHeight="1" x14ac:dyDescent="0.25">
      <c r="A1528" s="564">
        <v>16</v>
      </c>
      <c r="B1528" s="564">
        <v>3</v>
      </c>
      <c r="C1528" s="564">
        <v>2</v>
      </c>
      <c r="D1528" s="564">
        <v>1</v>
      </c>
      <c r="E1528" s="564">
        <v>1</v>
      </c>
      <c r="F1528" s="564">
        <v>2</v>
      </c>
      <c r="G1528" s="521" t="s">
        <v>488</v>
      </c>
      <c r="H1528" s="564">
        <v>1320.3</v>
      </c>
      <c r="I1528" s="564">
        <v>0</v>
      </c>
      <c r="J1528" s="564">
        <v>39</v>
      </c>
      <c r="K1528" s="564">
        <v>59</v>
      </c>
      <c r="L1528" s="564">
        <v>4</v>
      </c>
      <c r="M1528" s="561" t="s">
        <v>137</v>
      </c>
      <c r="N1528" s="651">
        <v>4304756723</v>
      </c>
      <c r="O1528" s="564" t="s">
        <v>919</v>
      </c>
      <c r="P1528" s="564" t="s">
        <v>2168</v>
      </c>
      <c r="Q1528" s="564"/>
      <c r="R1528" s="564">
        <v>2</v>
      </c>
    </row>
    <row r="1529" spans="1:18" ht="15" customHeight="1" x14ac:dyDescent="0.25">
      <c r="A1529" s="564">
        <v>16</v>
      </c>
      <c r="B1529" s="564">
        <v>3</v>
      </c>
      <c r="C1529" s="564">
        <v>2</v>
      </c>
      <c r="D1529" s="564">
        <v>1</v>
      </c>
      <c r="E1529" s="564">
        <v>1</v>
      </c>
      <c r="F1529" s="564">
        <v>2</v>
      </c>
      <c r="G1529" s="564" t="s">
        <v>490</v>
      </c>
      <c r="H1529" s="564">
        <v>1326.79</v>
      </c>
      <c r="I1529" s="564">
        <v>1</v>
      </c>
      <c r="J1529" s="564">
        <v>14</v>
      </c>
      <c r="K1529" s="564">
        <v>46</v>
      </c>
      <c r="L1529" s="564">
        <v>4</v>
      </c>
      <c r="M1529" s="561" t="s">
        <v>137</v>
      </c>
      <c r="N1529" s="651">
        <v>4304756723</v>
      </c>
      <c r="O1529" s="564" t="s">
        <v>919</v>
      </c>
      <c r="P1529" s="564" t="s">
        <v>2169</v>
      </c>
      <c r="Q1529" s="564"/>
      <c r="R1529" s="564">
        <v>2</v>
      </c>
    </row>
    <row r="1530" spans="1:18" ht="15" customHeight="1" x14ac:dyDescent="0.25">
      <c r="A1530" s="564">
        <v>16</v>
      </c>
      <c r="B1530" s="564">
        <v>3</v>
      </c>
      <c r="C1530" s="564">
        <v>2</v>
      </c>
      <c r="D1530" s="564">
        <v>1</v>
      </c>
      <c r="E1530" s="564">
        <v>1</v>
      </c>
      <c r="F1530" s="564">
        <v>2</v>
      </c>
      <c r="G1530" s="564" t="s">
        <v>493</v>
      </c>
      <c r="H1530" s="564">
        <v>1326.79</v>
      </c>
      <c r="I1530" s="564">
        <v>1</v>
      </c>
      <c r="J1530" s="564">
        <v>14</v>
      </c>
      <c r="K1530" s="564">
        <v>46</v>
      </c>
      <c r="L1530" s="564">
        <v>4</v>
      </c>
      <c r="M1530" s="561" t="s">
        <v>137</v>
      </c>
      <c r="N1530" s="651">
        <v>4304756723</v>
      </c>
      <c r="O1530" s="564" t="s">
        <v>919</v>
      </c>
      <c r="P1530" s="564" t="s">
        <v>2170</v>
      </c>
      <c r="Q1530" s="564"/>
      <c r="R1530" s="564">
        <v>2</v>
      </c>
    </row>
    <row r="1531" spans="1:18" ht="15" customHeight="1" x14ac:dyDescent="0.25">
      <c r="A1531" s="564">
        <v>16</v>
      </c>
      <c r="B1531" s="564">
        <v>3</v>
      </c>
      <c r="C1531" s="564">
        <v>2</v>
      </c>
      <c r="D1531" s="564">
        <v>1</v>
      </c>
      <c r="E1531" s="564">
        <v>1</v>
      </c>
      <c r="F1531" s="564">
        <v>2</v>
      </c>
      <c r="G1531" s="564" t="s">
        <v>474</v>
      </c>
      <c r="H1531" s="564">
        <v>1321.85</v>
      </c>
      <c r="I1531" s="564">
        <v>89</v>
      </c>
      <c r="J1531" s="564">
        <v>59</v>
      </c>
      <c r="K1531" s="564">
        <v>18</v>
      </c>
      <c r="L1531" s="564">
        <v>2</v>
      </c>
      <c r="M1531" s="561" t="s">
        <v>137</v>
      </c>
      <c r="N1531" s="651">
        <v>4304756723</v>
      </c>
      <c r="O1531" s="564" t="s">
        <v>919</v>
      </c>
      <c r="P1531" s="564" t="s">
        <v>2171</v>
      </c>
      <c r="Q1531" s="564"/>
      <c r="R1531" s="564">
        <v>2</v>
      </c>
    </row>
    <row r="1532" spans="1:18" ht="15" customHeight="1" x14ac:dyDescent="0.25">
      <c r="A1532" s="564">
        <v>16</v>
      </c>
      <c r="B1532" s="564">
        <v>3</v>
      </c>
      <c r="C1532" s="564">
        <v>2</v>
      </c>
      <c r="D1532" s="564">
        <v>1</v>
      </c>
      <c r="E1532" s="564">
        <v>1</v>
      </c>
      <c r="F1532" s="564">
        <v>2</v>
      </c>
      <c r="G1532" s="521" t="s">
        <v>477</v>
      </c>
      <c r="H1532" s="564">
        <v>1321.85</v>
      </c>
      <c r="I1532" s="564">
        <v>89</v>
      </c>
      <c r="J1532" s="564">
        <v>59</v>
      </c>
      <c r="K1532" s="564">
        <v>18</v>
      </c>
      <c r="L1532" s="564">
        <v>2</v>
      </c>
      <c r="M1532" s="561" t="s">
        <v>137</v>
      </c>
      <c r="N1532" s="651">
        <v>4304756723</v>
      </c>
      <c r="O1532" s="564" t="s">
        <v>919</v>
      </c>
      <c r="P1532" s="564" t="s">
        <v>2172</v>
      </c>
      <c r="Q1532" s="564"/>
      <c r="R1532" s="564">
        <v>2</v>
      </c>
    </row>
    <row r="1533" spans="1:18" ht="15" customHeight="1" x14ac:dyDescent="0.25">
      <c r="A1533" s="564">
        <v>16</v>
      </c>
      <c r="B1533" s="564">
        <v>3</v>
      </c>
      <c r="C1533" s="564">
        <v>2</v>
      </c>
      <c r="D1533" s="564">
        <v>1</v>
      </c>
      <c r="E1533" s="564">
        <v>1</v>
      </c>
      <c r="F1533" s="564">
        <v>2</v>
      </c>
      <c r="G1533" s="564" t="s">
        <v>479</v>
      </c>
      <c r="H1533" s="564">
        <v>1336.7249999999999</v>
      </c>
      <c r="I1533" s="564">
        <v>89</v>
      </c>
      <c r="J1533" s="564">
        <v>59</v>
      </c>
      <c r="K1533" s="564">
        <v>18</v>
      </c>
      <c r="L1533" s="564">
        <v>2</v>
      </c>
      <c r="M1533" s="561" t="s">
        <v>137</v>
      </c>
      <c r="N1533" s="651">
        <v>4304756723</v>
      </c>
      <c r="O1533" s="564" t="s">
        <v>919</v>
      </c>
      <c r="P1533" s="564" t="s">
        <v>2173</v>
      </c>
      <c r="Q1533" s="564"/>
      <c r="R1533" s="564">
        <v>2</v>
      </c>
    </row>
    <row r="1534" spans="1:18" ht="15" customHeight="1" x14ac:dyDescent="0.25">
      <c r="A1534" s="564">
        <v>16</v>
      </c>
      <c r="B1534" s="564">
        <v>3</v>
      </c>
      <c r="C1534" s="564">
        <v>2</v>
      </c>
      <c r="D1534" s="564">
        <v>1</v>
      </c>
      <c r="E1534" s="564">
        <v>1</v>
      </c>
      <c r="F1534" s="564">
        <v>2</v>
      </c>
      <c r="G1534" s="564" t="s">
        <v>485</v>
      </c>
      <c r="H1534" s="564">
        <v>1336.7249999999999</v>
      </c>
      <c r="I1534" s="564">
        <v>89</v>
      </c>
      <c r="J1534" s="564">
        <v>59</v>
      </c>
      <c r="K1534" s="564">
        <v>18</v>
      </c>
      <c r="L1534" s="564">
        <v>2</v>
      </c>
      <c r="M1534" s="561" t="s">
        <v>137</v>
      </c>
      <c r="N1534" s="651">
        <v>4304756723</v>
      </c>
      <c r="O1534" s="564" t="s">
        <v>919</v>
      </c>
      <c r="P1534" s="564" t="s">
        <v>2174</v>
      </c>
      <c r="Q1534" s="564"/>
      <c r="R1534" s="564">
        <v>2</v>
      </c>
    </row>
    <row r="1535" spans="1:18" ht="15" customHeight="1" x14ac:dyDescent="0.25">
      <c r="A1535" s="564">
        <v>16</v>
      </c>
      <c r="B1535" s="564">
        <v>3</v>
      </c>
      <c r="C1535" s="564">
        <v>2</v>
      </c>
      <c r="D1535" s="564">
        <v>1</v>
      </c>
      <c r="E1535" s="564">
        <v>1</v>
      </c>
      <c r="F1535" s="564">
        <v>2</v>
      </c>
      <c r="G1535" s="564" t="s">
        <v>487</v>
      </c>
      <c r="H1535" s="564">
        <v>1320.86</v>
      </c>
      <c r="I1535" s="564">
        <v>88</v>
      </c>
      <c r="J1535" s="564">
        <v>51</v>
      </c>
      <c r="K1535" s="564">
        <v>5</v>
      </c>
      <c r="L1535" s="564">
        <v>3</v>
      </c>
      <c r="M1535" s="561" t="s">
        <v>137</v>
      </c>
      <c r="N1535" s="651">
        <v>4304756723</v>
      </c>
      <c r="O1535" s="564" t="s">
        <v>919</v>
      </c>
      <c r="P1535" s="564" t="s">
        <v>2175</v>
      </c>
      <c r="Q1535" s="564"/>
      <c r="R1535" s="564">
        <v>2</v>
      </c>
    </row>
    <row r="1536" spans="1:18" ht="15" customHeight="1" x14ac:dyDescent="0.25">
      <c r="A1536" s="564">
        <v>16</v>
      </c>
      <c r="B1536" s="564">
        <v>3</v>
      </c>
      <c r="C1536" s="564">
        <v>2</v>
      </c>
      <c r="D1536" s="564">
        <v>1</v>
      </c>
      <c r="E1536" s="564">
        <v>1</v>
      </c>
      <c r="F1536" s="564">
        <v>2</v>
      </c>
      <c r="G1536" s="521" t="s">
        <v>489</v>
      </c>
      <c r="H1536" s="564">
        <v>1320.86</v>
      </c>
      <c r="I1536" s="564">
        <v>88</v>
      </c>
      <c r="J1536" s="564">
        <v>51</v>
      </c>
      <c r="K1536" s="564">
        <v>5</v>
      </c>
      <c r="L1536" s="564">
        <v>3</v>
      </c>
      <c r="M1536" s="561" t="s">
        <v>137</v>
      </c>
      <c r="N1536" s="651">
        <v>4304756723</v>
      </c>
      <c r="O1536" s="564" t="s">
        <v>919</v>
      </c>
      <c r="P1536" s="564" t="s">
        <v>2176</v>
      </c>
      <c r="Q1536" s="564"/>
      <c r="R1536" s="564">
        <v>2</v>
      </c>
    </row>
    <row r="1537" spans="1:18" ht="15" customHeight="1" x14ac:dyDescent="0.25">
      <c r="A1537" s="564">
        <v>16</v>
      </c>
      <c r="B1537" s="564">
        <v>3</v>
      </c>
      <c r="C1537" s="564">
        <v>2</v>
      </c>
      <c r="D1537" s="564">
        <v>1</v>
      </c>
      <c r="E1537" s="564">
        <v>1</v>
      </c>
      <c r="F1537" s="564">
        <v>2</v>
      </c>
      <c r="G1537" s="564" t="s">
        <v>491</v>
      </c>
      <c r="H1537" s="564">
        <v>1333.7850000000001</v>
      </c>
      <c r="I1537" s="564">
        <v>88</v>
      </c>
      <c r="J1537" s="564">
        <v>37</v>
      </c>
      <c r="K1537" s="564">
        <v>31</v>
      </c>
      <c r="L1537" s="564">
        <v>3</v>
      </c>
      <c r="M1537" s="561" t="s">
        <v>137</v>
      </c>
      <c r="N1537" s="651">
        <v>4304756723</v>
      </c>
      <c r="O1537" s="564" t="s">
        <v>919</v>
      </c>
      <c r="P1537" s="564" t="s">
        <v>2177</v>
      </c>
      <c r="Q1537" s="564"/>
      <c r="R1537" s="564">
        <v>2</v>
      </c>
    </row>
    <row r="1538" spans="1:18" ht="15" customHeight="1" x14ac:dyDescent="0.25">
      <c r="A1538" s="564">
        <v>16</v>
      </c>
      <c r="B1538" s="564">
        <v>3</v>
      </c>
      <c r="C1538" s="564">
        <v>2</v>
      </c>
      <c r="D1538" s="564">
        <v>1</v>
      </c>
      <c r="E1538" s="564">
        <v>1</v>
      </c>
      <c r="F1538" s="564">
        <v>2</v>
      </c>
      <c r="G1538" s="564" t="s">
        <v>494</v>
      </c>
      <c r="H1538" s="564">
        <v>1333.7850000000001</v>
      </c>
      <c r="I1538" s="564">
        <v>88</v>
      </c>
      <c r="J1538" s="564">
        <v>37</v>
      </c>
      <c r="K1538" s="564">
        <v>31</v>
      </c>
      <c r="L1538" s="564">
        <v>3</v>
      </c>
      <c r="M1538" s="561" t="s">
        <v>137</v>
      </c>
      <c r="N1538" s="651">
        <v>4304756723</v>
      </c>
      <c r="O1538" s="564" t="s">
        <v>919</v>
      </c>
      <c r="P1538" s="564" t="s">
        <v>2178</v>
      </c>
      <c r="Q1538" s="564"/>
      <c r="R1538" s="564">
        <v>2</v>
      </c>
    </row>
    <row r="1539" spans="1:18" ht="15" customHeight="1" x14ac:dyDescent="0.25">
      <c r="A1539" s="508">
        <v>17</v>
      </c>
      <c r="B1539" s="508">
        <v>7</v>
      </c>
      <c r="C1539" s="508">
        <v>2</v>
      </c>
      <c r="D1539" s="508">
        <v>20</v>
      </c>
      <c r="E1539" s="508">
        <v>1</v>
      </c>
      <c r="F1539" s="508">
        <v>1</v>
      </c>
      <c r="G1539" s="508" t="s">
        <v>473</v>
      </c>
      <c r="H1539" s="508">
        <v>1327.38</v>
      </c>
      <c r="I1539" s="508">
        <v>2</v>
      </c>
      <c r="J1539" s="508">
        <v>2</v>
      </c>
      <c r="K1539" s="508">
        <v>20</v>
      </c>
      <c r="L1539" s="508">
        <v>2</v>
      </c>
      <c r="M1539" s="557" t="s">
        <v>312</v>
      </c>
      <c r="N1539" s="510">
        <v>43047562160000</v>
      </c>
      <c r="O1539" s="508" t="s">
        <v>2179</v>
      </c>
      <c r="P1539" s="650" t="s">
        <v>2180</v>
      </c>
      <c r="Q1539" s="564" t="s">
        <v>583</v>
      </c>
      <c r="R1539" s="564">
        <v>1</v>
      </c>
    </row>
    <row r="1540" spans="1:18" ht="15" customHeight="1" x14ac:dyDescent="0.25">
      <c r="A1540" s="508">
        <v>17</v>
      </c>
      <c r="B1540" s="508">
        <v>7</v>
      </c>
      <c r="C1540" s="508">
        <v>2</v>
      </c>
      <c r="D1540" s="508">
        <v>20</v>
      </c>
      <c r="E1540" s="508">
        <v>1</v>
      </c>
      <c r="F1540" s="508">
        <v>1</v>
      </c>
      <c r="G1540" s="509" t="s">
        <v>476</v>
      </c>
      <c r="H1540" s="508">
        <v>1327.38</v>
      </c>
      <c r="I1540" s="508">
        <v>2</v>
      </c>
      <c r="J1540" s="508">
        <v>2</v>
      </c>
      <c r="K1540" s="508">
        <v>20</v>
      </c>
      <c r="L1540" s="508">
        <v>2</v>
      </c>
      <c r="M1540" s="557" t="s">
        <v>312</v>
      </c>
      <c r="N1540" s="510">
        <v>43047562160000</v>
      </c>
      <c r="O1540" s="508" t="s">
        <v>2179</v>
      </c>
      <c r="P1540" s="650" t="s">
        <v>2181</v>
      </c>
      <c r="Q1540" s="564" t="s">
        <v>583</v>
      </c>
      <c r="R1540" s="564">
        <v>1</v>
      </c>
    </row>
    <row r="1541" spans="1:18" ht="15" customHeight="1" x14ac:dyDescent="0.25">
      <c r="A1541" s="508">
        <v>17</v>
      </c>
      <c r="B1541" s="508">
        <v>7</v>
      </c>
      <c r="C1541" s="508">
        <v>2</v>
      </c>
      <c r="D1541" s="508">
        <v>20</v>
      </c>
      <c r="E1541" s="508">
        <v>1</v>
      </c>
      <c r="F1541" s="508">
        <v>1</v>
      </c>
      <c r="G1541" s="508" t="s">
        <v>478</v>
      </c>
      <c r="H1541" s="508">
        <v>1323.91</v>
      </c>
      <c r="I1541" s="508">
        <v>1</v>
      </c>
      <c r="J1541" s="508">
        <v>56</v>
      </c>
      <c r="K1541" s="508">
        <v>41</v>
      </c>
      <c r="L1541" s="508">
        <v>4</v>
      </c>
      <c r="M1541" s="557" t="s">
        <v>312</v>
      </c>
      <c r="N1541" s="510">
        <v>43047562160000</v>
      </c>
      <c r="O1541" s="508" t="s">
        <v>2179</v>
      </c>
      <c r="P1541" s="650" t="s">
        <v>2182</v>
      </c>
      <c r="Q1541" s="564" t="s">
        <v>583</v>
      </c>
      <c r="R1541" s="564">
        <v>1</v>
      </c>
    </row>
    <row r="1542" spans="1:18" ht="15" customHeight="1" x14ac:dyDescent="0.25">
      <c r="A1542" s="508">
        <v>17</v>
      </c>
      <c r="B1542" s="508">
        <v>7</v>
      </c>
      <c r="C1542" s="508">
        <v>2</v>
      </c>
      <c r="D1542" s="508">
        <v>20</v>
      </c>
      <c r="E1542" s="508">
        <v>1</v>
      </c>
      <c r="F1542" s="508">
        <v>1</v>
      </c>
      <c r="G1542" s="508" t="s">
        <v>484</v>
      </c>
      <c r="H1542" s="508">
        <v>1323.91</v>
      </c>
      <c r="I1542" s="508">
        <v>1</v>
      </c>
      <c r="J1542" s="508">
        <v>56</v>
      </c>
      <c r="K1542" s="508">
        <v>41</v>
      </c>
      <c r="L1542" s="508">
        <v>4</v>
      </c>
      <c r="M1542" s="557" t="s">
        <v>312</v>
      </c>
      <c r="N1542" s="510">
        <v>43047562160000</v>
      </c>
      <c r="O1542" s="508" t="s">
        <v>2179</v>
      </c>
      <c r="P1542" s="650" t="s">
        <v>2183</v>
      </c>
      <c r="Q1542" s="564" t="s">
        <v>583</v>
      </c>
      <c r="R1542" s="564">
        <v>1</v>
      </c>
    </row>
    <row r="1543" spans="1:18" ht="15" customHeight="1" x14ac:dyDescent="0.25">
      <c r="A1543" s="508">
        <v>17</v>
      </c>
      <c r="B1543" s="508">
        <v>7</v>
      </c>
      <c r="C1543" s="508">
        <v>2</v>
      </c>
      <c r="D1543" s="508">
        <v>20</v>
      </c>
      <c r="E1543" s="508">
        <v>1</v>
      </c>
      <c r="F1543" s="508">
        <v>1</v>
      </c>
      <c r="G1543" s="508" t="s">
        <v>486</v>
      </c>
      <c r="H1543" s="508">
        <v>1314.41</v>
      </c>
      <c r="I1543" s="508">
        <v>1</v>
      </c>
      <c r="J1543" s="508">
        <v>48</v>
      </c>
      <c r="K1543" s="508">
        <v>48</v>
      </c>
      <c r="L1543" s="508">
        <v>4</v>
      </c>
      <c r="M1543" s="557" t="s">
        <v>312</v>
      </c>
      <c r="N1543" s="510">
        <v>43047562160000</v>
      </c>
      <c r="O1543" s="508" t="s">
        <v>2179</v>
      </c>
      <c r="P1543" s="650" t="s">
        <v>2184</v>
      </c>
      <c r="Q1543" s="564" t="s">
        <v>583</v>
      </c>
      <c r="R1543" s="564">
        <v>1</v>
      </c>
    </row>
    <row r="1544" spans="1:18" ht="15" customHeight="1" x14ac:dyDescent="0.25">
      <c r="A1544" s="508">
        <v>17</v>
      </c>
      <c r="B1544" s="508">
        <v>7</v>
      </c>
      <c r="C1544" s="508">
        <v>2</v>
      </c>
      <c r="D1544" s="508">
        <v>20</v>
      </c>
      <c r="E1544" s="508">
        <v>1</v>
      </c>
      <c r="F1544" s="508">
        <v>1</v>
      </c>
      <c r="G1544" s="509" t="s">
        <v>488</v>
      </c>
      <c r="H1544" s="508">
        <v>1314.41</v>
      </c>
      <c r="I1544" s="508">
        <v>1</v>
      </c>
      <c r="J1544" s="508">
        <v>48</v>
      </c>
      <c r="K1544" s="508">
        <v>48</v>
      </c>
      <c r="L1544" s="508">
        <v>4</v>
      </c>
      <c r="M1544" s="557" t="s">
        <v>312</v>
      </c>
      <c r="N1544" s="510">
        <v>43047562160000</v>
      </c>
      <c r="O1544" s="508" t="s">
        <v>2179</v>
      </c>
      <c r="P1544" s="650" t="s">
        <v>2185</v>
      </c>
      <c r="Q1544" s="564" t="s">
        <v>583</v>
      </c>
      <c r="R1544" s="564">
        <v>1</v>
      </c>
    </row>
    <row r="1545" spans="1:18" ht="15" customHeight="1" x14ac:dyDescent="0.25">
      <c r="A1545" s="508">
        <v>17</v>
      </c>
      <c r="B1545" s="508">
        <v>7</v>
      </c>
      <c r="C1545" s="508">
        <v>2</v>
      </c>
      <c r="D1545" s="508">
        <v>20</v>
      </c>
      <c r="E1545" s="508">
        <v>1</v>
      </c>
      <c r="F1545" s="508">
        <v>1</v>
      </c>
      <c r="G1545" s="508" t="s">
        <v>490</v>
      </c>
      <c r="H1545" s="508">
        <v>1332.57</v>
      </c>
      <c r="I1545" s="508">
        <v>1</v>
      </c>
      <c r="J1545" s="508">
        <v>30</v>
      </c>
      <c r="K1545" s="508">
        <v>29</v>
      </c>
      <c r="L1545" s="508">
        <v>4</v>
      </c>
      <c r="M1545" s="557" t="s">
        <v>312</v>
      </c>
      <c r="N1545" s="510">
        <v>43047562160000</v>
      </c>
      <c r="O1545" s="508" t="s">
        <v>2179</v>
      </c>
      <c r="P1545" s="650" t="s">
        <v>2186</v>
      </c>
      <c r="Q1545" s="564" t="s">
        <v>583</v>
      </c>
      <c r="R1545" s="564">
        <v>1</v>
      </c>
    </row>
    <row r="1546" spans="1:18" ht="15" customHeight="1" x14ac:dyDescent="0.25">
      <c r="A1546" s="508">
        <v>17</v>
      </c>
      <c r="B1546" s="508">
        <v>7</v>
      </c>
      <c r="C1546" s="508">
        <v>2</v>
      </c>
      <c r="D1546" s="508">
        <v>20</v>
      </c>
      <c r="E1546" s="508">
        <v>1</v>
      </c>
      <c r="F1546" s="508">
        <v>1</v>
      </c>
      <c r="G1546" s="508" t="s">
        <v>493</v>
      </c>
      <c r="H1546" s="508">
        <v>1286.28</v>
      </c>
      <c r="I1546" s="508">
        <v>1</v>
      </c>
      <c r="J1546" s="508">
        <v>41</v>
      </c>
      <c r="K1546" s="508">
        <v>46</v>
      </c>
      <c r="L1546" s="508">
        <v>4</v>
      </c>
      <c r="M1546" s="557" t="s">
        <v>312</v>
      </c>
      <c r="N1546" s="510">
        <v>43047562160000</v>
      </c>
      <c r="O1546" s="508" t="s">
        <v>2179</v>
      </c>
      <c r="P1546" s="650" t="s">
        <v>2187</v>
      </c>
      <c r="Q1546" s="564" t="s">
        <v>583</v>
      </c>
      <c r="R1546" s="564">
        <v>1</v>
      </c>
    </row>
    <row r="1547" spans="1:18" ht="15" customHeight="1" x14ac:dyDescent="0.25">
      <c r="A1547" s="508">
        <v>17</v>
      </c>
      <c r="B1547" s="508">
        <v>7</v>
      </c>
      <c r="C1547" s="508">
        <v>2</v>
      </c>
      <c r="D1547" s="508">
        <v>20</v>
      </c>
      <c r="E1547" s="508">
        <v>1</v>
      </c>
      <c r="F1547" s="508">
        <v>1</v>
      </c>
      <c r="G1547" s="508" t="s">
        <v>474</v>
      </c>
      <c r="H1547" s="508">
        <v>1330</v>
      </c>
      <c r="I1547" s="508">
        <v>88</v>
      </c>
      <c r="J1547" s="508">
        <v>44</v>
      </c>
      <c r="K1547" s="508">
        <v>5</v>
      </c>
      <c r="L1547" s="508">
        <v>2</v>
      </c>
      <c r="M1547" s="557" t="s">
        <v>312</v>
      </c>
      <c r="N1547" s="510">
        <v>43047562160000</v>
      </c>
      <c r="O1547" s="508" t="s">
        <v>2179</v>
      </c>
      <c r="P1547" s="650" t="s">
        <v>2188</v>
      </c>
      <c r="Q1547" s="564" t="s">
        <v>583</v>
      </c>
      <c r="R1547" s="564">
        <v>1</v>
      </c>
    </row>
    <row r="1548" spans="1:18" ht="15" customHeight="1" x14ac:dyDescent="0.25">
      <c r="A1548" s="508">
        <v>17</v>
      </c>
      <c r="B1548" s="508">
        <v>7</v>
      </c>
      <c r="C1548" s="508">
        <v>2</v>
      </c>
      <c r="D1548" s="508">
        <v>20</v>
      </c>
      <c r="E1548" s="508">
        <v>1</v>
      </c>
      <c r="F1548" s="508">
        <v>1</v>
      </c>
      <c r="G1548" s="509" t="s">
        <v>477</v>
      </c>
      <c r="H1548" s="508">
        <v>1329.76</v>
      </c>
      <c r="I1548" s="508">
        <v>88</v>
      </c>
      <c r="J1548" s="508">
        <v>44</v>
      </c>
      <c r="K1548" s="508">
        <v>5</v>
      </c>
      <c r="L1548" s="508">
        <v>2</v>
      </c>
      <c r="M1548" s="557" t="s">
        <v>312</v>
      </c>
      <c r="N1548" s="510">
        <v>43047562160000</v>
      </c>
      <c r="O1548" s="508" t="s">
        <v>2179</v>
      </c>
      <c r="P1548" s="650" t="s">
        <v>2189</v>
      </c>
      <c r="Q1548" s="564" t="s">
        <v>583</v>
      </c>
      <c r="R1548" s="564">
        <v>1</v>
      </c>
    </row>
    <row r="1549" spans="1:18" ht="15" customHeight="1" x14ac:dyDescent="0.25">
      <c r="A1549" s="508">
        <v>17</v>
      </c>
      <c r="B1549" s="508">
        <v>7</v>
      </c>
      <c r="C1549" s="508">
        <v>2</v>
      </c>
      <c r="D1549" s="508">
        <v>20</v>
      </c>
      <c r="E1549" s="508">
        <v>1</v>
      </c>
      <c r="F1549" s="508">
        <v>1</v>
      </c>
      <c r="G1549" s="508" t="s">
        <v>479</v>
      </c>
      <c r="H1549" s="508">
        <v>1329.16</v>
      </c>
      <c r="I1549" s="508">
        <v>88</v>
      </c>
      <c r="J1549" s="508">
        <v>42</v>
      </c>
      <c r="K1549" s="508">
        <v>38</v>
      </c>
      <c r="L1549" s="508">
        <v>2</v>
      </c>
      <c r="M1549" s="557" t="s">
        <v>312</v>
      </c>
      <c r="N1549" s="510">
        <v>43047562160000</v>
      </c>
      <c r="O1549" s="508" t="s">
        <v>2179</v>
      </c>
      <c r="P1549" s="650" t="s">
        <v>2190</v>
      </c>
      <c r="Q1549" s="564" t="s">
        <v>583</v>
      </c>
      <c r="R1549" s="564">
        <v>1</v>
      </c>
    </row>
    <row r="1550" spans="1:18" ht="15" customHeight="1" x14ac:dyDescent="0.25">
      <c r="A1550" s="508">
        <v>17</v>
      </c>
      <c r="B1550" s="508">
        <v>7</v>
      </c>
      <c r="C1550" s="508">
        <v>2</v>
      </c>
      <c r="D1550" s="508">
        <v>20</v>
      </c>
      <c r="E1550" s="508">
        <v>1</v>
      </c>
      <c r="F1550" s="508">
        <v>1</v>
      </c>
      <c r="G1550" s="508" t="s">
        <v>485</v>
      </c>
      <c r="H1550" s="508">
        <v>1326.81</v>
      </c>
      <c r="I1550" s="508">
        <v>88</v>
      </c>
      <c r="J1550" s="508">
        <v>27</v>
      </c>
      <c r="K1550" s="508">
        <v>55</v>
      </c>
      <c r="L1550" s="508">
        <v>2</v>
      </c>
      <c r="M1550" s="557" t="s">
        <v>312</v>
      </c>
      <c r="N1550" s="510">
        <v>43047562160000</v>
      </c>
      <c r="O1550" s="508" t="s">
        <v>2179</v>
      </c>
      <c r="P1550" s="650" t="s">
        <v>2191</v>
      </c>
      <c r="Q1550" s="564" t="s">
        <v>583</v>
      </c>
      <c r="R1550" s="564">
        <v>1</v>
      </c>
    </row>
    <row r="1551" spans="1:18" ht="15" customHeight="1" x14ac:dyDescent="0.25">
      <c r="A1551" s="508">
        <v>17</v>
      </c>
      <c r="B1551" s="508">
        <v>7</v>
      </c>
      <c r="C1551" s="508">
        <v>2</v>
      </c>
      <c r="D1551" s="508">
        <v>20</v>
      </c>
      <c r="E1551" s="508">
        <v>1</v>
      </c>
      <c r="F1551" s="508">
        <v>1</v>
      </c>
      <c r="G1551" s="508" t="s">
        <v>487</v>
      </c>
      <c r="H1551" s="508">
        <v>1324.0350000000001</v>
      </c>
      <c r="I1551" s="508">
        <v>88</v>
      </c>
      <c r="J1551" s="508">
        <v>5</v>
      </c>
      <c r="K1551" s="508">
        <v>44</v>
      </c>
      <c r="L1551" s="508">
        <v>3</v>
      </c>
      <c r="M1551" s="557" t="s">
        <v>312</v>
      </c>
      <c r="N1551" s="510">
        <v>43047562160000</v>
      </c>
      <c r="O1551" s="508" t="s">
        <v>2179</v>
      </c>
      <c r="P1551" s="650" t="s">
        <v>2192</v>
      </c>
      <c r="Q1551" s="564" t="s">
        <v>583</v>
      </c>
      <c r="R1551" s="564">
        <v>1</v>
      </c>
    </row>
    <row r="1552" spans="1:18" ht="15" customHeight="1" x14ac:dyDescent="0.25">
      <c r="A1552" s="553">
        <v>17</v>
      </c>
      <c r="B1552" s="553">
        <v>7</v>
      </c>
      <c r="C1552" s="553">
        <v>2</v>
      </c>
      <c r="D1552" s="553">
        <v>20</v>
      </c>
      <c r="E1552" s="553">
        <v>1</v>
      </c>
      <c r="F1552" s="553">
        <v>1</v>
      </c>
      <c r="G1552" s="502" t="s">
        <v>489</v>
      </c>
      <c r="H1552" s="553">
        <v>1324.0350000000001</v>
      </c>
      <c r="I1552" s="553">
        <v>88</v>
      </c>
      <c r="J1552" s="553">
        <v>5</v>
      </c>
      <c r="K1552" s="553">
        <v>44</v>
      </c>
      <c r="L1552" s="553">
        <v>3</v>
      </c>
      <c r="M1552" s="505" t="s">
        <v>312</v>
      </c>
      <c r="N1552" s="500">
        <v>43047562160000</v>
      </c>
      <c r="O1552" s="553" t="s">
        <v>2179</v>
      </c>
      <c r="P1552" s="650" t="s">
        <v>2193</v>
      </c>
      <c r="Q1552" s="564" t="s">
        <v>583</v>
      </c>
      <c r="R1552" s="564">
        <v>1</v>
      </c>
    </row>
    <row r="1553" spans="1:18" ht="15" customHeight="1" x14ac:dyDescent="0.25">
      <c r="A1553" s="553">
        <v>17</v>
      </c>
      <c r="B1553" s="553">
        <v>7</v>
      </c>
      <c r="C1553" s="553">
        <v>2</v>
      </c>
      <c r="D1553" s="553">
        <v>20</v>
      </c>
      <c r="E1553" s="553">
        <v>1</v>
      </c>
      <c r="F1553" s="553">
        <v>1</v>
      </c>
      <c r="G1553" s="553" t="s">
        <v>491</v>
      </c>
      <c r="H1553" s="553">
        <v>1320.645</v>
      </c>
      <c r="I1553" s="553">
        <v>88</v>
      </c>
      <c r="J1553" s="553">
        <v>2</v>
      </c>
      <c r="K1553" s="553">
        <v>51</v>
      </c>
      <c r="L1553" s="553">
        <v>3</v>
      </c>
      <c r="M1553" s="505" t="s">
        <v>312</v>
      </c>
      <c r="N1553" s="500">
        <v>43047562160000</v>
      </c>
      <c r="O1553" s="553" t="s">
        <v>2179</v>
      </c>
      <c r="P1553" s="650" t="s">
        <v>2194</v>
      </c>
      <c r="Q1553" s="564" t="s">
        <v>583</v>
      </c>
      <c r="R1553" s="564">
        <v>1</v>
      </c>
    </row>
    <row r="1554" spans="1:18" ht="15" customHeight="1" x14ac:dyDescent="0.25">
      <c r="A1554" s="553">
        <v>17</v>
      </c>
      <c r="B1554" s="553">
        <v>7</v>
      </c>
      <c r="C1554" s="553">
        <v>2</v>
      </c>
      <c r="D1554" s="553">
        <v>20</v>
      </c>
      <c r="E1554" s="553">
        <v>1</v>
      </c>
      <c r="F1554" s="553">
        <v>1</v>
      </c>
      <c r="G1554" s="553" t="s">
        <v>494</v>
      </c>
      <c r="H1554" s="553">
        <v>1320.645</v>
      </c>
      <c r="I1554" s="553">
        <v>88</v>
      </c>
      <c r="J1554" s="553">
        <v>2</v>
      </c>
      <c r="K1554" s="553">
        <v>51</v>
      </c>
      <c r="L1554" s="553">
        <v>3</v>
      </c>
      <c r="M1554" s="505" t="s">
        <v>312</v>
      </c>
      <c r="N1554" s="500">
        <v>43047562160000</v>
      </c>
      <c r="O1554" s="553" t="s">
        <v>2179</v>
      </c>
      <c r="P1554" s="650" t="s">
        <v>2195</v>
      </c>
      <c r="Q1554" s="564" t="s">
        <v>583</v>
      </c>
      <c r="R1554" s="564">
        <v>1</v>
      </c>
    </row>
    <row r="1555" spans="1:18" ht="15" customHeight="1" x14ac:dyDescent="0.25">
      <c r="A1555" s="553">
        <v>17</v>
      </c>
      <c r="B1555" s="553">
        <v>2</v>
      </c>
      <c r="C1555" s="553">
        <v>2</v>
      </c>
      <c r="D1555" s="553">
        <v>3</v>
      </c>
      <c r="E1555" s="553">
        <v>2</v>
      </c>
      <c r="F1555" s="553">
        <v>2</v>
      </c>
      <c r="G1555" s="553" t="s">
        <v>473</v>
      </c>
      <c r="H1555" s="553">
        <v>1311.66</v>
      </c>
      <c r="I1555" s="553">
        <v>0</v>
      </c>
      <c r="J1555" s="553">
        <v>47</v>
      </c>
      <c r="K1555" s="553">
        <v>29</v>
      </c>
      <c r="L1555" s="553">
        <v>2</v>
      </c>
      <c r="M1555" s="505" t="s">
        <v>137</v>
      </c>
      <c r="N1555" s="500">
        <v>43013538780000</v>
      </c>
      <c r="O1555" s="553" t="s">
        <v>2196</v>
      </c>
      <c r="P1555" s="650" t="s">
        <v>2197</v>
      </c>
      <c r="Q1555" s="564" t="s">
        <v>583</v>
      </c>
      <c r="R1555" s="564">
        <v>2</v>
      </c>
    </row>
    <row r="1556" spans="1:18" ht="15" customHeight="1" x14ac:dyDescent="0.25">
      <c r="A1556" s="553">
        <v>17</v>
      </c>
      <c r="B1556" s="553">
        <v>2</v>
      </c>
      <c r="C1556" s="553">
        <v>2</v>
      </c>
      <c r="D1556" s="553">
        <v>3</v>
      </c>
      <c r="E1556" s="553">
        <v>2</v>
      </c>
      <c r="F1556" s="553">
        <v>2</v>
      </c>
      <c r="G1556" s="502" t="s">
        <v>476</v>
      </c>
      <c r="H1556" s="553">
        <v>1311.66</v>
      </c>
      <c r="I1556" s="553">
        <v>0</v>
      </c>
      <c r="J1556" s="553">
        <v>47</v>
      </c>
      <c r="K1556" s="553">
        <v>29</v>
      </c>
      <c r="L1556" s="553">
        <v>2</v>
      </c>
      <c r="M1556" s="505" t="s">
        <v>137</v>
      </c>
      <c r="N1556" s="500">
        <v>43013538780000</v>
      </c>
      <c r="O1556" s="553" t="s">
        <v>2196</v>
      </c>
      <c r="P1556" s="650" t="s">
        <v>2198</v>
      </c>
      <c r="Q1556" s="564" t="s">
        <v>583</v>
      </c>
      <c r="R1556" s="564">
        <v>2</v>
      </c>
    </row>
    <row r="1557" spans="1:18" ht="15" customHeight="1" x14ac:dyDescent="0.25">
      <c r="A1557" s="553">
        <v>17</v>
      </c>
      <c r="B1557" s="553">
        <v>2</v>
      </c>
      <c r="C1557" s="553">
        <v>2</v>
      </c>
      <c r="D1557" s="553">
        <v>3</v>
      </c>
      <c r="E1557" s="553">
        <v>2</v>
      </c>
      <c r="F1557" s="553">
        <v>2</v>
      </c>
      <c r="G1557" s="553" t="s">
        <v>478</v>
      </c>
      <c r="H1557" s="553">
        <v>1320</v>
      </c>
      <c r="I1557" s="553">
        <v>0</v>
      </c>
      <c r="J1557" s="553">
        <v>0</v>
      </c>
      <c r="K1557" s="553">
        <v>0</v>
      </c>
      <c r="L1557" s="553">
        <v>2</v>
      </c>
      <c r="M1557" s="505" t="s">
        <v>137</v>
      </c>
      <c r="N1557" s="500">
        <v>43013538780000</v>
      </c>
      <c r="O1557" s="553" t="s">
        <v>2196</v>
      </c>
      <c r="P1557" s="650" t="s">
        <v>2199</v>
      </c>
      <c r="Q1557" s="564" t="s">
        <v>583</v>
      </c>
      <c r="R1557" s="564">
        <v>2</v>
      </c>
    </row>
    <row r="1558" spans="1:18" ht="15" customHeight="1" x14ac:dyDescent="0.25">
      <c r="A1558" s="553">
        <v>17</v>
      </c>
      <c r="B1558" s="553">
        <v>2</v>
      </c>
      <c r="C1558" s="553">
        <v>2</v>
      </c>
      <c r="D1558" s="553">
        <v>3</v>
      </c>
      <c r="E1558" s="553">
        <v>2</v>
      </c>
      <c r="F1558" s="553">
        <v>2</v>
      </c>
      <c r="G1558" s="553" t="s">
        <v>484</v>
      </c>
      <c r="H1558" s="553">
        <v>1320</v>
      </c>
      <c r="I1558" s="553">
        <v>0</v>
      </c>
      <c r="J1558" s="553">
        <v>0</v>
      </c>
      <c r="K1558" s="553">
        <v>0</v>
      </c>
      <c r="L1558" s="553">
        <v>2</v>
      </c>
      <c r="M1558" s="505" t="s">
        <v>137</v>
      </c>
      <c r="N1558" s="500">
        <v>43013538780000</v>
      </c>
      <c r="O1558" s="553" t="s">
        <v>2196</v>
      </c>
      <c r="P1558" s="650" t="s">
        <v>2200</v>
      </c>
      <c r="Q1558" s="564" t="s">
        <v>583</v>
      </c>
      <c r="R1558" s="564">
        <v>2</v>
      </c>
    </row>
    <row r="1559" spans="1:18" ht="15" customHeight="1" x14ac:dyDescent="0.25">
      <c r="A1559" s="553">
        <v>17</v>
      </c>
      <c r="B1559" s="553">
        <v>2</v>
      </c>
      <c r="C1559" s="553">
        <v>2</v>
      </c>
      <c r="D1559" s="553">
        <v>3</v>
      </c>
      <c r="E1559" s="553">
        <v>2</v>
      </c>
      <c r="F1559" s="553">
        <v>2</v>
      </c>
      <c r="G1559" s="553" t="s">
        <v>486</v>
      </c>
      <c r="H1559" s="553">
        <v>1317.7049999999999</v>
      </c>
      <c r="I1559" s="553">
        <v>0</v>
      </c>
      <c r="J1559" s="553">
        <v>2</v>
      </c>
      <c r="K1559" s="553">
        <v>47</v>
      </c>
      <c r="L1559" s="553">
        <v>3</v>
      </c>
      <c r="M1559" s="505" t="s">
        <v>137</v>
      </c>
      <c r="N1559" s="500">
        <v>43013538780000</v>
      </c>
      <c r="O1559" s="553" t="s">
        <v>2196</v>
      </c>
      <c r="P1559" s="650" t="s">
        <v>2201</v>
      </c>
      <c r="Q1559" s="564" t="s">
        <v>583</v>
      </c>
      <c r="R1559" s="564">
        <v>2</v>
      </c>
    </row>
    <row r="1560" spans="1:18" ht="15" customHeight="1" x14ac:dyDescent="0.25">
      <c r="A1560" s="553">
        <v>17</v>
      </c>
      <c r="B1560" s="553">
        <v>2</v>
      </c>
      <c r="C1560" s="553">
        <v>2</v>
      </c>
      <c r="D1560" s="553">
        <v>3</v>
      </c>
      <c r="E1560" s="553">
        <v>2</v>
      </c>
      <c r="F1560" s="553">
        <v>2</v>
      </c>
      <c r="G1560" s="502" t="s">
        <v>488</v>
      </c>
      <c r="H1560" s="553">
        <v>1317.7049999999999</v>
      </c>
      <c r="I1560" s="553">
        <v>0</v>
      </c>
      <c r="J1560" s="553">
        <v>2</v>
      </c>
      <c r="K1560" s="553">
        <v>47</v>
      </c>
      <c r="L1560" s="553">
        <v>3</v>
      </c>
      <c r="M1560" s="505" t="s">
        <v>137</v>
      </c>
      <c r="N1560" s="500">
        <v>43013538780000</v>
      </c>
      <c r="O1560" s="553" t="s">
        <v>2196</v>
      </c>
      <c r="P1560" s="650" t="s">
        <v>2202</v>
      </c>
      <c r="Q1560" s="564" t="s">
        <v>583</v>
      </c>
      <c r="R1560" s="564">
        <v>2</v>
      </c>
    </row>
    <row r="1561" spans="1:18" ht="15" customHeight="1" x14ac:dyDescent="0.25">
      <c r="A1561" s="553">
        <v>17</v>
      </c>
      <c r="B1561" s="553">
        <v>2</v>
      </c>
      <c r="C1561" s="553">
        <v>2</v>
      </c>
      <c r="D1561" s="553">
        <v>3</v>
      </c>
      <c r="E1561" s="553">
        <v>2</v>
      </c>
      <c r="F1561" s="553">
        <v>2</v>
      </c>
      <c r="G1561" s="553" t="s">
        <v>490</v>
      </c>
      <c r="H1561" s="553">
        <v>1317.7049999999999</v>
      </c>
      <c r="I1561" s="553">
        <v>0</v>
      </c>
      <c r="J1561" s="553">
        <v>2</v>
      </c>
      <c r="K1561" s="553">
        <v>47</v>
      </c>
      <c r="L1561" s="553">
        <v>3</v>
      </c>
      <c r="M1561" s="505" t="s">
        <v>137</v>
      </c>
      <c r="N1561" s="500">
        <v>43013538780000</v>
      </c>
      <c r="O1561" s="553" t="s">
        <v>2196</v>
      </c>
      <c r="P1561" s="650" t="s">
        <v>2203</v>
      </c>
      <c r="Q1561" s="564" t="s">
        <v>583</v>
      </c>
      <c r="R1561" s="564">
        <v>2</v>
      </c>
    </row>
    <row r="1562" spans="1:18" ht="15" customHeight="1" x14ac:dyDescent="0.25">
      <c r="A1562" s="553">
        <v>17</v>
      </c>
      <c r="B1562" s="553">
        <v>2</v>
      </c>
      <c r="C1562" s="553">
        <v>2</v>
      </c>
      <c r="D1562" s="553">
        <v>3</v>
      </c>
      <c r="E1562" s="553">
        <v>2</v>
      </c>
      <c r="F1562" s="553">
        <v>2</v>
      </c>
      <c r="G1562" s="553" t="s">
        <v>493</v>
      </c>
      <c r="H1562" s="553">
        <v>1317.7049999999999</v>
      </c>
      <c r="I1562" s="553">
        <v>0</v>
      </c>
      <c r="J1562" s="553">
        <v>2</v>
      </c>
      <c r="K1562" s="553">
        <v>47</v>
      </c>
      <c r="L1562" s="553">
        <v>3</v>
      </c>
      <c r="M1562" s="505" t="s">
        <v>137</v>
      </c>
      <c r="N1562" s="500">
        <v>43013538780000</v>
      </c>
      <c r="O1562" s="553" t="s">
        <v>2196</v>
      </c>
      <c r="P1562" s="650" t="s">
        <v>2204</v>
      </c>
      <c r="Q1562" s="564" t="s">
        <v>583</v>
      </c>
      <c r="R1562" s="564">
        <v>2</v>
      </c>
    </row>
    <row r="1563" spans="1:18" ht="15" customHeight="1" x14ac:dyDescent="0.25">
      <c r="A1563" s="553">
        <v>17</v>
      </c>
      <c r="B1563" s="553">
        <v>2</v>
      </c>
      <c r="C1563" s="553">
        <v>2</v>
      </c>
      <c r="D1563" s="553">
        <v>3</v>
      </c>
      <c r="E1563" s="553">
        <v>2</v>
      </c>
      <c r="F1563" s="553">
        <v>2</v>
      </c>
      <c r="G1563" s="553" t="s">
        <v>474</v>
      </c>
      <c r="H1563" s="553">
        <v>1320.2</v>
      </c>
      <c r="I1563" s="553">
        <v>89</v>
      </c>
      <c r="J1563" s="553">
        <v>59</v>
      </c>
      <c r="K1563" s="553">
        <v>53</v>
      </c>
      <c r="L1563" s="553">
        <v>3</v>
      </c>
      <c r="M1563" s="505" t="s">
        <v>137</v>
      </c>
      <c r="N1563" s="500">
        <v>43013538780000</v>
      </c>
      <c r="O1563" s="553" t="s">
        <v>2196</v>
      </c>
      <c r="P1563" s="650" t="s">
        <v>2205</v>
      </c>
      <c r="Q1563" s="564" t="s">
        <v>583</v>
      </c>
      <c r="R1563" s="564">
        <v>2</v>
      </c>
    </row>
    <row r="1564" spans="1:18" ht="15" customHeight="1" x14ac:dyDescent="0.25">
      <c r="A1564" s="553">
        <v>17</v>
      </c>
      <c r="B1564" s="553">
        <v>2</v>
      </c>
      <c r="C1564" s="553">
        <v>2</v>
      </c>
      <c r="D1564" s="553">
        <v>3</v>
      </c>
      <c r="E1564" s="553">
        <v>2</v>
      </c>
      <c r="F1564" s="553">
        <v>2</v>
      </c>
      <c r="G1564" s="502" t="s">
        <v>477</v>
      </c>
      <c r="H1564" s="553">
        <v>1325.92</v>
      </c>
      <c r="I1564" s="553">
        <v>89</v>
      </c>
      <c r="J1564" s="553">
        <v>47</v>
      </c>
      <c r="K1564" s="553">
        <v>15</v>
      </c>
      <c r="L1564" s="553">
        <v>3</v>
      </c>
      <c r="M1564" s="505" t="s">
        <v>137</v>
      </c>
      <c r="N1564" s="500">
        <v>43013538780000</v>
      </c>
      <c r="O1564" s="553" t="s">
        <v>2196</v>
      </c>
      <c r="P1564" s="650" t="s">
        <v>2206</v>
      </c>
      <c r="Q1564" s="564" t="s">
        <v>583</v>
      </c>
      <c r="R1564" s="564">
        <v>2</v>
      </c>
    </row>
    <row r="1565" spans="1:18" ht="15" customHeight="1" x14ac:dyDescent="0.25">
      <c r="A1565" s="553">
        <v>17</v>
      </c>
      <c r="B1565" s="553">
        <v>2</v>
      </c>
      <c r="C1565" s="553">
        <v>2</v>
      </c>
      <c r="D1565" s="553">
        <v>3</v>
      </c>
      <c r="E1565" s="553">
        <v>2</v>
      </c>
      <c r="F1565" s="553">
        <v>2</v>
      </c>
      <c r="G1565" s="553" t="s">
        <v>479</v>
      </c>
      <c r="H1565" s="553">
        <v>1314.32</v>
      </c>
      <c r="I1565" s="553">
        <v>89</v>
      </c>
      <c r="J1565" s="553">
        <v>40</v>
      </c>
      <c r="K1565" s="553">
        <v>38</v>
      </c>
      <c r="L1565" s="553">
        <v>4</v>
      </c>
      <c r="M1565" s="505" t="s">
        <v>137</v>
      </c>
      <c r="N1565" s="500">
        <v>43013538780000</v>
      </c>
      <c r="O1565" s="553" t="s">
        <v>2196</v>
      </c>
      <c r="P1565" s="650" t="s">
        <v>2207</v>
      </c>
      <c r="Q1565" s="564" t="s">
        <v>583</v>
      </c>
      <c r="R1565" s="564">
        <v>2</v>
      </c>
    </row>
    <row r="1566" spans="1:18" ht="15" customHeight="1" x14ac:dyDescent="0.25">
      <c r="A1566" s="553">
        <v>17</v>
      </c>
      <c r="B1566" s="553">
        <v>2</v>
      </c>
      <c r="C1566" s="553">
        <v>2</v>
      </c>
      <c r="D1566" s="553">
        <v>3</v>
      </c>
      <c r="E1566" s="553">
        <v>2</v>
      </c>
      <c r="F1566" s="553">
        <v>2</v>
      </c>
      <c r="G1566" s="553" t="s">
        <v>485</v>
      </c>
      <c r="H1566" s="553">
        <v>1314.32</v>
      </c>
      <c r="I1566" s="553">
        <v>89</v>
      </c>
      <c r="J1566" s="553">
        <v>40</v>
      </c>
      <c r="K1566" s="553">
        <v>38</v>
      </c>
      <c r="L1566" s="553">
        <v>4</v>
      </c>
      <c r="M1566" s="505" t="s">
        <v>137</v>
      </c>
      <c r="N1566" s="500">
        <v>43013538780000</v>
      </c>
      <c r="O1566" s="553" t="s">
        <v>2196</v>
      </c>
      <c r="P1566" s="650" t="s">
        <v>2208</v>
      </c>
      <c r="Q1566" s="564" t="s">
        <v>583</v>
      </c>
      <c r="R1566" s="564">
        <v>2</v>
      </c>
    </row>
    <row r="1567" spans="1:18" ht="15" customHeight="1" x14ac:dyDescent="0.25">
      <c r="A1567" s="553">
        <v>17</v>
      </c>
      <c r="B1567" s="553">
        <v>2</v>
      </c>
      <c r="C1567" s="553">
        <v>2</v>
      </c>
      <c r="D1567" s="553">
        <v>3</v>
      </c>
      <c r="E1567" s="553">
        <v>2</v>
      </c>
      <c r="F1567" s="553">
        <v>2</v>
      </c>
      <c r="G1567" s="553" t="s">
        <v>487</v>
      </c>
      <c r="H1567" s="553">
        <v>1321.98</v>
      </c>
      <c r="I1567" s="553">
        <v>90</v>
      </c>
      <c r="J1567" s="553">
        <v>0</v>
      </c>
      <c r="K1567" s="553">
        <v>0</v>
      </c>
      <c r="L1567" s="553">
        <v>3</v>
      </c>
      <c r="M1567" s="505" t="s">
        <v>137</v>
      </c>
      <c r="N1567" s="500">
        <v>43013538780000</v>
      </c>
      <c r="O1567" s="553" t="s">
        <v>2196</v>
      </c>
      <c r="P1567" s="650" t="s">
        <v>2209</v>
      </c>
      <c r="Q1567" s="564" t="s">
        <v>583</v>
      </c>
      <c r="R1567" s="564">
        <v>2</v>
      </c>
    </row>
    <row r="1568" spans="1:18" ht="15" customHeight="1" x14ac:dyDescent="0.25">
      <c r="A1568" s="553">
        <v>17</v>
      </c>
      <c r="B1568" s="553">
        <v>2</v>
      </c>
      <c r="C1568" s="553">
        <v>2</v>
      </c>
      <c r="D1568" s="553">
        <v>3</v>
      </c>
      <c r="E1568" s="553">
        <v>2</v>
      </c>
      <c r="F1568" s="553">
        <v>2</v>
      </c>
      <c r="G1568" s="502" t="s">
        <v>489</v>
      </c>
      <c r="H1568" s="553">
        <v>1321.98</v>
      </c>
      <c r="I1568" s="553">
        <v>90</v>
      </c>
      <c r="J1568" s="553">
        <v>0</v>
      </c>
      <c r="K1568" s="553">
        <v>0</v>
      </c>
      <c r="L1568" s="553">
        <v>3</v>
      </c>
      <c r="M1568" s="505" t="s">
        <v>137</v>
      </c>
      <c r="N1568" s="500">
        <v>43013538780000</v>
      </c>
      <c r="O1568" s="553" t="s">
        <v>2196</v>
      </c>
      <c r="P1568" s="650" t="s">
        <v>2210</v>
      </c>
      <c r="Q1568" s="564" t="s">
        <v>583</v>
      </c>
      <c r="R1568" s="564">
        <v>2</v>
      </c>
    </row>
    <row r="1569" spans="1:18" ht="15" customHeight="1" x14ac:dyDescent="0.25">
      <c r="A1569" s="553">
        <v>17</v>
      </c>
      <c r="B1569" s="553">
        <v>2</v>
      </c>
      <c r="C1569" s="553">
        <v>2</v>
      </c>
      <c r="D1569" s="553">
        <v>3</v>
      </c>
      <c r="E1569" s="553">
        <v>2</v>
      </c>
      <c r="F1569" s="553">
        <v>2</v>
      </c>
      <c r="G1569" s="553" t="s">
        <v>491</v>
      </c>
      <c r="H1569" s="553">
        <v>1321.98</v>
      </c>
      <c r="I1569" s="553">
        <v>90</v>
      </c>
      <c r="J1569" s="553">
        <v>0</v>
      </c>
      <c r="K1569" s="553">
        <v>0</v>
      </c>
      <c r="L1569" s="553">
        <v>3</v>
      </c>
      <c r="M1569" s="505" t="s">
        <v>137</v>
      </c>
      <c r="N1569" s="500">
        <v>43013538780000</v>
      </c>
      <c r="O1569" s="553" t="s">
        <v>2196</v>
      </c>
      <c r="P1569" s="650" t="s">
        <v>2211</v>
      </c>
      <c r="Q1569" s="564" t="s">
        <v>583</v>
      </c>
      <c r="R1569" s="564">
        <v>2</v>
      </c>
    </row>
    <row r="1570" spans="1:18" ht="15" customHeight="1" x14ac:dyDescent="0.25">
      <c r="A1570" s="553">
        <v>17</v>
      </c>
      <c r="B1570" s="553">
        <v>2</v>
      </c>
      <c r="C1570" s="553">
        <v>2</v>
      </c>
      <c r="D1570" s="553">
        <v>3</v>
      </c>
      <c r="E1570" s="553">
        <v>2</v>
      </c>
      <c r="F1570" s="553">
        <v>2</v>
      </c>
      <c r="G1570" s="553" t="s">
        <v>494</v>
      </c>
      <c r="H1570" s="553">
        <v>1321.98</v>
      </c>
      <c r="I1570" s="553">
        <v>90</v>
      </c>
      <c r="J1570" s="553">
        <v>0</v>
      </c>
      <c r="K1570" s="553">
        <v>0</v>
      </c>
      <c r="L1570" s="553">
        <v>3</v>
      </c>
      <c r="M1570" s="505" t="s">
        <v>137</v>
      </c>
      <c r="N1570" s="500">
        <v>43013538780000</v>
      </c>
      <c r="O1570" s="553" t="s">
        <v>2196</v>
      </c>
      <c r="P1570" s="650" t="s">
        <v>2212</v>
      </c>
      <c r="Q1570" s="564" t="s">
        <v>583</v>
      </c>
      <c r="R1570" s="564">
        <v>2</v>
      </c>
    </row>
    <row r="1571" spans="1:18" ht="15" customHeight="1" x14ac:dyDescent="0.25">
      <c r="A1571" s="553">
        <v>17</v>
      </c>
      <c r="B1571" s="553">
        <v>3</v>
      </c>
      <c r="C1571" s="553">
        <v>2</v>
      </c>
      <c r="D1571" s="553">
        <v>2</v>
      </c>
      <c r="E1571" s="553">
        <v>2</v>
      </c>
      <c r="F1571" s="553">
        <v>2</v>
      </c>
      <c r="G1571" s="553" t="s">
        <v>473</v>
      </c>
      <c r="H1571" s="553">
        <v>1317.02</v>
      </c>
      <c r="I1571" s="553">
        <v>0</v>
      </c>
      <c r="J1571" s="553">
        <v>52</v>
      </c>
      <c r="K1571" s="553">
        <v>34</v>
      </c>
      <c r="L1571" s="553">
        <v>4</v>
      </c>
      <c r="M1571" s="505" t="s">
        <v>137</v>
      </c>
      <c r="N1571" s="500">
        <v>43013538590000</v>
      </c>
      <c r="O1571" s="553" t="s">
        <v>1351</v>
      </c>
      <c r="P1571" s="650" t="s">
        <v>2213</v>
      </c>
      <c r="Q1571" s="564" t="s">
        <v>583</v>
      </c>
      <c r="R1571" s="564">
        <v>1</v>
      </c>
    </row>
    <row r="1572" spans="1:18" ht="15" customHeight="1" x14ac:dyDescent="0.25">
      <c r="A1572" s="553">
        <v>17</v>
      </c>
      <c r="B1572" s="553">
        <v>3</v>
      </c>
      <c r="C1572" s="553">
        <v>2</v>
      </c>
      <c r="D1572" s="553">
        <v>2</v>
      </c>
      <c r="E1572" s="553">
        <v>2</v>
      </c>
      <c r="F1572" s="553">
        <v>2</v>
      </c>
      <c r="G1572" s="502" t="s">
        <v>476</v>
      </c>
      <c r="H1572" s="553">
        <v>1337.87</v>
      </c>
      <c r="I1572" s="553">
        <v>0</v>
      </c>
      <c r="J1572" s="553">
        <v>41</v>
      </c>
      <c r="K1572" s="553">
        <v>17</v>
      </c>
      <c r="L1572" s="553">
        <v>4</v>
      </c>
      <c r="M1572" s="505" t="s">
        <v>137</v>
      </c>
      <c r="N1572" s="500">
        <v>43013538590000</v>
      </c>
      <c r="O1572" s="553" t="s">
        <v>1351</v>
      </c>
      <c r="P1572" s="650" t="s">
        <v>2214</v>
      </c>
      <c r="Q1572" s="564" t="s">
        <v>583</v>
      </c>
      <c r="R1572" s="564">
        <v>1</v>
      </c>
    </row>
    <row r="1573" spans="1:18" ht="15" customHeight="1" x14ac:dyDescent="0.25">
      <c r="A1573" s="553">
        <v>17</v>
      </c>
      <c r="B1573" s="553">
        <v>3</v>
      </c>
      <c r="C1573" s="553">
        <v>2</v>
      </c>
      <c r="D1573" s="553">
        <v>2</v>
      </c>
      <c r="E1573" s="553">
        <v>2</v>
      </c>
      <c r="F1573" s="553">
        <v>2</v>
      </c>
      <c r="G1573" s="553" t="s">
        <v>478</v>
      </c>
      <c r="H1573" s="553">
        <v>1287.05</v>
      </c>
      <c r="I1573" s="553">
        <v>1</v>
      </c>
      <c r="J1573" s="553">
        <v>48</v>
      </c>
      <c r="K1573" s="553">
        <v>17</v>
      </c>
      <c r="L1573" s="553">
        <v>4</v>
      </c>
      <c r="M1573" s="505" t="s">
        <v>137</v>
      </c>
      <c r="N1573" s="500">
        <v>43013538590000</v>
      </c>
      <c r="O1573" s="553" t="s">
        <v>1351</v>
      </c>
      <c r="P1573" s="650" t="s">
        <v>2215</v>
      </c>
      <c r="Q1573" s="564" t="s">
        <v>583</v>
      </c>
      <c r="R1573" s="564">
        <v>1</v>
      </c>
    </row>
    <row r="1574" spans="1:18" ht="15" customHeight="1" x14ac:dyDescent="0.25">
      <c r="A1574" s="553">
        <v>17</v>
      </c>
      <c r="B1574" s="553">
        <v>3</v>
      </c>
      <c r="C1574" s="553">
        <v>2</v>
      </c>
      <c r="D1574" s="553">
        <v>2</v>
      </c>
      <c r="E1574" s="553">
        <v>2</v>
      </c>
      <c r="F1574" s="553">
        <v>2</v>
      </c>
      <c r="G1574" s="553" t="s">
        <v>484</v>
      </c>
      <c r="H1574" s="553">
        <v>1287.05</v>
      </c>
      <c r="I1574" s="553">
        <v>1</v>
      </c>
      <c r="J1574" s="553">
        <v>48</v>
      </c>
      <c r="K1574" s="553">
        <v>17</v>
      </c>
      <c r="L1574" s="553">
        <v>4</v>
      </c>
      <c r="M1574" s="505" t="s">
        <v>137</v>
      </c>
      <c r="N1574" s="500">
        <v>43013538590000</v>
      </c>
      <c r="O1574" s="553" t="s">
        <v>1351</v>
      </c>
      <c r="P1574" s="650" t="s">
        <v>2216</v>
      </c>
      <c r="Q1574" s="564" t="s">
        <v>583</v>
      </c>
      <c r="R1574" s="564">
        <v>1</v>
      </c>
    </row>
    <row r="1575" spans="1:18" ht="15" customHeight="1" x14ac:dyDescent="0.25">
      <c r="A1575" s="553">
        <v>17</v>
      </c>
      <c r="B1575" s="553">
        <v>3</v>
      </c>
      <c r="C1575" s="553">
        <v>2</v>
      </c>
      <c r="D1575" s="553">
        <v>2</v>
      </c>
      <c r="E1575" s="553">
        <v>2</v>
      </c>
      <c r="F1575" s="553">
        <v>2</v>
      </c>
      <c r="G1575" s="553" t="s">
        <v>486</v>
      </c>
      <c r="H1575" s="553">
        <v>1323.36</v>
      </c>
      <c r="I1575" s="553">
        <v>2</v>
      </c>
      <c r="J1575" s="553">
        <v>40</v>
      </c>
      <c r="K1575" s="553">
        <v>48</v>
      </c>
      <c r="L1575" s="553">
        <v>4</v>
      </c>
      <c r="M1575" s="505" t="s">
        <v>137</v>
      </c>
      <c r="N1575" s="500">
        <v>43013538590000</v>
      </c>
      <c r="O1575" s="553" t="s">
        <v>1351</v>
      </c>
      <c r="P1575" s="650" t="s">
        <v>2217</v>
      </c>
      <c r="Q1575" s="564" t="s">
        <v>583</v>
      </c>
      <c r="R1575" s="564">
        <v>1</v>
      </c>
    </row>
    <row r="1576" spans="1:18" ht="15" customHeight="1" x14ac:dyDescent="0.25">
      <c r="A1576" s="553">
        <v>17</v>
      </c>
      <c r="B1576" s="553">
        <v>3</v>
      </c>
      <c r="C1576" s="553">
        <v>2</v>
      </c>
      <c r="D1576" s="553">
        <v>2</v>
      </c>
      <c r="E1576" s="553">
        <v>2</v>
      </c>
      <c r="F1576" s="553">
        <v>2</v>
      </c>
      <c r="G1576" s="502" t="s">
        <v>488</v>
      </c>
      <c r="H1576" s="553">
        <v>1323.36</v>
      </c>
      <c r="I1576" s="553">
        <v>2</v>
      </c>
      <c r="J1576" s="553">
        <v>40</v>
      </c>
      <c r="K1576" s="553">
        <v>48</v>
      </c>
      <c r="L1576" s="553">
        <v>4</v>
      </c>
      <c r="M1576" s="505" t="s">
        <v>137</v>
      </c>
      <c r="N1576" s="500">
        <v>43013538590000</v>
      </c>
      <c r="O1576" s="553" t="s">
        <v>1351</v>
      </c>
      <c r="P1576" s="650" t="s">
        <v>2218</v>
      </c>
      <c r="Q1576" s="564" t="s">
        <v>583</v>
      </c>
      <c r="R1576" s="564">
        <v>1</v>
      </c>
    </row>
    <row r="1577" spans="1:18" ht="15" customHeight="1" x14ac:dyDescent="0.25">
      <c r="A1577" s="553">
        <v>17</v>
      </c>
      <c r="B1577" s="553">
        <v>3</v>
      </c>
      <c r="C1577" s="553">
        <v>2</v>
      </c>
      <c r="D1577" s="553">
        <v>2</v>
      </c>
      <c r="E1577" s="553">
        <v>2</v>
      </c>
      <c r="F1577" s="553">
        <v>2</v>
      </c>
      <c r="G1577" s="553" t="s">
        <v>490</v>
      </c>
      <c r="H1577" s="553">
        <v>1320.2550000000001</v>
      </c>
      <c r="I1577" s="553">
        <v>2</v>
      </c>
      <c r="J1577" s="553">
        <v>38</v>
      </c>
      <c r="K1577" s="553">
        <v>36</v>
      </c>
      <c r="L1577" s="553">
        <v>4</v>
      </c>
      <c r="M1577" s="505" t="s">
        <v>137</v>
      </c>
      <c r="N1577" s="500">
        <v>43013538590000</v>
      </c>
      <c r="O1577" s="553" t="s">
        <v>1351</v>
      </c>
      <c r="P1577" s="650" t="s">
        <v>2219</v>
      </c>
      <c r="Q1577" s="564" t="s">
        <v>583</v>
      </c>
      <c r="R1577" s="564">
        <v>1</v>
      </c>
    </row>
    <row r="1578" spans="1:18" ht="15" customHeight="1" x14ac:dyDescent="0.25">
      <c r="A1578" s="553">
        <v>17</v>
      </c>
      <c r="B1578" s="553">
        <v>3</v>
      </c>
      <c r="C1578" s="553">
        <v>2</v>
      </c>
      <c r="D1578" s="553">
        <v>2</v>
      </c>
      <c r="E1578" s="553">
        <v>2</v>
      </c>
      <c r="F1578" s="553">
        <v>2</v>
      </c>
      <c r="G1578" s="553" t="s">
        <v>493</v>
      </c>
      <c r="H1578" s="553">
        <v>1320.2550000000001</v>
      </c>
      <c r="I1578" s="553">
        <v>2</v>
      </c>
      <c r="J1578" s="553">
        <v>38</v>
      </c>
      <c r="K1578" s="553">
        <v>36</v>
      </c>
      <c r="L1578" s="553">
        <v>4</v>
      </c>
      <c r="M1578" s="505" t="s">
        <v>137</v>
      </c>
      <c r="N1578" s="500">
        <v>43013538590000</v>
      </c>
      <c r="O1578" s="553" t="s">
        <v>1351</v>
      </c>
      <c r="P1578" s="650" t="s">
        <v>2220</v>
      </c>
      <c r="Q1578" s="564" t="s">
        <v>583</v>
      </c>
      <c r="R1578" s="564">
        <v>1</v>
      </c>
    </row>
    <row r="1579" spans="1:18" ht="15" customHeight="1" x14ac:dyDescent="0.25">
      <c r="A1579" s="553">
        <v>17</v>
      </c>
      <c r="B1579" s="553">
        <v>3</v>
      </c>
      <c r="C1579" s="553">
        <v>2</v>
      </c>
      <c r="D1579" s="553">
        <v>2</v>
      </c>
      <c r="E1579" s="553">
        <v>2</v>
      </c>
      <c r="F1579" s="553">
        <v>2</v>
      </c>
      <c r="G1579" s="553" t="s">
        <v>474</v>
      </c>
      <c r="H1579" s="553">
        <v>1319.57</v>
      </c>
      <c r="I1579" s="553">
        <v>89</v>
      </c>
      <c r="J1579" s="553">
        <v>0</v>
      </c>
      <c r="K1579" s="553">
        <v>48</v>
      </c>
      <c r="L1579" s="553">
        <v>3</v>
      </c>
      <c r="M1579" s="505" t="s">
        <v>137</v>
      </c>
      <c r="N1579" s="500">
        <v>43013538590000</v>
      </c>
      <c r="O1579" s="553" t="s">
        <v>1351</v>
      </c>
      <c r="P1579" s="650" t="s">
        <v>2221</v>
      </c>
      <c r="Q1579" s="564" t="s">
        <v>583</v>
      </c>
      <c r="R1579" s="564">
        <v>1</v>
      </c>
    </row>
    <row r="1580" spans="1:18" ht="15" customHeight="1" x14ac:dyDescent="0.25">
      <c r="A1580" s="553">
        <v>17</v>
      </c>
      <c r="B1580" s="553">
        <v>3</v>
      </c>
      <c r="C1580" s="553">
        <v>2</v>
      </c>
      <c r="D1580" s="553">
        <v>2</v>
      </c>
      <c r="E1580" s="553">
        <v>2</v>
      </c>
      <c r="F1580" s="553">
        <v>2</v>
      </c>
      <c r="G1580" s="502" t="s">
        <v>477</v>
      </c>
      <c r="H1580" s="553">
        <v>1319.57</v>
      </c>
      <c r="I1580" s="553">
        <v>89</v>
      </c>
      <c r="J1580" s="553">
        <v>0</v>
      </c>
      <c r="K1580" s="553">
        <v>48</v>
      </c>
      <c r="L1580" s="553">
        <v>3</v>
      </c>
      <c r="M1580" s="505" t="s">
        <v>137</v>
      </c>
      <c r="N1580" s="500">
        <v>43013538590000</v>
      </c>
      <c r="O1580" s="553" t="s">
        <v>1351</v>
      </c>
      <c r="P1580" s="650" t="s">
        <v>2222</v>
      </c>
      <c r="Q1580" s="564" t="s">
        <v>583</v>
      </c>
      <c r="R1580" s="564">
        <v>1</v>
      </c>
    </row>
    <row r="1581" spans="1:18" ht="15" customHeight="1" x14ac:dyDescent="0.25">
      <c r="A1581" s="553">
        <v>17</v>
      </c>
      <c r="B1581" s="553">
        <v>3</v>
      </c>
      <c r="C1581" s="553">
        <v>2</v>
      </c>
      <c r="D1581" s="553">
        <v>2</v>
      </c>
      <c r="E1581" s="553">
        <v>2</v>
      </c>
      <c r="F1581" s="553">
        <v>2</v>
      </c>
      <c r="G1581" s="553" t="s">
        <v>479</v>
      </c>
      <c r="H1581" s="553">
        <v>1319.57</v>
      </c>
      <c r="I1581" s="553">
        <v>89</v>
      </c>
      <c r="J1581" s="553">
        <v>0</v>
      </c>
      <c r="K1581" s="553">
        <v>48</v>
      </c>
      <c r="L1581" s="553">
        <v>3</v>
      </c>
      <c r="M1581" s="505" t="s">
        <v>137</v>
      </c>
      <c r="N1581" s="500">
        <v>43013538590000</v>
      </c>
      <c r="O1581" s="553" t="s">
        <v>1351</v>
      </c>
      <c r="P1581" s="650" t="s">
        <v>2223</v>
      </c>
      <c r="Q1581" s="564" t="s">
        <v>583</v>
      </c>
      <c r="R1581" s="564">
        <v>1</v>
      </c>
    </row>
    <row r="1582" spans="1:18" ht="15" customHeight="1" x14ac:dyDescent="0.25">
      <c r="A1582" s="553">
        <v>17</v>
      </c>
      <c r="B1582" s="553">
        <v>3</v>
      </c>
      <c r="C1582" s="553">
        <v>2</v>
      </c>
      <c r="D1582" s="553">
        <v>2</v>
      </c>
      <c r="E1582" s="553">
        <v>2</v>
      </c>
      <c r="F1582" s="553">
        <v>2</v>
      </c>
      <c r="G1582" s="553" t="s">
        <v>485</v>
      </c>
      <c r="H1582" s="553">
        <v>1319.57</v>
      </c>
      <c r="I1582" s="553">
        <v>89</v>
      </c>
      <c r="J1582" s="553">
        <v>0</v>
      </c>
      <c r="K1582" s="553">
        <v>48</v>
      </c>
      <c r="L1582" s="553">
        <v>3</v>
      </c>
      <c r="M1582" s="505" t="s">
        <v>137</v>
      </c>
      <c r="N1582" s="500">
        <v>43013538590000</v>
      </c>
      <c r="O1582" s="553" t="s">
        <v>1351</v>
      </c>
      <c r="P1582" s="650" t="s">
        <v>2224</v>
      </c>
      <c r="Q1582" s="564" t="s">
        <v>583</v>
      </c>
      <c r="R1582" s="564">
        <v>1</v>
      </c>
    </row>
    <row r="1583" spans="1:18" ht="15" customHeight="1" x14ac:dyDescent="0.25">
      <c r="A1583" s="553">
        <v>17</v>
      </c>
      <c r="B1583" s="553">
        <v>3</v>
      </c>
      <c r="C1583" s="553">
        <v>2</v>
      </c>
      <c r="D1583" s="553">
        <v>2</v>
      </c>
      <c r="E1583" s="553">
        <v>2</v>
      </c>
      <c r="F1583" s="553">
        <v>2</v>
      </c>
      <c r="G1583" s="553" t="s">
        <v>487</v>
      </c>
      <c r="H1583" s="553">
        <v>1362.166666666667</v>
      </c>
      <c r="I1583" s="553">
        <v>89</v>
      </c>
      <c r="J1583" s="553">
        <v>57</v>
      </c>
      <c r="K1583" s="553">
        <v>34</v>
      </c>
      <c r="L1583" s="553">
        <v>3</v>
      </c>
      <c r="M1583" s="505" t="s">
        <v>137</v>
      </c>
      <c r="N1583" s="500">
        <v>43013538590000</v>
      </c>
      <c r="O1583" s="553" t="s">
        <v>1351</v>
      </c>
      <c r="P1583" s="650" t="s">
        <v>2225</v>
      </c>
      <c r="Q1583" s="564" t="s">
        <v>583</v>
      </c>
      <c r="R1583" s="564">
        <v>1</v>
      </c>
    </row>
    <row r="1584" spans="1:18" ht="15" customHeight="1" x14ac:dyDescent="0.25">
      <c r="A1584" s="553">
        <v>17</v>
      </c>
      <c r="B1584" s="553">
        <v>3</v>
      </c>
      <c r="C1584" s="553">
        <v>2</v>
      </c>
      <c r="D1584" s="553">
        <v>2</v>
      </c>
      <c r="E1584" s="553">
        <v>2</v>
      </c>
      <c r="F1584" s="553">
        <v>2</v>
      </c>
      <c r="G1584" s="502" t="s">
        <v>489</v>
      </c>
      <c r="H1584" s="553">
        <v>1362.166666666667</v>
      </c>
      <c r="I1584" s="553">
        <v>89</v>
      </c>
      <c r="J1584" s="553">
        <v>57</v>
      </c>
      <c r="K1584" s="553">
        <v>34</v>
      </c>
      <c r="L1584" s="650">
        <v>3</v>
      </c>
      <c r="M1584" s="654" t="s">
        <v>137</v>
      </c>
      <c r="N1584" s="655">
        <v>43013538590000</v>
      </c>
      <c r="O1584" s="650" t="s">
        <v>1351</v>
      </c>
      <c r="P1584" s="650" t="s">
        <v>2226</v>
      </c>
      <c r="Q1584" s="564" t="s">
        <v>583</v>
      </c>
      <c r="R1584" s="564">
        <v>1</v>
      </c>
    </row>
    <row r="1585" spans="1:18" ht="15" customHeight="1" x14ac:dyDescent="0.25">
      <c r="A1585" s="553">
        <v>17</v>
      </c>
      <c r="B1585" s="553">
        <v>3</v>
      </c>
      <c r="C1585" s="553">
        <v>2</v>
      </c>
      <c r="D1585" s="553">
        <v>2</v>
      </c>
      <c r="E1585" s="553">
        <v>2</v>
      </c>
      <c r="F1585" s="553">
        <v>2</v>
      </c>
      <c r="G1585" s="553" t="s">
        <v>491</v>
      </c>
      <c r="H1585" s="553">
        <v>1362.166666666667</v>
      </c>
      <c r="I1585" s="650">
        <v>89</v>
      </c>
      <c r="J1585" s="650">
        <v>57</v>
      </c>
      <c r="K1585" s="650">
        <v>34</v>
      </c>
      <c r="L1585" s="650">
        <v>3</v>
      </c>
      <c r="M1585" s="654" t="s">
        <v>137</v>
      </c>
      <c r="N1585" s="655">
        <v>43013538590000</v>
      </c>
      <c r="O1585" s="650" t="s">
        <v>1351</v>
      </c>
      <c r="P1585" s="650" t="s">
        <v>2227</v>
      </c>
      <c r="Q1585" s="564" t="s">
        <v>583</v>
      </c>
      <c r="R1585" s="564">
        <v>1</v>
      </c>
    </row>
    <row r="1586" spans="1:18" ht="15" customHeight="1" x14ac:dyDescent="0.25">
      <c r="A1586" s="553">
        <v>17</v>
      </c>
      <c r="B1586" s="553">
        <v>3</v>
      </c>
      <c r="C1586" s="553">
        <v>2</v>
      </c>
      <c r="D1586" s="553">
        <v>2</v>
      </c>
      <c r="E1586" s="553">
        <v>2</v>
      </c>
      <c r="F1586" s="553">
        <v>2</v>
      </c>
      <c r="G1586" s="553" t="s">
        <v>494</v>
      </c>
      <c r="H1586" s="650">
        <v>1319.67</v>
      </c>
      <c r="I1586" s="650">
        <v>88</v>
      </c>
      <c r="J1586" s="650">
        <v>39</v>
      </c>
      <c r="K1586" s="650">
        <v>24</v>
      </c>
      <c r="L1586" s="650">
        <v>3</v>
      </c>
      <c r="M1586" s="654" t="s">
        <v>137</v>
      </c>
      <c r="N1586" s="655">
        <v>43013538590000</v>
      </c>
      <c r="O1586" s="650" t="s">
        <v>1351</v>
      </c>
      <c r="P1586" s="650" t="s">
        <v>2228</v>
      </c>
      <c r="Q1586" s="564" t="s">
        <v>583</v>
      </c>
      <c r="R1586" s="564">
        <v>1</v>
      </c>
    </row>
    <row r="1587" spans="1:18" ht="15" customHeight="1" x14ac:dyDescent="0.25">
      <c r="A1587" s="553">
        <v>17</v>
      </c>
      <c r="B1587" s="553">
        <v>3</v>
      </c>
      <c r="C1587" s="553">
        <v>2</v>
      </c>
      <c r="D1587" s="553">
        <v>4</v>
      </c>
      <c r="E1587" s="553">
        <v>2</v>
      </c>
      <c r="F1587" s="553">
        <v>2</v>
      </c>
      <c r="G1587" s="553" t="s">
        <v>473</v>
      </c>
      <c r="H1587" s="650">
        <v>1314.7049999999999</v>
      </c>
      <c r="I1587" s="650">
        <v>0</v>
      </c>
      <c r="J1587" s="650">
        <v>18</v>
      </c>
      <c r="K1587" s="650">
        <v>52</v>
      </c>
      <c r="L1587" s="650">
        <v>4</v>
      </c>
      <c r="M1587" s="654" t="s">
        <v>137</v>
      </c>
      <c r="N1587" s="655">
        <v>43013540070000</v>
      </c>
      <c r="O1587" s="650" t="s">
        <v>2229</v>
      </c>
      <c r="P1587" s="650" t="s">
        <v>2230</v>
      </c>
      <c r="Q1587" s="564" t="s">
        <v>583</v>
      </c>
      <c r="R1587" s="564">
        <v>2</v>
      </c>
    </row>
    <row r="1588" spans="1:18" ht="15" customHeight="1" x14ac:dyDescent="0.25">
      <c r="A1588" s="553">
        <v>17</v>
      </c>
      <c r="B1588" s="553">
        <v>3</v>
      </c>
      <c r="C1588" s="553">
        <v>2</v>
      </c>
      <c r="D1588" s="553">
        <v>4</v>
      </c>
      <c r="E1588" s="553">
        <v>2</v>
      </c>
      <c r="F1588" s="553">
        <v>2</v>
      </c>
      <c r="G1588" s="502" t="s">
        <v>476</v>
      </c>
      <c r="H1588" s="650">
        <v>1314.7049999999999</v>
      </c>
      <c r="I1588" s="650">
        <v>0</v>
      </c>
      <c r="J1588" s="650">
        <v>18</v>
      </c>
      <c r="K1588" s="650">
        <v>52</v>
      </c>
      <c r="L1588" s="650">
        <v>4</v>
      </c>
      <c r="M1588" s="654" t="s">
        <v>137</v>
      </c>
      <c r="N1588" s="655">
        <v>43013540070000</v>
      </c>
      <c r="O1588" s="650" t="s">
        <v>2229</v>
      </c>
      <c r="P1588" s="650" t="s">
        <v>2231</v>
      </c>
      <c r="Q1588" s="564" t="s">
        <v>583</v>
      </c>
      <c r="R1588" s="564">
        <v>2</v>
      </c>
    </row>
    <row r="1589" spans="1:18" ht="15" customHeight="1" x14ac:dyDescent="0.25">
      <c r="A1589" s="553">
        <v>17</v>
      </c>
      <c r="B1589" s="553">
        <v>3</v>
      </c>
      <c r="C1589" s="553">
        <v>2</v>
      </c>
      <c r="D1589" s="553">
        <v>4</v>
      </c>
      <c r="E1589" s="553">
        <v>2</v>
      </c>
      <c r="F1589" s="553">
        <v>2</v>
      </c>
      <c r="G1589" s="553" t="s">
        <v>478</v>
      </c>
      <c r="H1589" s="650">
        <v>1315.7950000000001</v>
      </c>
      <c r="I1589" s="650">
        <v>0</v>
      </c>
      <c r="J1589" s="650">
        <v>11</v>
      </c>
      <c r="K1589" s="650">
        <v>50</v>
      </c>
      <c r="L1589" s="650">
        <v>1</v>
      </c>
      <c r="M1589" s="654" t="s">
        <v>137</v>
      </c>
      <c r="N1589" s="655">
        <v>43013540070000</v>
      </c>
      <c r="O1589" s="650" t="s">
        <v>2229</v>
      </c>
      <c r="P1589" s="650" t="s">
        <v>2232</v>
      </c>
      <c r="Q1589" s="564" t="s">
        <v>583</v>
      </c>
      <c r="R1589" s="564">
        <v>2</v>
      </c>
    </row>
    <row r="1590" spans="1:18" ht="15" customHeight="1" x14ac:dyDescent="0.25">
      <c r="A1590" s="553">
        <v>17</v>
      </c>
      <c r="B1590" s="553">
        <v>3</v>
      </c>
      <c r="C1590" s="553">
        <v>2</v>
      </c>
      <c r="D1590" s="553">
        <v>4</v>
      </c>
      <c r="E1590" s="553">
        <v>2</v>
      </c>
      <c r="F1590" s="553">
        <v>2</v>
      </c>
      <c r="G1590" s="553" t="s">
        <v>484</v>
      </c>
      <c r="H1590" s="650">
        <v>1315.7950000000001</v>
      </c>
      <c r="I1590" s="650">
        <v>0</v>
      </c>
      <c r="J1590" s="650">
        <v>11</v>
      </c>
      <c r="K1590" s="650">
        <v>50</v>
      </c>
      <c r="L1590" s="650">
        <v>1</v>
      </c>
      <c r="M1590" s="654" t="s">
        <v>137</v>
      </c>
      <c r="N1590" s="655">
        <v>43013540070000</v>
      </c>
      <c r="O1590" s="650" t="s">
        <v>2229</v>
      </c>
      <c r="P1590" s="650" t="s">
        <v>2233</v>
      </c>
      <c r="Q1590" s="564" t="s">
        <v>583</v>
      </c>
      <c r="R1590" s="564">
        <v>2</v>
      </c>
    </row>
    <row r="1591" spans="1:18" ht="15" customHeight="1" x14ac:dyDescent="0.25">
      <c r="A1591" s="553">
        <v>17</v>
      </c>
      <c r="B1591" s="553">
        <v>3</v>
      </c>
      <c r="C1591" s="553">
        <v>2</v>
      </c>
      <c r="D1591" s="553">
        <v>4</v>
      </c>
      <c r="E1591" s="553">
        <v>2</v>
      </c>
      <c r="F1591" s="553">
        <v>2</v>
      </c>
      <c r="G1591" s="553" t="s">
        <v>486</v>
      </c>
      <c r="H1591" s="650">
        <v>1312.075</v>
      </c>
      <c r="I1591" s="650">
        <v>0</v>
      </c>
      <c r="J1591" s="650">
        <v>17</v>
      </c>
      <c r="K1591" s="650">
        <v>16</v>
      </c>
      <c r="L1591" s="650">
        <v>4</v>
      </c>
      <c r="M1591" s="654" t="s">
        <v>137</v>
      </c>
      <c r="N1591" s="655">
        <v>43013540070000</v>
      </c>
      <c r="O1591" s="650" t="s">
        <v>2229</v>
      </c>
      <c r="P1591" s="650" t="s">
        <v>2234</v>
      </c>
      <c r="Q1591" s="564" t="s">
        <v>583</v>
      </c>
      <c r="R1591" s="564">
        <v>2</v>
      </c>
    </row>
    <row r="1592" spans="1:18" ht="15" customHeight="1" x14ac:dyDescent="0.25">
      <c r="A1592" s="553">
        <v>17</v>
      </c>
      <c r="B1592" s="553">
        <v>3</v>
      </c>
      <c r="C1592" s="553">
        <v>2</v>
      </c>
      <c r="D1592" s="553">
        <v>4</v>
      </c>
      <c r="E1592" s="553">
        <v>2</v>
      </c>
      <c r="F1592" s="553">
        <v>2</v>
      </c>
      <c r="G1592" s="502" t="s">
        <v>488</v>
      </c>
      <c r="H1592" s="650">
        <v>1312.075</v>
      </c>
      <c r="I1592" s="650">
        <v>0</v>
      </c>
      <c r="J1592" s="650">
        <v>17</v>
      </c>
      <c r="K1592" s="650">
        <v>16</v>
      </c>
      <c r="L1592" s="650">
        <v>4</v>
      </c>
      <c r="M1592" s="654" t="s">
        <v>137</v>
      </c>
      <c r="N1592" s="655">
        <v>43013540070000</v>
      </c>
      <c r="O1592" s="650" t="s">
        <v>2229</v>
      </c>
      <c r="P1592" s="650" t="s">
        <v>2235</v>
      </c>
      <c r="Q1592" s="564" t="s">
        <v>583</v>
      </c>
      <c r="R1592" s="564">
        <v>2</v>
      </c>
    </row>
    <row r="1593" spans="1:18" ht="15" customHeight="1" x14ac:dyDescent="0.25">
      <c r="A1593" s="553">
        <v>17</v>
      </c>
      <c r="B1593" s="553">
        <v>3</v>
      </c>
      <c r="C1593" s="553">
        <v>2</v>
      </c>
      <c r="D1593" s="553">
        <v>4</v>
      </c>
      <c r="E1593" s="553">
        <v>2</v>
      </c>
      <c r="F1593" s="553">
        <v>2</v>
      </c>
      <c r="G1593" s="553" t="s">
        <v>490</v>
      </c>
      <c r="H1593" s="650">
        <v>1310.3599999999999</v>
      </c>
      <c r="I1593" s="650">
        <v>0</v>
      </c>
      <c r="J1593" s="650">
        <v>12</v>
      </c>
      <c r="K1593" s="650">
        <v>54</v>
      </c>
      <c r="L1593" s="650">
        <v>4</v>
      </c>
      <c r="M1593" s="654" t="s">
        <v>137</v>
      </c>
      <c r="N1593" s="655">
        <v>43013540070000</v>
      </c>
      <c r="O1593" s="650" t="s">
        <v>2229</v>
      </c>
      <c r="P1593" s="650" t="s">
        <v>2236</v>
      </c>
      <c r="Q1593" s="564" t="s">
        <v>583</v>
      </c>
      <c r="R1593" s="564">
        <v>2</v>
      </c>
    </row>
    <row r="1594" spans="1:18" ht="15" customHeight="1" x14ac:dyDescent="0.25">
      <c r="A1594" s="553">
        <v>17</v>
      </c>
      <c r="B1594" s="553">
        <v>3</v>
      </c>
      <c r="C1594" s="553">
        <v>2</v>
      </c>
      <c r="D1594" s="553">
        <v>4</v>
      </c>
      <c r="E1594" s="553">
        <v>2</v>
      </c>
      <c r="F1594" s="553">
        <v>2</v>
      </c>
      <c r="G1594" s="553" t="s">
        <v>493</v>
      </c>
      <c r="H1594" s="650">
        <v>1310.3599999999999</v>
      </c>
      <c r="I1594" s="650">
        <v>0</v>
      </c>
      <c r="J1594" s="650">
        <v>12</v>
      </c>
      <c r="K1594" s="650">
        <v>54</v>
      </c>
      <c r="L1594" s="650">
        <v>4</v>
      </c>
      <c r="M1594" s="654" t="s">
        <v>137</v>
      </c>
      <c r="N1594" s="655">
        <v>43013540070000</v>
      </c>
      <c r="O1594" s="650" t="s">
        <v>2229</v>
      </c>
      <c r="P1594" s="650" t="s">
        <v>2237</v>
      </c>
      <c r="Q1594" s="564" t="s">
        <v>583</v>
      </c>
      <c r="R1594" s="564">
        <v>2</v>
      </c>
    </row>
    <row r="1595" spans="1:18" ht="15" customHeight="1" x14ac:dyDescent="0.25">
      <c r="A1595" s="553">
        <v>17</v>
      </c>
      <c r="B1595" s="553">
        <v>3</v>
      </c>
      <c r="C1595" s="553">
        <v>2</v>
      </c>
      <c r="D1595" s="553">
        <v>4</v>
      </c>
      <c r="E1595" s="553">
        <v>2</v>
      </c>
      <c r="F1595" s="553">
        <v>2</v>
      </c>
      <c r="G1595" s="553" t="s">
        <v>474</v>
      </c>
      <c r="H1595" s="650">
        <v>1335.095</v>
      </c>
      <c r="I1595" s="650">
        <v>89</v>
      </c>
      <c r="J1595" s="650">
        <v>18</v>
      </c>
      <c r="K1595" s="650">
        <v>31</v>
      </c>
      <c r="L1595" s="650">
        <v>2</v>
      </c>
      <c r="M1595" s="654" t="s">
        <v>137</v>
      </c>
      <c r="N1595" s="655">
        <v>43013540070000</v>
      </c>
      <c r="O1595" s="650" t="s">
        <v>2229</v>
      </c>
      <c r="P1595" s="650" t="s">
        <v>2238</v>
      </c>
      <c r="Q1595" s="564" t="s">
        <v>583</v>
      </c>
      <c r="R1595" s="564">
        <v>2</v>
      </c>
    </row>
    <row r="1596" spans="1:18" ht="15" customHeight="1" x14ac:dyDescent="0.25">
      <c r="A1596" s="553">
        <v>17</v>
      </c>
      <c r="B1596" s="553">
        <v>3</v>
      </c>
      <c r="C1596" s="553">
        <v>2</v>
      </c>
      <c r="D1596" s="553">
        <v>4</v>
      </c>
      <c r="E1596" s="553">
        <v>2</v>
      </c>
      <c r="F1596" s="553">
        <v>2</v>
      </c>
      <c r="G1596" s="502" t="s">
        <v>477</v>
      </c>
      <c r="H1596" s="650">
        <v>1335.095</v>
      </c>
      <c r="I1596" s="650">
        <v>89</v>
      </c>
      <c r="J1596" s="650">
        <v>18</v>
      </c>
      <c r="K1596" s="650">
        <v>31</v>
      </c>
      <c r="L1596" s="650">
        <v>2</v>
      </c>
      <c r="M1596" s="654" t="s">
        <v>137</v>
      </c>
      <c r="N1596" s="655">
        <v>43013540070000</v>
      </c>
      <c r="O1596" s="650" t="s">
        <v>2229</v>
      </c>
      <c r="P1596" s="650" t="s">
        <v>2239</v>
      </c>
      <c r="Q1596" s="564" t="s">
        <v>583</v>
      </c>
      <c r="R1596" s="564">
        <v>2</v>
      </c>
    </row>
    <row r="1597" spans="1:18" ht="15" customHeight="1" x14ac:dyDescent="0.25">
      <c r="A1597" s="553">
        <v>17</v>
      </c>
      <c r="B1597" s="553">
        <v>3</v>
      </c>
      <c r="C1597" s="553">
        <v>2</v>
      </c>
      <c r="D1597" s="553">
        <v>4</v>
      </c>
      <c r="E1597" s="553">
        <v>2</v>
      </c>
      <c r="F1597" s="553">
        <v>2</v>
      </c>
      <c r="G1597" s="553" t="s">
        <v>479</v>
      </c>
      <c r="H1597" s="650">
        <v>1335.23</v>
      </c>
      <c r="I1597" s="650">
        <v>89</v>
      </c>
      <c r="J1597" s="650">
        <v>18</v>
      </c>
      <c r="K1597" s="650">
        <v>32</v>
      </c>
      <c r="L1597" s="650">
        <v>2</v>
      </c>
      <c r="M1597" s="654" t="s">
        <v>137</v>
      </c>
      <c r="N1597" s="655">
        <v>43013540070000</v>
      </c>
      <c r="O1597" s="650" t="s">
        <v>2229</v>
      </c>
      <c r="P1597" s="650" t="s">
        <v>2240</v>
      </c>
      <c r="Q1597" s="564" t="s">
        <v>583</v>
      </c>
      <c r="R1597" s="564">
        <v>2</v>
      </c>
    </row>
    <row r="1598" spans="1:18" ht="15" customHeight="1" x14ac:dyDescent="0.25">
      <c r="A1598" s="553">
        <v>17</v>
      </c>
      <c r="B1598" s="553">
        <v>3</v>
      </c>
      <c r="C1598" s="553">
        <v>2</v>
      </c>
      <c r="D1598" s="553">
        <v>4</v>
      </c>
      <c r="E1598" s="553">
        <v>2</v>
      </c>
      <c r="F1598" s="553">
        <v>2</v>
      </c>
      <c r="G1598" s="553" t="s">
        <v>485</v>
      </c>
      <c r="H1598" s="650">
        <v>1335.23</v>
      </c>
      <c r="I1598" s="650">
        <v>89</v>
      </c>
      <c r="J1598" s="650">
        <v>18</v>
      </c>
      <c r="K1598" s="650">
        <v>32</v>
      </c>
      <c r="L1598" s="650">
        <v>2</v>
      </c>
      <c r="M1598" s="654">
        <v>0</v>
      </c>
      <c r="N1598" s="655">
        <v>43013540070000</v>
      </c>
      <c r="O1598" s="650" t="s">
        <v>2229</v>
      </c>
      <c r="P1598" s="650" t="s">
        <v>2241</v>
      </c>
      <c r="Q1598" s="564" t="s">
        <v>583</v>
      </c>
      <c r="R1598" s="564">
        <v>2</v>
      </c>
    </row>
    <row r="1599" spans="1:18" ht="15" customHeight="1" x14ac:dyDescent="0.25">
      <c r="A1599" s="553">
        <v>17</v>
      </c>
      <c r="B1599" s="553">
        <v>3</v>
      </c>
      <c r="C1599" s="553">
        <v>2</v>
      </c>
      <c r="D1599" s="553">
        <v>4</v>
      </c>
      <c r="E1599" s="553">
        <v>2</v>
      </c>
      <c r="F1599" s="553">
        <v>2</v>
      </c>
      <c r="G1599" s="553" t="s">
        <v>487</v>
      </c>
      <c r="H1599" s="650">
        <v>1337.2349999999999</v>
      </c>
      <c r="I1599" s="650">
        <v>89</v>
      </c>
      <c r="J1599" s="650">
        <v>10</v>
      </c>
      <c r="K1599" s="650">
        <v>44</v>
      </c>
      <c r="L1599" s="650">
        <v>2</v>
      </c>
      <c r="M1599" s="654" t="s">
        <v>137</v>
      </c>
      <c r="N1599" s="655">
        <v>43013540070000</v>
      </c>
      <c r="O1599" s="650" t="s">
        <v>2229</v>
      </c>
      <c r="P1599" s="650" t="s">
        <v>2242</v>
      </c>
      <c r="Q1599" s="564" t="s">
        <v>583</v>
      </c>
      <c r="R1599" s="564">
        <v>2</v>
      </c>
    </row>
    <row r="1600" spans="1:18" ht="15" customHeight="1" x14ac:dyDescent="0.25">
      <c r="A1600" s="553">
        <v>17</v>
      </c>
      <c r="B1600" s="553">
        <v>3</v>
      </c>
      <c r="C1600" s="553">
        <v>2</v>
      </c>
      <c r="D1600" s="553">
        <v>4</v>
      </c>
      <c r="E1600" s="553">
        <v>2</v>
      </c>
      <c r="F1600" s="553">
        <v>2</v>
      </c>
      <c r="G1600" s="502" t="s">
        <v>489</v>
      </c>
      <c r="H1600" s="553">
        <v>1337.2349999999999</v>
      </c>
      <c r="I1600" s="553">
        <v>89</v>
      </c>
      <c r="J1600" s="553">
        <v>10</v>
      </c>
      <c r="K1600" s="553">
        <v>44</v>
      </c>
      <c r="L1600" s="553">
        <v>2</v>
      </c>
      <c r="M1600" s="505" t="s">
        <v>137</v>
      </c>
      <c r="N1600" s="500">
        <v>43013540070000</v>
      </c>
      <c r="O1600" s="553" t="s">
        <v>2229</v>
      </c>
      <c r="P1600" s="650" t="s">
        <v>2243</v>
      </c>
      <c r="Q1600" s="564" t="s">
        <v>583</v>
      </c>
      <c r="R1600" s="564">
        <v>2</v>
      </c>
    </row>
    <row r="1601" spans="1:18" ht="15" customHeight="1" x14ac:dyDescent="0.25">
      <c r="A1601" s="553">
        <v>17</v>
      </c>
      <c r="B1601" s="553">
        <v>3</v>
      </c>
      <c r="C1601" s="553">
        <v>2</v>
      </c>
      <c r="D1601" s="553">
        <v>4</v>
      </c>
      <c r="E1601" s="553">
        <v>2</v>
      </c>
      <c r="F1601" s="553">
        <v>2</v>
      </c>
      <c r="G1601" s="553" t="s">
        <v>491</v>
      </c>
      <c r="H1601" s="553">
        <v>1333.61</v>
      </c>
      <c r="I1601" s="553">
        <v>89</v>
      </c>
      <c r="J1601" s="553">
        <v>5</v>
      </c>
      <c r="K1601" s="553">
        <v>51</v>
      </c>
      <c r="L1601" s="553">
        <v>2</v>
      </c>
      <c r="M1601" s="505" t="s">
        <v>137</v>
      </c>
      <c r="N1601" s="500">
        <v>43013540070000</v>
      </c>
      <c r="O1601" s="553" t="s">
        <v>2229</v>
      </c>
      <c r="P1601" s="650" t="s">
        <v>2244</v>
      </c>
      <c r="Q1601" s="564" t="s">
        <v>583</v>
      </c>
      <c r="R1601" s="564">
        <v>2</v>
      </c>
    </row>
    <row r="1602" spans="1:18" ht="15" customHeight="1" x14ac:dyDescent="0.25">
      <c r="A1602" s="553">
        <v>17</v>
      </c>
      <c r="B1602" s="553">
        <v>3</v>
      </c>
      <c r="C1602" s="553">
        <v>2</v>
      </c>
      <c r="D1602" s="553">
        <v>4</v>
      </c>
      <c r="E1602" s="553">
        <v>2</v>
      </c>
      <c r="F1602" s="553">
        <v>2</v>
      </c>
      <c r="G1602" s="553" t="s">
        <v>494</v>
      </c>
      <c r="H1602" s="553">
        <v>1333.61</v>
      </c>
      <c r="I1602" s="553">
        <v>89</v>
      </c>
      <c r="J1602" s="553">
        <v>5</v>
      </c>
      <c r="K1602" s="553">
        <v>51</v>
      </c>
      <c r="L1602" s="553">
        <v>2</v>
      </c>
      <c r="M1602" s="505" t="s">
        <v>137</v>
      </c>
      <c r="N1602" s="500">
        <v>43013540070000</v>
      </c>
      <c r="O1602" s="553" t="s">
        <v>2229</v>
      </c>
      <c r="P1602" s="650" t="s">
        <v>2245</v>
      </c>
      <c r="Q1602" s="564" t="s">
        <v>583</v>
      </c>
      <c r="R1602" s="564">
        <v>2</v>
      </c>
    </row>
    <row r="1603" spans="1:18" ht="15" customHeight="1" x14ac:dyDescent="0.25">
      <c r="A1603" s="553">
        <v>17</v>
      </c>
      <c r="B1603" s="553">
        <v>3</v>
      </c>
      <c r="C1603" s="553">
        <v>2</v>
      </c>
      <c r="D1603" s="553">
        <v>5</v>
      </c>
      <c r="E1603" s="553">
        <v>2</v>
      </c>
      <c r="F1603" s="553">
        <v>2</v>
      </c>
      <c r="G1603" s="553" t="s">
        <v>473</v>
      </c>
      <c r="H1603" s="553">
        <v>1320.73</v>
      </c>
      <c r="I1603" s="553">
        <v>0</v>
      </c>
      <c r="J1603" s="553">
        <v>4</v>
      </c>
      <c r="K1603" s="553">
        <v>0</v>
      </c>
      <c r="L1603" s="553">
        <v>4</v>
      </c>
      <c r="M1603" s="505" t="s">
        <v>137</v>
      </c>
      <c r="N1603" s="500">
        <v>43013321120000</v>
      </c>
      <c r="O1603" s="553" t="s">
        <v>2246</v>
      </c>
      <c r="P1603" s="650" t="s">
        <v>2247</v>
      </c>
      <c r="Q1603" s="564" t="s">
        <v>583</v>
      </c>
      <c r="R1603" s="564">
        <v>1</v>
      </c>
    </row>
    <row r="1604" spans="1:18" ht="15" customHeight="1" x14ac:dyDescent="0.25">
      <c r="A1604" s="553">
        <v>17</v>
      </c>
      <c r="B1604" s="553">
        <v>3</v>
      </c>
      <c r="C1604" s="553">
        <v>2</v>
      </c>
      <c r="D1604" s="553">
        <v>5</v>
      </c>
      <c r="E1604" s="553">
        <v>2</v>
      </c>
      <c r="F1604" s="553">
        <v>2</v>
      </c>
      <c r="G1604" s="502" t="s">
        <v>476</v>
      </c>
      <c r="H1604" s="553">
        <v>1320.73</v>
      </c>
      <c r="I1604" s="553">
        <v>0</v>
      </c>
      <c r="J1604" s="553">
        <v>4</v>
      </c>
      <c r="K1604" s="553">
        <v>0</v>
      </c>
      <c r="L1604" s="553">
        <v>4</v>
      </c>
      <c r="M1604" s="505" t="s">
        <v>137</v>
      </c>
      <c r="N1604" s="500">
        <v>43013321120000</v>
      </c>
      <c r="O1604" s="553" t="s">
        <v>2246</v>
      </c>
      <c r="P1604" s="650" t="s">
        <v>2248</v>
      </c>
      <c r="Q1604" s="564" t="s">
        <v>583</v>
      </c>
      <c r="R1604" s="564">
        <v>1</v>
      </c>
    </row>
    <row r="1605" spans="1:18" ht="15" customHeight="1" x14ac:dyDescent="0.25">
      <c r="A1605" s="553">
        <v>17</v>
      </c>
      <c r="B1605" s="553">
        <v>3</v>
      </c>
      <c r="C1605" s="553">
        <v>2</v>
      </c>
      <c r="D1605" s="553">
        <v>5</v>
      </c>
      <c r="E1605" s="553">
        <v>2</v>
      </c>
      <c r="F1605" s="553">
        <v>2</v>
      </c>
      <c r="G1605" s="553" t="s">
        <v>478</v>
      </c>
      <c r="H1605" s="553">
        <v>1320.73</v>
      </c>
      <c r="I1605" s="553">
        <v>0</v>
      </c>
      <c r="J1605" s="553">
        <v>4</v>
      </c>
      <c r="K1605" s="553">
        <v>0</v>
      </c>
      <c r="L1605" s="553">
        <v>4</v>
      </c>
      <c r="M1605" s="505" t="s">
        <v>137</v>
      </c>
      <c r="N1605" s="500">
        <v>43013321120000</v>
      </c>
      <c r="O1605" s="553" t="s">
        <v>2246</v>
      </c>
      <c r="P1605" s="650" t="s">
        <v>2249</v>
      </c>
      <c r="Q1605" s="564" t="s">
        <v>583</v>
      </c>
      <c r="R1605" s="564">
        <v>1</v>
      </c>
    </row>
    <row r="1606" spans="1:18" ht="15" customHeight="1" x14ac:dyDescent="0.25">
      <c r="A1606" s="553">
        <v>17</v>
      </c>
      <c r="B1606" s="553">
        <v>3</v>
      </c>
      <c r="C1606" s="553">
        <v>2</v>
      </c>
      <c r="D1606" s="553">
        <v>5</v>
      </c>
      <c r="E1606" s="553">
        <v>2</v>
      </c>
      <c r="F1606" s="553">
        <v>2</v>
      </c>
      <c r="G1606" s="553" t="s">
        <v>484</v>
      </c>
      <c r="H1606" s="553">
        <v>1320.73</v>
      </c>
      <c r="I1606" s="553">
        <v>0</v>
      </c>
      <c r="J1606" s="553">
        <v>4</v>
      </c>
      <c r="K1606" s="553">
        <v>0</v>
      </c>
      <c r="L1606" s="553">
        <v>4</v>
      </c>
      <c r="M1606" s="505" t="s">
        <v>137</v>
      </c>
      <c r="N1606" s="500">
        <v>43013321120000</v>
      </c>
      <c r="O1606" s="553" t="s">
        <v>2246</v>
      </c>
      <c r="P1606" s="650" t="s">
        <v>2250</v>
      </c>
      <c r="Q1606" s="564" t="s">
        <v>583</v>
      </c>
      <c r="R1606" s="564">
        <v>1</v>
      </c>
    </row>
    <row r="1607" spans="1:18" ht="15" customHeight="1" x14ac:dyDescent="0.25">
      <c r="A1607" s="553">
        <v>17</v>
      </c>
      <c r="B1607" s="553">
        <v>3</v>
      </c>
      <c r="C1607" s="553">
        <v>2</v>
      </c>
      <c r="D1607" s="553">
        <v>5</v>
      </c>
      <c r="E1607" s="553">
        <v>2</v>
      </c>
      <c r="F1607" s="553">
        <v>2</v>
      </c>
      <c r="G1607" s="553" t="s">
        <v>486</v>
      </c>
      <c r="H1607" s="553">
        <v>1319.48</v>
      </c>
      <c r="I1607" s="553">
        <v>0</v>
      </c>
      <c r="J1607" s="553">
        <v>31</v>
      </c>
      <c r="K1607" s="553">
        <v>12</v>
      </c>
      <c r="L1607" s="553">
        <v>2</v>
      </c>
      <c r="M1607" s="505" t="s">
        <v>137</v>
      </c>
      <c r="N1607" s="500">
        <v>43013540320000</v>
      </c>
      <c r="O1607" s="553" t="s">
        <v>1948</v>
      </c>
      <c r="P1607" s="650" t="s">
        <v>2251</v>
      </c>
      <c r="Q1607" s="564" t="s">
        <v>583</v>
      </c>
      <c r="R1607" s="564">
        <v>1</v>
      </c>
    </row>
    <row r="1608" spans="1:18" ht="15" customHeight="1" x14ac:dyDescent="0.25">
      <c r="A1608" s="553">
        <v>17</v>
      </c>
      <c r="B1608" s="553">
        <v>3</v>
      </c>
      <c r="C1608" s="553">
        <v>2</v>
      </c>
      <c r="D1608" s="553">
        <v>5</v>
      </c>
      <c r="E1608" s="553">
        <v>2</v>
      </c>
      <c r="F1608" s="553">
        <v>2</v>
      </c>
      <c r="G1608" s="502" t="s">
        <v>488</v>
      </c>
      <c r="H1608" s="553">
        <v>1319.48</v>
      </c>
      <c r="I1608" s="553">
        <v>0</v>
      </c>
      <c r="J1608" s="553">
        <v>31</v>
      </c>
      <c r="K1608" s="553">
        <v>12</v>
      </c>
      <c r="L1608" s="553">
        <v>2</v>
      </c>
      <c r="M1608" s="505" t="s">
        <v>137</v>
      </c>
      <c r="N1608" s="500">
        <v>43013540320000</v>
      </c>
      <c r="O1608" s="553" t="s">
        <v>1948</v>
      </c>
      <c r="P1608" s="650" t="s">
        <v>2252</v>
      </c>
      <c r="Q1608" s="564" t="s">
        <v>583</v>
      </c>
      <c r="R1608" s="564">
        <v>1</v>
      </c>
    </row>
    <row r="1609" spans="1:18" ht="15" customHeight="1" x14ac:dyDescent="0.25">
      <c r="A1609" s="553">
        <v>17</v>
      </c>
      <c r="B1609" s="553">
        <v>3</v>
      </c>
      <c r="C1609" s="553">
        <v>2</v>
      </c>
      <c r="D1609" s="553">
        <v>5</v>
      </c>
      <c r="E1609" s="553">
        <v>2</v>
      </c>
      <c r="F1609" s="553">
        <v>2</v>
      </c>
      <c r="G1609" s="553" t="s">
        <v>490</v>
      </c>
      <c r="H1609" s="553">
        <v>1327.9749999999999</v>
      </c>
      <c r="I1609" s="553">
        <v>0</v>
      </c>
      <c r="J1609" s="553">
        <v>2</v>
      </c>
      <c r="K1609" s="553">
        <v>9</v>
      </c>
      <c r="L1609" s="553">
        <v>4</v>
      </c>
      <c r="M1609" s="505" t="s">
        <v>137</v>
      </c>
      <c r="N1609" s="500">
        <v>43013540320000</v>
      </c>
      <c r="O1609" s="553" t="s">
        <v>1948</v>
      </c>
      <c r="P1609" s="650" t="s">
        <v>2253</v>
      </c>
      <c r="Q1609" s="564" t="s">
        <v>583</v>
      </c>
      <c r="R1609" s="564">
        <v>1</v>
      </c>
    </row>
    <row r="1610" spans="1:18" ht="15" customHeight="1" x14ac:dyDescent="0.25">
      <c r="A1610" s="553">
        <v>17</v>
      </c>
      <c r="B1610" s="553">
        <v>3</v>
      </c>
      <c r="C1610" s="553">
        <v>2</v>
      </c>
      <c r="D1610" s="553">
        <v>5</v>
      </c>
      <c r="E1610" s="553">
        <v>2</v>
      </c>
      <c r="F1610" s="553">
        <v>2</v>
      </c>
      <c r="G1610" s="553" t="s">
        <v>493</v>
      </c>
      <c r="H1610" s="553">
        <v>1327.9749999999999</v>
      </c>
      <c r="I1610" s="553">
        <v>0</v>
      </c>
      <c r="J1610" s="553">
        <v>2</v>
      </c>
      <c r="K1610" s="553">
        <v>9</v>
      </c>
      <c r="L1610" s="553">
        <v>4</v>
      </c>
      <c r="M1610" s="505" t="s">
        <v>137</v>
      </c>
      <c r="N1610" s="500">
        <v>43013540320000</v>
      </c>
      <c r="O1610" s="553" t="s">
        <v>1948</v>
      </c>
      <c r="P1610" s="650" t="s">
        <v>2254</v>
      </c>
      <c r="Q1610" s="564" t="s">
        <v>583</v>
      </c>
      <c r="R1610" s="564">
        <v>1</v>
      </c>
    </row>
    <row r="1611" spans="1:18" ht="15" customHeight="1" x14ac:dyDescent="0.25">
      <c r="A1611" s="553">
        <v>17</v>
      </c>
      <c r="B1611" s="553">
        <v>3</v>
      </c>
      <c r="C1611" s="553">
        <v>2</v>
      </c>
      <c r="D1611" s="553">
        <v>5</v>
      </c>
      <c r="E1611" s="553">
        <v>2</v>
      </c>
      <c r="F1611" s="553">
        <v>2</v>
      </c>
      <c r="G1611" s="553" t="s">
        <v>474</v>
      </c>
      <c r="H1611" s="553">
        <v>1320.0725</v>
      </c>
      <c r="I1611" s="553">
        <v>89</v>
      </c>
      <c r="J1611" s="553">
        <v>52</v>
      </c>
      <c r="K1611" s="553">
        <v>37</v>
      </c>
      <c r="L1611" s="553">
        <v>1</v>
      </c>
      <c r="M1611" s="505" t="s">
        <v>137</v>
      </c>
      <c r="N1611" s="500">
        <v>43013540320000</v>
      </c>
      <c r="O1611" s="553" t="s">
        <v>1948</v>
      </c>
      <c r="P1611" s="650" t="s">
        <v>2255</v>
      </c>
      <c r="Q1611" s="564" t="s">
        <v>583</v>
      </c>
      <c r="R1611" s="564">
        <v>1</v>
      </c>
    </row>
    <row r="1612" spans="1:18" ht="15" customHeight="1" x14ac:dyDescent="0.25">
      <c r="A1612" s="553">
        <v>17</v>
      </c>
      <c r="B1612" s="553">
        <v>3</v>
      </c>
      <c r="C1612" s="553">
        <v>2</v>
      </c>
      <c r="D1612" s="553">
        <v>5</v>
      </c>
      <c r="E1612" s="553">
        <v>2</v>
      </c>
      <c r="F1612" s="553">
        <v>2</v>
      </c>
      <c r="G1612" s="502" t="s">
        <v>477</v>
      </c>
      <c r="H1612" s="553">
        <v>1320.0725</v>
      </c>
      <c r="I1612" s="553">
        <v>89</v>
      </c>
      <c r="J1612" s="553">
        <v>52</v>
      </c>
      <c r="K1612" s="553">
        <v>37</v>
      </c>
      <c r="L1612" s="553">
        <v>1</v>
      </c>
      <c r="M1612" s="505" t="s">
        <v>137</v>
      </c>
      <c r="N1612" s="500">
        <v>43013540320000</v>
      </c>
      <c r="O1612" s="553" t="s">
        <v>1948</v>
      </c>
      <c r="P1612" s="650" t="s">
        <v>2256</v>
      </c>
      <c r="Q1612" s="564" t="s">
        <v>583</v>
      </c>
      <c r="R1612" s="564">
        <v>1</v>
      </c>
    </row>
    <row r="1613" spans="1:18" ht="15" customHeight="1" x14ac:dyDescent="0.25">
      <c r="A1613" s="553">
        <v>17</v>
      </c>
      <c r="B1613" s="553">
        <v>3</v>
      </c>
      <c r="C1613" s="553">
        <v>2</v>
      </c>
      <c r="D1613" s="553">
        <v>5</v>
      </c>
      <c r="E1613" s="553">
        <v>2</v>
      </c>
      <c r="F1613" s="553">
        <v>2</v>
      </c>
      <c r="G1613" s="553" t="s">
        <v>479</v>
      </c>
      <c r="H1613" s="553">
        <v>1320.0725</v>
      </c>
      <c r="I1613" s="553">
        <v>89</v>
      </c>
      <c r="J1613" s="553">
        <v>52</v>
      </c>
      <c r="K1613" s="553">
        <v>37</v>
      </c>
      <c r="L1613" s="553">
        <v>1</v>
      </c>
      <c r="M1613" s="505" t="s">
        <v>137</v>
      </c>
      <c r="N1613" s="500">
        <v>43013540320000</v>
      </c>
      <c r="O1613" s="553" t="s">
        <v>1948</v>
      </c>
      <c r="P1613" s="650" t="s">
        <v>2257</v>
      </c>
      <c r="Q1613" s="564" t="s">
        <v>583</v>
      </c>
      <c r="R1613" s="564">
        <v>1</v>
      </c>
    </row>
    <row r="1614" spans="1:18" ht="15" customHeight="1" x14ac:dyDescent="0.25">
      <c r="A1614" s="553">
        <v>17</v>
      </c>
      <c r="B1614" s="553">
        <v>3</v>
      </c>
      <c r="C1614" s="553">
        <v>2</v>
      </c>
      <c r="D1614" s="553">
        <v>5</v>
      </c>
      <c r="E1614" s="553">
        <v>2</v>
      </c>
      <c r="F1614" s="553">
        <v>2</v>
      </c>
      <c r="G1614" s="553" t="s">
        <v>485</v>
      </c>
      <c r="H1614" s="553">
        <v>1320.0725</v>
      </c>
      <c r="I1614" s="553">
        <v>89</v>
      </c>
      <c r="J1614" s="553">
        <v>52</v>
      </c>
      <c r="K1614" s="553">
        <v>37</v>
      </c>
      <c r="L1614" s="553">
        <v>1</v>
      </c>
      <c r="M1614" s="505" t="s">
        <v>137</v>
      </c>
      <c r="N1614" s="500">
        <v>43013540320000</v>
      </c>
      <c r="O1614" s="553" t="s">
        <v>1948</v>
      </c>
      <c r="P1614" s="650" t="s">
        <v>2258</v>
      </c>
      <c r="Q1614" s="564" t="s">
        <v>583</v>
      </c>
      <c r="R1614" s="564">
        <v>1</v>
      </c>
    </row>
    <row r="1615" spans="1:18" ht="15" customHeight="1" x14ac:dyDescent="0.25">
      <c r="A1615" s="553">
        <v>17</v>
      </c>
      <c r="B1615" s="553">
        <v>3</v>
      </c>
      <c r="C1615" s="553">
        <v>2</v>
      </c>
      <c r="D1615" s="553">
        <v>5</v>
      </c>
      <c r="E1615" s="553">
        <v>2</v>
      </c>
      <c r="F1615" s="553">
        <v>2</v>
      </c>
      <c r="G1615" s="553" t="s">
        <v>487</v>
      </c>
      <c r="H1615" s="553">
        <v>1313.07</v>
      </c>
      <c r="I1615" s="553">
        <v>89</v>
      </c>
      <c r="J1615" s="553">
        <v>33</v>
      </c>
      <c r="K1615" s="553">
        <v>25</v>
      </c>
      <c r="L1615" s="553">
        <v>4</v>
      </c>
      <c r="M1615" s="505" t="s">
        <v>137</v>
      </c>
      <c r="N1615" s="500">
        <v>43013540320000</v>
      </c>
      <c r="O1615" s="553" t="s">
        <v>1948</v>
      </c>
      <c r="P1615" s="650" t="s">
        <v>2259</v>
      </c>
      <c r="Q1615" s="564" t="s">
        <v>583</v>
      </c>
      <c r="R1615" s="564">
        <v>1</v>
      </c>
    </row>
    <row r="1616" spans="1:18" ht="15" customHeight="1" x14ac:dyDescent="0.25">
      <c r="A1616" s="553">
        <v>17</v>
      </c>
      <c r="B1616" s="553">
        <v>3</v>
      </c>
      <c r="C1616" s="553">
        <v>2</v>
      </c>
      <c r="D1616" s="553">
        <v>5</v>
      </c>
      <c r="E1616" s="553">
        <v>2</v>
      </c>
      <c r="F1616" s="553">
        <v>2</v>
      </c>
      <c r="G1616" s="502" t="s">
        <v>489</v>
      </c>
      <c r="H1616" s="553">
        <v>1313.07</v>
      </c>
      <c r="I1616" s="553">
        <v>89</v>
      </c>
      <c r="J1616" s="553">
        <v>33</v>
      </c>
      <c r="K1616" s="553">
        <v>25</v>
      </c>
      <c r="L1616" s="553">
        <v>4</v>
      </c>
      <c r="M1616" s="505" t="s">
        <v>137</v>
      </c>
      <c r="N1616" s="500">
        <v>43013540320000</v>
      </c>
      <c r="O1616" s="553" t="s">
        <v>1948</v>
      </c>
      <c r="P1616" s="650" t="s">
        <v>2260</v>
      </c>
      <c r="Q1616" s="564" t="s">
        <v>583</v>
      </c>
      <c r="R1616" s="564">
        <v>1</v>
      </c>
    </row>
    <row r="1617" spans="1:18" ht="15" customHeight="1" x14ac:dyDescent="0.25">
      <c r="A1617" s="553">
        <v>17</v>
      </c>
      <c r="B1617" s="553">
        <v>3</v>
      </c>
      <c r="C1617" s="553">
        <v>2</v>
      </c>
      <c r="D1617" s="553">
        <v>5</v>
      </c>
      <c r="E1617" s="553">
        <v>2</v>
      </c>
      <c r="F1617" s="553">
        <v>2</v>
      </c>
      <c r="G1617" s="553" t="s">
        <v>491</v>
      </c>
      <c r="H1617" s="553">
        <v>1318.23</v>
      </c>
      <c r="I1617" s="553">
        <v>89</v>
      </c>
      <c r="J1617" s="553">
        <v>54</v>
      </c>
      <c r="K1617" s="553">
        <v>14</v>
      </c>
      <c r="L1617" s="553">
        <v>4</v>
      </c>
      <c r="M1617" s="505" t="s">
        <v>137</v>
      </c>
      <c r="N1617" s="500">
        <v>43013532700000</v>
      </c>
      <c r="O1617" s="553" t="s">
        <v>2261</v>
      </c>
      <c r="P1617" s="650" t="s">
        <v>2262</v>
      </c>
      <c r="Q1617" s="564" t="s">
        <v>583</v>
      </c>
      <c r="R1617" s="564">
        <v>1</v>
      </c>
    </row>
    <row r="1618" spans="1:18" ht="15" customHeight="1" x14ac:dyDescent="0.25">
      <c r="A1618" s="553">
        <v>17</v>
      </c>
      <c r="B1618" s="553">
        <v>3</v>
      </c>
      <c r="C1618" s="553">
        <v>2</v>
      </c>
      <c r="D1618" s="553">
        <v>5</v>
      </c>
      <c r="E1618" s="553">
        <v>2</v>
      </c>
      <c r="F1618" s="553">
        <v>2</v>
      </c>
      <c r="G1618" s="553" t="s">
        <v>494</v>
      </c>
      <c r="H1618" s="553">
        <v>1318.23</v>
      </c>
      <c r="I1618" s="553">
        <v>89</v>
      </c>
      <c r="J1618" s="553">
        <v>54</v>
      </c>
      <c r="K1618" s="553">
        <v>14</v>
      </c>
      <c r="L1618" s="553">
        <v>4</v>
      </c>
      <c r="M1618" s="505" t="s">
        <v>137</v>
      </c>
      <c r="N1618" s="500">
        <v>43013532700000</v>
      </c>
      <c r="O1618" s="553" t="s">
        <v>2261</v>
      </c>
      <c r="P1618" s="650" t="s">
        <v>2263</v>
      </c>
      <c r="Q1618" s="564" t="s">
        <v>583</v>
      </c>
      <c r="R1618" s="564">
        <v>1</v>
      </c>
    </row>
    <row r="1619" spans="1:18" ht="15" customHeight="1" x14ac:dyDescent="0.25">
      <c r="A1619" s="564">
        <v>17</v>
      </c>
      <c r="B1619" s="564">
        <v>3</v>
      </c>
      <c r="C1619" s="564">
        <v>2</v>
      </c>
      <c r="D1619" s="564">
        <v>1</v>
      </c>
      <c r="E1619" s="564">
        <v>1</v>
      </c>
      <c r="F1619" s="564">
        <v>2</v>
      </c>
      <c r="G1619" s="564" t="s">
        <v>473</v>
      </c>
      <c r="H1619" s="564">
        <v>0</v>
      </c>
      <c r="I1619" s="564">
        <v>0</v>
      </c>
      <c r="J1619" s="564">
        <v>0</v>
      </c>
      <c r="K1619" s="564">
        <v>0</v>
      </c>
      <c r="L1619" s="564">
        <v>0</v>
      </c>
      <c r="M1619" s="561" t="s">
        <v>137</v>
      </c>
      <c r="N1619" s="520">
        <v>43047567130000</v>
      </c>
      <c r="O1619" s="564" t="s">
        <v>4441</v>
      </c>
      <c r="P1619" s="564" t="s">
        <v>2264</v>
      </c>
      <c r="Q1619" s="564" t="s">
        <v>4440</v>
      </c>
      <c r="R1619" s="564">
        <v>2</v>
      </c>
    </row>
    <row r="1620" spans="1:18" ht="15" customHeight="1" x14ac:dyDescent="0.25">
      <c r="A1620" s="564">
        <v>17</v>
      </c>
      <c r="B1620" s="564">
        <v>3</v>
      </c>
      <c r="C1620" s="564">
        <v>2</v>
      </c>
      <c r="D1620" s="564">
        <v>1</v>
      </c>
      <c r="E1620" s="564">
        <v>1</v>
      </c>
      <c r="F1620" s="564">
        <v>2</v>
      </c>
      <c r="G1620" s="521" t="s">
        <v>476</v>
      </c>
      <c r="H1620" s="564">
        <v>2641.26</v>
      </c>
      <c r="I1620" s="564">
        <v>0</v>
      </c>
      <c r="J1620" s="564">
        <v>2</v>
      </c>
      <c r="K1620" s="564">
        <v>24</v>
      </c>
      <c r="L1620" s="564">
        <v>4</v>
      </c>
      <c r="M1620" s="561" t="s">
        <v>137</v>
      </c>
      <c r="N1620" s="520">
        <v>43047567130000</v>
      </c>
      <c r="O1620" s="564" t="s">
        <v>4441</v>
      </c>
      <c r="P1620" s="564" t="s">
        <v>2265</v>
      </c>
      <c r="Q1620" s="564" t="s">
        <v>4440</v>
      </c>
      <c r="R1620" s="564">
        <v>2</v>
      </c>
    </row>
    <row r="1621" spans="1:18" ht="15" customHeight="1" x14ac:dyDescent="0.25">
      <c r="A1621" s="564">
        <v>17</v>
      </c>
      <c r="B1621" s="564">
        <v>3</v>
      </c>
      <c r="C1621" s="564">
        <v>2</v>
      </c>
      <c r="D1621" s="564">
        <v>1</v>
      </c>
      <c r="E1621" s="564">
        <v>1</v>
      </c>
      <c r="F1621" s="564">
        <v>2</v>
      </c>
      <c r="G1621" s="564" t="s">
        <v>478</v>
      </c>
      <c r="H1621" s="564">
        <v>2650.03</v>
      </c>
      <c r="I1621" s="564">
        <v>0</v>
      </c>
      <c r="J1621" s="564">
        <v>4</v>
      </c>
      <c r="K1621" s="564">
        <v>19</v>
      </c>
      <c r="L1621" s="564">
        <v>2</v>
      </c>
      <c r="M1621" s="561" t="s">
        <v>137</v>
      </c>
      <c r="N1621" s="520">
        <v>43047567130000</v>
      </c>
      <c r="O1621" s="564" t="s">
        <v>4441</v>
      </c>
      <c r="P1621" s="564" t="s">
        <v>2266</v>
      </c>
      <c r="Q1621" s="564" t="s">
        <v>4440</v>
      </c>
      <c r="R1621" s="564">
        <v>2</v>
      </c>
    </row>
    <row r="1622" spans="1:18" ht="15" customHeight="1" x14ac:dyDescent="0.25">
      <c r="A1622" s="564">
        <v>17</v>
      </c>
      <c r="B1622" s="564">
        <v>3</v>
      </c>
      <c r="C1622" s="564">
        <v>2</v>
      </c>
      <c r="D1622" s="564">
        <v>1</v>
      </c>
      <c r="E1622" s="564">
        <v>1</v>
      </c>
      <c r="F1622" s="564">
        <v>2</v>
      </c>
      <c r="G1622" s="564" t="s">
        <v>484</v>
      </c>
      <c r="H1622" s="564">
        <v>0</v>
      </c>
      <c r="I1622" s="564">
        <v>0</v>
      </c>
      <c r="J1622" s="564">
        <v>0</v>
      </c>
      <c r="K1622" s="564">
        <v>0</v>
      </c>
      <c r="L1622" s="564">
        <v>0</v>
      </c>
      <c r="M1622" s="561" t="s">
        <v>137</v>
      </c>
      <c r="N1622" s="520">
        <v>43047567130000</v>
      </c>
      <c r="O1622" s="564" t="s">
        <v>4441</v>
      </c>
      <c r="P1622" s="564" t="s">
        <v>2267</v>
      </c>
      <c r="Q1622" s="564" t="s">
        <v>4440</v>
      </c>
      <c r="R1622" s="564">
        <v>2</v>
      </c>
    </row>
    <row r="1623" spans="1:18" ht="15" customHeight="1" x14ac:dyDescent="0.25">
      <c r="A1623" s="564">
        <v>17</v>
      </c>
      <c r="B1623" s="564">
        <v>3</v>
      </c>
      <c r="C1623" s="564">
        <v>2</v>
      </c>
      <c r="D1623" s="564">
        <v>1</v>
      </c>
      <c r="E1623" s="564">
        <v>1</v>
      </c>
      <c r="F1623" s="564">
        <v>2</v>
      </c>
      <c r="G1623" s="564" t="s">
        <v>486</v>
      </c>
      <c r="H1623" s="564">
        <v>0</v>
      </c>
      <c r="I1623" s="564">
        <v>0</v>
      </c>
      <c r="J1623" s="564">
        <v>0</v>
      </c>
      <c r="K1623" s="564">
        <v>0</v>
      </c>
      <c r="L1623" s="564">
        <v>0</v>
      </c>
      <c r="M1623" s="561" t="s">
        <v>137</v>
      </c>
      <c r="N1623" s="520">
        <v>43047567130000</v>
      </c>
      <c r="O1623" s="564" t="s">
        <v>4441</v>
      </c>
      <c r="P1623" s="564" t="s">
        <v>2268</v>
      </c>
      <c r="Q1623" s="564" t="s">
        <v>4440</v>
      </c>
      <c r="R1623" s="564">
        <v>2</v>
      </c>
    </row>
    <row r="1624" spans="1:18" ht="15" customHeight="1" x14ac:dyDescent="0.25">
      <c r="A1624" s="564">
        <v>17</v>
      </c>
      <c r="B1624" s="564">
        <v>3</v>
      </c>
      <c r="C1624" s="564">
        <v>2</v>
      </c>
      <c r="D1624" s="564">
        <v>1</v>
      </c>
      <c r="E1624" s="564">
        <v>1</v>
      </c>
      <c r="F1624" s="564">
        <v>2</v>
      </c>
      <c r="G1624" s="521" t="s">
        <v>488</v>
      </c>
      <c r="H1624" s="564">
        <v>2661.7</v>
      </c>
      <c r="I1624" s="564">
        <v>0</v>
      </c>
      <c r="J1624" s="564">
        <v>17</v>
      </c>
      <c r="K1624" s="564">
        <v>28</v>
      </c>
      <c r="L1624" s="564">
        <v>4</v>
      </c>
      <c r="M1624" s="561" t="s">
        <v>137</v>
      </c>
      <c r="N1624" s="520">
        <v>43047567130000</v>
      </c>
      <c r="O1624" s="564" t="s">
        <v>4441</v>
      </c>
      <c r="P1624" s="564" t="s">
        <v>2269</v>
      </c>
      <c r="Q1624" s="564" t="s">
        <v>4440</v>
      </c>
      <c r="R1624" s="564">
        <v>2</v>
      </c>
    </row>
    <row r="1625" spans="1:18" ht="15" customHeight="1" x14ac:dyDescent="0.25">
      <c r="A1625" s="564">
        <v>17</v>
      </c>
      <c r="B1625" s="564">
        <v>3</v>
      </c>
      <c r="C1625" s="564">
        <v>2</v>
      </c>
      <c r="D1625" s="564">
        <v>1</v>
      </c>
      <c r="E1625" s="564">
        <v>1</v>
      </c>
      <c r="F1625" s="564">
        <v>2</v>
      </c>
      <c r="G1625" s="564" t="s">
        <v>490</v>
      </c>
      <c r="H1625" s="564">
        <v>2653.11</v>
      </c>
      <c r="I1625" s="564">
        <v>0</v>
      </c>
      <c r="J1625" s="564">
        <v>15</v>
      </c>
      <c r="K1625" s="564">
        <v>20</v>
      </c>
      <c r="L1625" s="564">
        <v>2</v>
      </c>
      <c r="M1625" s="561" t="s">
        <v>137</v>
      </c>
      <c r="N1625" s="520">
        <v>43047567130000</v>
      </c>
      <c r="O1625" s="564" t="s">
        <v>4441</v>
      </c>
      <c r="P1625" s="564" t="s">
        <v>2270</v>
      </c>
      <c r="Q1625" s="564" t="s">
        <v>4440</v>
      </c>
      <c r="R1625" s="564">
        <v>2</v>
      </c>
    </row>
    <row r="1626" spans="1:18" ht="15" customHeight="1" x14ac:dyDescent="0.25">
      <c r="A1626" s="564">
        <v>17</v>
      </c>
      <c r="B1626" s="564">
        <v>3</v>
      </c>
      <c r="C1626" s="564">
        <v>2</v>
      </c>
      <c r="D1626" s="564">
        <v>1</v>
      </c>
      <c r="E1626" s="564">
        <v>1</v>
      </c>
      <c r="F1626" s="564">
        <v>2</v>
      </c>
      <c r="G1626" s="564" t="s">
        <v>493</v>
      </c>
      <c r="H1626" s="564">
        <v>0</v>
      </c>
      <c r="I1626" s="564">
        <v>0</v>
      </c>
      <c r="J1626" s="564">
        <v>0</v>
      </c>
      <c r="K1626" s="564">
        <v>0</v>
      </c>
      <c r="L1626" s="564">
        <v>0</v>
      </c>
      <c r="M1626" s="561" t="s">
        <v>137</v>
      </c>
      <c r="N1626" s="520">
        <v>43047567130000</v>
      </c>
      <c r="O1626" s="564" t="s">
        <v>4441</v>
      </c>
      <c r="P1626" s="564" t="s">
        <v>2271</v>
      </c>
      <c r="Q1626" s="564" t="s">
        <v>4440</v>
      </c>
      <c r="R1626" s="564">
        <v>2</v>
      </c>
    </row>
    <row r="1627" spans="1:18" ht="15" customHeight="1" x14ac:dyDescent="0.25">
      <c r="A1627" s="564">
        <v>17</v>
      </c>
      <c r="B1627" s="564">
        <v>3</v>
      </c>
      <c r="C1627" s="564">
        <v>2</v>
      </c>
      <c r="D1627" s="564">
        <v>1</v>
      </c>
      <c r="E1627" s="564">
        <v>1</v>
      </c>
      <c r="F1627" s="564">
        <v>2</v>
      </c>
      <c r="G1627" s="564" t="s">
        <v>474</v>
      </c>
      <c r="H1627" s="564">
        <v>0</v>
      </c>
      <c r="I1627" s="564">
        <v>0</v>
      </c>
      <c r="J1627" s="564">
        <v>0</v>
      </c>
      <c r="K1627" s="564">
        <v>0</v>
      </c>
      <c r="L1627" s="564">
        <v>0</v>
      </c>
      <c r="M1627" s="561" t="s">
        <v>137</v>
      </c>
      <c r="N1627" s="520">
        <v>43047567130000</v>
      </c>
      <c r="O1627" s="564" t="s">
        <v>4441</v>
      </c>
      <c r="P1627" s="564" t="s">
        <v>2272</v>
      </c>
      <c r="Q1627" s="564" t="s">
        <v>4440</v>
      </c>
      <c r="R1627" s="564">
        <v>2</v>
      </c>
    </row>
    <row r="1628" spans="1:18" ht="15" customHeight="1" x14ac:dyDescent="0.25">
      <c r="A1628" s="564">
        <v>17</v>
      </c>
      <c r="B1628" s="564">
        <v>3</v>
      </c>
      <c r="C1628" s="564">
        <v>2</v>
      </c>
      <c r="D1628" s="564">
        <v>1</v>
      </c>
      <c r="E1628" s="564">
        <v>1</v>
      </c>
      <c r="F1628" s="564">
        <v>2</v>
      </c>
      <c r="G1628" s="521" t="s">
        <v>477</v>
      </c>
      <c r="H1628" s="564">
        <v>2630.35</v>
      </c>
      <c r="I1628" s="564">
        <v>89</v>
      </c>
      <c r="J1628" s="564">
        <v>47</v>
      </c>
      <c r="K1628" s="564">
        <v>32</v>
      </c>
      <c r="L1628" s="564">
        <v>1</v>
      </c>
      <c r="M1628" s="561" t="s">
        <v>137</v>
      </c>
      <c r="N1628" s="520">
        <v>43047567130000</v>
      </c>
      <c r="O1628" s="564" t="s">
        <v>4441</v>
      </c>
      <c r="P1628" s="564" t="s">
        <v>2273</v>
      </c>
      <c r="Q1628" s="564" t="s">
        <v>4440</v>
      </c>
      <c r="R1628" s="564">
        <v>2</v>
      </c>
    </row>
    <row r="1629" spans="1:18" ht="15" customHeight="1" x14ac:dyDescent="0.25">
      <c r="A1629" s="564">
        <v>17</v>
      </c>
      <c r="B1629" s="564">
        <v>3</v>
      </c>
      <c r="C1629" s="564">
        <v>2</v>
      </c>
      <c r="D1629" s="564">
        <v>1</v>
      </c>
      <c r="E1629" s="564">
        <v>1</v>
      </c>
      <c r="F1629" s="564">
        <v>2</v>
      </c>
      <c r="G1629" s="564" t="s">
        <v>479</v>
      </c>
      <c r="H1629" s="564">
        <v>2639.38</v>
      </c>
      <c r="I1629" s="564">
        <v>89</v>
      </c>
      <c r="J1629" s="564">
        <v>48</v>
      </c>
      <c r="K1629" s="564">
        <v>23</v>
      </c>
      <c r="L1629" s="564">
        <v>4</v>
      </c>
      <c r="M1629" s="561" t="s">
        <v>137</v>
      </c>
      <c r="N1629" s="520">
        <v>43047567130000</v>
      </c>
      <c r="O1629" s="564" t="s">
        <v>4441</v>
      </c>
      <c r="P1629" s="564" t="s">
        <v>2274</v>
      </c>
      <c r="Q1629" s="564" t="s">
        <v>4440</v>
      </c>
      <c r="R1629" s="564">
        <v>2</v>
      </c>
    </row>
    <row r="1630" spans="1:18" ht="15" customHeight="1" x14ac:dyDescent="0.25">
      <c r="A1630" s="564">
        <v>17</v>
      </c>
      <c r="B1630" s="564">
        <v>3</v>
      </c>
      <c r="C1630" s="564">
        <v>2</v>
      </c>
      <c r="D1630" s="564">
        <v>1</v>
      </c>
      <c r="E1630" s="564">
        <v>1</v>
      </c>
      <c r="F1630" s="564">
        <v>2</v>
      </c>
      <c r="G1630" s="564" t="s">
        <v>485</v>
      </c>
      <c r="H1630" s="564">
        <v>0</v>
      </c>
      <c r="I1630" s="564">
        <v>0</v>
      </c>
      <c r="J1630" s="564">
        <v>0</v>
      </c>
      <c r="K1630" s="564">
        <v>0</v>
      </c>
      <c r="L1630" s="564">
        <v>0</v>
      </c>
      <c r="M1630" s="561" t="s">
        <v>137</v>
      </c>
      <c r="N1630" s="520">
        <v>43047567130000</v>
      </c>
      <c r="O1630" s="564" t="s">
        <v>4441</v>
      </c>
      <c r="P1630" s="564" t="s">
        <v>2275</v>
      </c>
      <c r="Q1630" s="564" t="s">
        <v>4440</v>
      </c>
      <c r="R1630" s="564">
        <v>2</v>
      </c>
    </row>
    <row r="1631" spans="1:18" ht="15" customHeight="1" x14ac:dyDescent="0.25">
      <c r="A1631" s="564">
        <v>17</v>
      </c>
      <c r="B1631" s="564">
        <v>3</v>
      </c>
      <c r="C1631" s="564">
        <v>2</v>
      </c>
      <c r="D1631" s="564">
        <v>1</v>
      </c>
      <c r="E1631" s="564">
        <v>1</v>
      </c>
      <c r="F1631" s="564">
        <v>2</v>
      </c>
      <c r="G1631" s="564" t="s">
        <v>487</v>
      </c>
      <c r="H1631" s="564">
        <v>0</v>
      </c>
      <c r="I1631" s="564">
        <v>0</v>
      </c>
      <c r="J1631" s="564">
        <v>0</v>
      </c>
      <c r="K1631" s="564">
        <v>0</v>
      </c>
      <c r="L1631" s="564">
        <v>0</v>
      </c>
      <c r="M1631" s="561" t="s">
        <v>137</v>
      </c>
      <c r="N1631" s="520">
        <v>43047567130000</v>
      </c>
      <c r="O1631" s="564" t="s">
        <v>4441</v>
      </c>
      <c r="P1631" s="564" t="s">
        <v>2276</v>
      </c>
      <c r="Q1631" s="564" t="s">
        <v>4440</v>
      </c>
      <c r="R1631" s="564">
        <v>2</v>
      </c>
    </row>
    <row r="1632" spans="1:18" ht="15" customHeight="1" x14ac:dyDescent="0.25">
      <c r="A1632" s="564">
        <v>17</v>
      </c>
      <c r="B1632" s="564">
        <v>3</v>
      </c>
      <c r="C1632" s="564">
        <v>2</v>
      </c>
      <c r="D1632" s="564">
        <v>1</v>
      </c>
      <c r="E1632" s="564">
        <v>1</v>
      </c>
      <c r="F1632" s="564">
        <v>2</v>
      </c>
      <c r="G1632" s="521" t="s">
        <v>489</v>
      </c>
      <c r="H1632" s="553">
        <v>2638.21</v>
      </c>
      <c r="I1632" s="553">
        <v>89</v>
      </c>
      <c r="J1632" s="553">
        <v>59</v>
      </c>
      <c r="K1632" s="553">
        <v>31</v>
      </c>
      <c r="L1632" s="553">
        <v>1</v>
      </c>
      <c r="M1632" s="561" t="s">
        <v>137</v>
      </c>
      <c r="N1632" s="520">
        <v>43047567130000</v>
      </c>
      <c r="O1632" s="564" t="s">
        <v>4441</v>
      </c>
      <c r="P1632" s="564" t="s">
        <v>2277</v>
      </c>
      <c r="Q1632" s="564" t="s">
        <v>4440</v>
      </c>
      <c r="R1632" s="564">
        <v>2</v>
      </c>
    </row>
    <row r="1633" spans="1:18" ht="15" customHeight="1" x14ac:dyDescent="0.25">
      <c r="A1633" s="564">
        <v>17</v>
      </c>
      <c r="B1633" s="564">
        <v>3</v>
      </c>
      <c r="C1633" s="564">
        <v>2</v>
      </c>
      <c r="D1633" s="564">
        <v>1</v>
      </c>
      <c r="E1633" s="564">
        <v>1</v>
      </c>
      <c r="F1633" s="564">
        <v>2</v>
      </c>
      <c r="G1633" s="564" t="s">
        <v>491</v>
      </c>
      <c r="H1633" s="553">
        <v>2634.56</v>
      </c>
      <c r="I1633" s="553">
        <v>89</v>
      </c>
      <c r="J1633" s="553">
        <v>37</v>
      </c>
      <c r="K1633" s="553">
        <v>5</v>
      </c>
      <c r="L1633" s="553">
        <v>1</v>
      </c>
      <c r="M1633" s="561" t="s">
        <v>137</v>
      </c>
      <c r="N1633" s="520">
        <v>43047567130000</v>
      </c>
      <c r="O1633" s="564" t="s">
        <v>4441</v>
      </c>
      <c r="P1633" s="564" t="s">
        <v>2278</v>
      </c>
      <c r="Q1633" s="564" t="s">
        <v>4440</v>
      </c>
      <c r="R1633" s="564">
        <v>2</v>
      </c>
    </row>
    <row r="1634" spans="1:18" ht="15" customHeight="1" x14ac:dyDescent="0.25">
      <c r="A1634" s="564">
        <v>17</v>
      </c>
      <c r="B1634" s="564">
        <v>3</v>
      </c>
      <c r="C1634" s="564">
        <v>2</v>
      </c>
      <c r="D1634" s="564">
        <v>1</v>
      </c>
      <c r="E1634" s="564">
        <v>1</v>
      </c>
      <c r="F1634" s="564">
        <v>2</v>
      </c>
      <c r="G1634" s="564" t="s">
        <v>494</v>
      </c>
      <c r="H1634" s="564">
        <v>0</v>
      </c>
      <c r="I1634" s="564">
        <v>0</v>
      </c>
      <c r="J1634" s="564">
        <v>0</v>
      </c>
      <c r="K1634" s="564">
        <v>0</v>
      </c>
      <c r="L1634" s="564">
        <v>0</v>
      </c>
      <c r="M1634" s="561" t="s">
        <v>137</v>
      </c>
      <c r="N1634" s="520">
        <v>43047567130000</v>
      </c>
      <c r="O1634" s="564" t="s">
        <v>4441</v>
      </c>
      <c r="P1634" s="564" t="s">
        <v>2279</v>
      </c>
      <c r="Q1634" s="564" t="s">
        <v>4440</v>
      </c>
      <c r="R1634" s="564">
        <v>2</v>
      </c>
    </row>
    <row r="1635" spans="1:18" ht="15" customHeight="1" x14ac:dyDescent="0.25">
      <c r="A1635" s="553">
        <v>18</v>
      </c>
      <c r="B1635" s="553">
        <v>2</v>
      </c>
      <c r="C1635" s="553">
        <v>2</v>
      </c>
      <c r="D1635" s="553">
        <v>3</v>
      </c>
      <c r="E1635" s="553">
        <v>2</v>
      </c>
      <c r="F1635" s="553">
        <v>1</v>
      </c>
      <c r="G1635" s="553" t="s">
        <v>473</v>
      </c>
      <c r="H1635" s="553">
        <v>1332.97</v>
      </c>
      <c r="I1635" s="553">
        <v>0</v>
      </c>
      <c r="J1635" s="553">
        <v>15</v>
      </c>
      <c r="K1635" s="553">
        <v>37</v>
      </c>
      <c r="L1635" s="553">
        <v>2</v>
      </c>
      <c r="M1635" s="505"/>
      <c r="N1635" s="500"/>
      <c r="O1635" s="553"/>
      <c r="P1635" s="650" t="s">
        <v>2280</v>
      </c>
      <c r="Q1635" s="564" t="s">
        <v>583</v>
      </c>
      <c r="R1635" s="564">
        <v>1</v>
      </c>
    </row>
    <row r="1636" spans="1:18" ht="15" customHeight="1" x14ac:dyDescent="0.25">
      <c r="A1636" s="553">
        <v>18</v>
      </c>
      <c r="B1636" s="553">
        <v>2</v>
      </c>
      <c r="C1636" s="553">
        <v>2</v>
      </c>
      <c r="D1636" s="553">
        <v>3</v>
      </c>
      <c r="E1636" s="553">
        <v>2</v>
      </c>
      <c r="F1636" s="553">
        <v>1</v>
      </c>
      <c r="G1636" s="502" t="s">
        <v>476</v>
      </c>
      <c r="H1636" s="553">
        <v>1332.97</v>
      </c>
      <c r="I1636" s="553">
        <v>0</v>
      </c>
      <c r="J1636" s="553">
        <v>15</v>
      </c>
      <c r="K1636" s="553">
        <v>37</v>
      </c>
      <c r="L1636" s="553">
        <v>2</v>
      </c>
      <c r="M1636" s="505"/>
      <c r="N1636" s="500"/>
      <c r="O1636" s="553"/>
      <c r="P1636" s="650" t="s">
        <v>2281</v>
      </c>
      <c r="Q1636" s="564" t="s">
        <v>583</v>
      </c>
      <c r="R1636" s="564">
        <v>1</v>
      </c>
    </row>
    <row r="1637" spans="1:18" ht="15" customHeight="1" x14ac:dyDescent="0.25">
      <c r="A1637" s="553">
        <v>18</v>
      </c>
      <c r="B1637" s="553">
        <v>2</v>
      </c>
      <c r="C1637" s="553">
        <v>2</v>
      </c>
      <c r="D1637" s="553">
        <v>3</v>
      </c>
      <c r="E1637" s="553">
        <v>2</v>
      </c>
      <c r="F1637" s="553">
        <v>1</v>
      </c>
      <c r="G1637" s="553" t="s">
        <v>478</v>
      </c>
      <c r="H1637" s="553">
        <v>1332.97</v>
      </c>
      <c r="I1637" s="553">
        <v>0</v>
      </c>
      <c r="J1637" s="553">
        <v>15</v>
      </c>
      <c r="K1637" s="553">
        <v>37</v>
      </c>
      <c r="L1637" s="553">
        <v>2</v>
      </c>
      <c r="M1637" s="505"/>
      <c r="N1637" s="500"/>
      <c r="O1637" s="553"/>
      <c r="P1637" s="650" t="s">
        <v>2282</v>
      </c>
      <c r="Q1637" s="564" t="s">
        <v>583</v>
      </c>
      <c r="R1637" s="564">
        <v>1</v>
      </c>
    </row>
    <row r="1638" spans="1:18" ht="15" customHeight="1" x14ac:dyDescent="0.25">
      <c r="A1638" s="553">
        <v>18</v>
      </c>
      <c r="B1638" s="553">
        <v>2</v>
      </c>
      <c r="C1638" s="553">
        <v>2</v>
      </c>
      <c r="D1638" s="553">
        <v>3</v>
      </c>
      <c r="E1638" s="553">
        <v>2</v>
      </c>
      <c r="F1638" s="553">
        <v>1</v>
      </c>
      <c r="G1638" s="553" t="s">
        <v>484</v>
      </c>
      <c r="H1638" s="553">
        <v>1332.97</v>
      </c>
      <c r="I1638" s="553">
        <v>0</v>
      </c>
      <c r="J1638" s="553">
        <v>15</v>
      </c>
      <c r="K1638" s="553">
        <v>37</v>
      </c>
      <c r="L1638" s="553">
        <v>2</v>
      </c>
      <c r="M1638" s="505"/>
      <c r="N1638" s="500"/>
      <c r="O1638" s="553"/>
      <c r="P1638" s="650" t="s">
        <v>2283</v>
      </c>
      <c r="Q1638" s="564" t="s">
        <v>583</v>
      </c>
      <c r="R1638" s="564">
        <v>1</v>
      </c>
    </row>
    <row r="1639" spans="1:18" ht="15" customHeight="1" x14ac:dyDescent="0.25">
      <c r="A1639" s="553">
        <v>18</v>
      </c>
      <c r="B1639" s="553">
        <v>2</v>
      </c>
      <c r="C1639" s="553">
        <v>2</v>
      </c>
      <c r="D1639" s="553">
        <v>3</v>
      </c>
      <c r="E1639" s="553">
        <v>2</v>
      </c>
      <c r="F1639" s="553">
        <v>1</v>
      </c>
      <c r="G1639" s="553" t="s">
        <v>486</v>
      </c>
      <c r="H1639" s="553">
        <v>1306.69</v>
      </c>
      <c r="I1639" s="553">
        <v>0</v>
      </c>
      <c r="J1639" s="553">
        <v>4</v>
      </c>
      <c r="K1639" s="553">
        <v>25</v>
      </c>
      <c r="L1639" s="553">
        <v>4</v>
      </c>
      <c r="M1639" s="505"/>
      <c r="N1639" s="500"/>
      <c r="O1639" s="553"/>
      <c r="P1639" s="650" t="s">
        <v>2284</v>
      </c>
      <c r="Q1639" s="564" t="s">
        <v>583</v>
      </c>
      <c r="R1639" s="564">
        <v>1</v>
      </c>
    </row>
    <row r="1640" spans="1:18" ht="15" customHeight="1" x14ac:dyDescent="0.25">
      <c r="A1640" s="553">
        <v>18</v>
      </c>
      <c r="B1640" s="553">
        <v>2</v>
      </c>
      <c r="C1640" s="553">
        <v>2</v>
      </c>
      <c r="D1640" s="553">
        <v>3</v>
      </c>
      <c r="E1640" s="553">
        <v>2</v>
      </c>
      <c r="F1640" s="553">
        <v>1</v>
      </c>
      <c r="G1640" s="502" t="s">
        <v>488</v>
      </c>
      <c r="H1640" s="553">
        <v>1313.37</v>
      </c>
      <c r="I1640" s="553">
        <v>0</v>
      </c>
      <c r="J1640" s="553">
        <v>5</v>
      </c>
      <c r="K1640" s="553">
        <v>13</v>
      </c>
      <c r="L1640" s="553">
        <v>4</v>
      </c>
      <c r="M1640" s="505"/>
      <c r="N1640" s="500"/>
      <c r="O1640" s="553"/>
      <c r="P1640" s="650" t="s">
        <v>2285</v>
      </c>
      <c r="Q1640" s="564" t="s">
        <v>583</v>
      </c>
      <c r="R1640" s="564">
        <v>1</v>
      </c>
    </row>
    <row r="1641" spans="1:18" ht="15" customHeight="1" x14ac:dyDescent="0.25">
      <c r="A1641" s="553">
        <v>18</v>
      </c>
      <c r="B1641" s="553">
        <v>2</v>
      </c>
      <c r="C1641" s="553">
        <v>2</v>
      </c>
      <c r="D1641" s="553">
        <v>3</v>
      </c>
      <c r="E1641" s="553">
        <v>2</v>
      </c>
      <c r="F1641" s="553">
        <v>1</v>
      </c>
      <c r="G1641" s="553" t="s">
        <v>490</v>
      </c>
      <c r="H1641" s="553">
        <v>1313.43</v>
      </c>
      <c r="I1641" s="553">
        <v>0</v>
      </c>
      <c r="J1641" s="553">
        <v>4</v>
      </c>
      <c r="K1641" s="553">
        <v>11</v>
      </c>
      <c r="L1641" s="553">
        <v>4</v>
      </c>
      <c r="M1641" s="505"/>
      <c r="N1641" s="500"/>
      <c r="O1641" s="553"/>
      <c r="P1641" s="650" t="s">
        <v>2286</v>
      </c>
      <c r="Q1641" s="564" t="s">
        <v>583</v>
      </c>
      <c r="R1641" s="564">
        <v>1</v>
      </c>
    </row>
    <row r="1642" spans="1:18" ht="15" customHeight="1" x14ac:dyDescent="0.25">
      <c r="A1642" s="553">
        <v>18</v>
      </c>
      <c r="B1642" s="553">
        <v>2</v>
      </c>
      <c r="C1642" s="553">
        <v>2</v>
      </c>
      <c r="D1642" s="553">
        <v>3</v>
      </c>
      <c r="E1642" s="553">
        <v>2</v>
      </c>
      <c r="F1642" s="553">
        <v>1</v>
      </c>
      <c r="G1642" s="553" t="s">
        <v>493</v>
      </c>
      <c r="H1642" s="553">
        <v>1313.18</v>
      </c>
      <c r="I1642" s="553">
        <v>0</v>
      </c>
      <c r="J1642" s="553">
        <v>4</v>
      </c>
      <c r="K1642" s="553">
        <v>25</v>
      </c>
      <c r="L1642" s="553">
        <v>4</v>
      </c>
      <c r="M1642" s="505"/>
      <c r="N1642" s="500"/>
      <c r="O1642" s="553"/>
      <c r="P1642" s="650" t="s">
        <v>2287</v>
      </c>
      <c r="Q1642" s="564" t="s">
        <v>583</v>
      </c>
      <c r="R1642" s="564">
        <v>1</v>
      </c>
    </row>
    <row r="1643" spans="1:18" ht="15" customHeight="1" x14ac:dyDescent="0.25">
      <c r="A1643" s="553">
        <v>18</v>
      </c>
      <c r="B1643" s="553">
        <v>2</v>
      </c>
      <c r="C1643" s="553">
        <v>2</v>
      </c>
      <c r="D1643" s="553">
        <v>3</v>
      </c>
      <c r="E1643" s="553">
        <v>2</v>
      </c>
      <c r="F1643" s="553">
        <v>1</v>
      </c>
      <c r="G1643" s="553" t="s">
        <v>474</v>
      </c>
      <c r="H1643" s="553">
        <v>1309.07</v>
      </c>
      <c r="I1643" s="553">
        <v>89</v>
      </c>
      <c r="J1643" s="553">
        <v>46</v>
      </c>
      <c r="K1643" s="553">
        <v>47</v>
      </c>
      <c r="L1643" s="553">
        <v>4</v>
      </c>
      <c r="M1643" s="505"/>
      <c r="N1643" s="500"/>
      <c r="O1643" s="553"/>
      <c r="P1643" s="650" t="s">
        <v>2288</v>
      </c>
      <c r="Q1643" s="564" t="s">
        <v>583</v>
      </c>
      <c r="R1643" s="564">
        <v>1</v>
      </c>
    </row>
    <row r="1644" spans="1:18" ht="15" customHeight="1" x14ac:dyDescent="0.25">
      <c r="A1644" s="553">
        <v>18</v>
      </c>
      <c r="B1644" s="553">
        <v>2</v>
      </c>
      <c r="C1644" s="553">
        <v>2</v>
      </c>
      <c r="D1644" s="553">
        <v>3</v>
      </c>
      <c r="E1644" s="553">
        <v>2</v>
      </c>
      <c r="F1644" s="553">
        <v>1</v>
      </c>
      <c r="G1644" s="502" t="s">
        <v>477</v>
      </c>
      <c r="H1644" s="553">
        <v>1313.24</v>
      </c>
      <c r="I1644" s="553">
        <v>89</v>
      </c>
      <c r="J1644" s="553">
        <v>50</v>
      </c>
      <c r="K1644" s="553">
        <v>29</v>
      </c>
      <c r="L1644" s="553">
        <v>3</v>
      </c>
      <c r="M1644" s="505"/>
      <c r="N1644" s="500"/>
      <c r="O1644" s="553"/>
      <c r="P1644" s="650" t="s">
        <v>2289</v>
      </c>
      <c r="Q1644" s="564" t="s">
        <v>583</v>
      </c>
      <c r="R1644" s="564">
        <v>1</v>
      </c>
    </row>
    <row r="1645" spans="1:18" ht="15" customHeight="1" x14ac:dyDescent="0.25">
      <c r="A1645" s="553">
        <v>18</v>
      </c>
      <c r="B1645" s="553">
        <v>2</v>
      </c>
      <c r="C1645" s="553">
        <v>2</v>
      </c>
      <c r="D1645" s="553">
        <v>3</v>
      </c>
      <c r="E1645" s="553">
        <v>2</v>
      </c>
      <c r="F1645" s="553">
        <v>1</v>
      </c>
      <c r="G1645" s="553" t="s">
        <v>479</v>
      </c>
      <c r="H1645" s="553">
        <v>1320.43</v>
      </c>
      <c r="I1645" s="553">
        <v>89</v>
      </c>
      <c r="J1645" s="553">
        <v>48</v>
      </c>
      <c r="K1645" s="553">
        <v>18</v>
      </c>
      <c r="L1645" s="553">
        <v>4</v>
      </c>
      <c r="M1645" s="505"/>
      <c r="N1645" s="500"/>
      <c r="O1645" s="553"/>
      <c r="P1645" s="650" t="s">
        <v>2290</v>
      </c>
      <c r="Q1645" s="564" t="s">
        <v>583</v>
      </c>
      <c r="R1645" s="564">
        <v>1</v>
      </c>
    </row>
    <row r="1646" spans="1:18" ht="15" customHeight="1" x14ac:dyDescent="0.25">
      <c r="A1646" s="553">
        <v>18</v>
      </c>
      <c r="B1646" s="553">
        <v>2</v>
      </c>
      <c r="C1646" s="553">
        <v>2</v>
      </c>
      <c r="D1646" s="553">
        <v>3</v>
      </c>
      <c r="E1646" s="553">
        <v>2</v>
      </c>
      <c r="F1646" s="553">
        <v>1</v>
      </c>
      <c r="G1646" s="553" t="s">
        <v>485</v>
      </c>
      <c r="H1646" s="553">
        <v>1320.77</v>
      </c>
      <c r="I1646" s="553">
        <v>89</v>
      </c>
      <c r="J1646" s="553">
        <v>47</v>
      </c>
      <c r="K1646" s="553">
        <v>13</v>
      </c>
      <c r="L1646" s="553">
        <v>4</v>
      </c>
      <c r="M1646" s="505"/>
      <c r="N1646" s="500"/>
      <c r="O1646" s="553"/>
      <c r="P1646" s="650" t="s">
        <v>2291</v>
      </c>
      <c r="Q1646" s="564" t="s">
        <v>583</v>
      </c>
      <c r="R1646" s="564">
        <v>1</v>
      </c>
    </row>
    <row r="1647" spans="1:18" ht="15" customHeight="1" x14ac:dyDescent="0.25">
      <c r="A1647" s="553">
        <v>18</v>
      </c>
      <c r="B1647" s="553">
        <v>2</v>
      </c>
      <c r="C1647" s="553">
        <v>2</v>
      </c>
      <c r="D1647" s="553">
        <v>3</v>
      </c>
      <c r="E1647" s="553">
        <v>2</v>
      </c>
      <c r="F1647" s="553">
        <v>1</v>
      </c>
      <c r="G1647" s="553" t="s">
        <v>487</v>
      </c>
      <c r="H1647" s="553">
        <v>1311.17</v>
      </c>
      <c r="I1647" s="553">
        <v>89</v>
      </c>
      <c r="J1647" s="553">
        <v>50</v>
      </c>
      <c r="K1647" s="553">
        <v>10</v>
      </c>
      <c r="L1647" s="553">
        <v>3</v>
      </c>
      <c r="M1647" s="505"/>
      <c r="N1647" s="500"/>
      <c r="O1647" s="553"/>
      <c r="P1647" s="650" t="s">
        <v>2292</v>
      </c>
      <c r="Q1647" s="564" t="s">
        <v>583</v>
      </c>
      <c r="R1647" s="564">
        <v>1</v>
      </c>
    </row>
    <row r="1648" spans="1:18" ht="15" customHeight="1" x14ac:dyDescent="0.25">
      <c r="A1648" s="553">
        <v>18</v>
      </c>
      <c r="B1648" s="553">
        <v>2</v>
      </c>
      <c r="C1648" s="553">
        <v>2</v>
      </c>
      <c r="D1648" s="553">
        <v>3</v>
      </c>
      <c r="E1648" s="553">
        <v>2</v>
      </c>
      <c r="F1648" s="553">
        <v>1</v>
      </c>
      <c r="G1648" s="502" t="s">
        <v>489</v>
      </c>
      <c r="H1648" s="553">
        <v>1335.22</v>
      </c>
      <c r="I1648" s="553">
        <v>88</v>
      </c>
      <c r="J1648" s="553">
        <v>26</v>
      </c>
      <c r="K1648" s="553">
        <v>15</v>
      </c>
      <c r="L1648" s="553">
        <v>3</v>
      </c>
      <c r="M1648" s="505"/>
      <c r="N1648" s="500"/>
      <c r="O1648" s="553"/>
      <c r="P1648" s="650" t="s">
        <v>2293</v>
      </c>
      <c r="Q1648" s="564" t="s">
        <v>583</v>
      </c>
      <c r="R1648" s="564">
        <v>1</v>
      </c>
    </row>
    <row r="1649" spans="1:18" ht="15" customHeight="1" x14ac:dyDescent="0.25">
      <c r="A1649" s="553">
        <v>18</v>
      </c>
      <c r="B1649" s="553">
        <v>2</v>
      </c>
      <c r="C1649" s="553">
        <v>2</v>
      </c>
      <c r="D1649" s="553">
        <v>3</v>
      </c>
      <c r="E1649" s="553">
        <v>2</v>
      </c>
      <c r="F1649" s="553">
        <v>1</v>
      </c>
      <c r="G1649" s="553" t="s">
        <v>491</v>
      </c>
      <c r="H1649" s="553">
        <v>1336.09</v>
      </c>
      <c r="I1649" s="553">
        <v>88</v>
      </c>
      <c r="J1649" s="553">
        <v>25</v>
      </c>
      <c r="K1649" s="553">
        <v>40</v>
      </c>
      <c r="L1649" s="553">
        <v>3</v>
      </c>
      <c r="M1649" s="505"/>
      <c r="N1649" s="500"/>
      <c r="O1649" s="553"/>
      <c r="P1649" s="650" t="s">
        <v>2294</v>
      </c>
      <c r="Q1649" s="564" t="s">
        <v>583</v>
      </c>
      <c r="R1649" s="564">
        <v>1</v>
      </c>
    </row>
    <row r="1650" spans="1:18" ht="15" customHeight="1" x14ac:dyDescent="0.25">
      <c r="A1650" s="553">
        <v>18</v>
      </c>
      <c r="B1650" s="553">
        <v>2</v>
      </c>
      <c r="C1650" s="553">
        <v>2</v>
      </c>
      <c r="D1650" s="553">
        <v>3</v>
      </c>
      <c r="E1650" s="553">
        <v>2</v>
      </c>
      <c r="F1650" s="553">
        <v>1</v>
      </c>
      <c r="G1650" s="553" t="s">
        <v>494</v>
      </c>
      <c r="H1650" s="553">
        <v>1313.17</v>
      </c>
      <c r="I1650" s="553">
        <v>89</v>
      </c>
      <c r="J1650" s="553">
        <v>53</v>
      </c>
      <c r="K1650" s="553">
        <v>36</v>
      </c>
      <c r="L1650" s="553">
        <v>4</v>
      </c>
      <c r="M1650" s="505"/>
      <c r="N1650" s="500"/>
      <c r="O1650" s="553"/>
      <c r="P1650" s="650" t="s">
        <v>2295</v>
      </c>
      <c r="Q1650" s="564" t="s">
        <v>583</v>
      </c>
      <c r="R1650" s="564">
        <v>1</v>
      </c>
    </row>
    <row r="1651" spans="1:18" ht="15" customHeight="1" x14ac:dyDescent="0.25">
      <c r="A1651" s="553">
        <v>18</v>
      </c>
      <c r="B1651" s="553">
        <v>9</v>
      </c>
      <c r="C1651" s="553">
        <v>2</v>
      </c>
      <c r="D1651" s="553">
        <v>21</v>
      </c>
      <c r="E1651" s="553">
        <v>1</v>
      </c>
      <c r="F1651" s="553">
        <v>1</v>
      </c>
      <c r="G1651" s="553" t="s">
        <v>473</v>
      </c>
      <c r="H1651" s="564">
        <v>1319.31</v>
      </c>
      <c r="I1651" s="553">
        <v>0</v>
      </c>
      <c r="J1651" s="553">
        <v>57</v>
      </c>
      <c r="K1651" s="553">
        <v>36</v>
      </c>
      <c r="L1651" s="553">
        <v>4</v>
      </c>
      <c r="M1651" s="505"/>
      <c r="N1651" s="500"/>
      <c r="O1651" s="553"/>
      <c r="P1651" s="650" t="s">
        <v>2296</v>
      </c>
      <c r="Q1651" s="564" t="s">
        <v>583</v>
      </c>
      <c r="R1651" s="564">
        <v>2</v>
      </c>
    </row>
    <row r="1652" spans="1:18" ht="15" customHeight="1" x14ac:dyDescent="0.25">
      <c r="A1652" s="553">
        <v>18</v>
      </c>
      <c r="B1652" s="553">
        <v>9</v>
      </c>
      <c r="C1652" s="553">
        <v>2</v>
      </c>
      <c r="D1652" s="553">
        <v>21</v>
      </c>
      <c r="E1652" s="553">
        <v>1</v>
      </c>
      <c r="F1652" s="553">
        <v>1</v>
      </c>
      <c r="G1652" s="502" t="s">
        <v>476</v>
      </c>
      <c r="H1652" s="564">
        <v>1319.31</v>
      </c>
      <c r="I1652" s="553">
        <v>0</v>
      </c>
      <c r="J1652" s="553">
        <v>57</v>
      </c>
      <c r="K1652" s="553">
        <v>36</v>
      </c>
      <c r="L1652" s="553">
        <v>4</v>
      </c>
      <c r="M1652" s="505"/>
      <c r="N1652" s="500"/>
      <c r="O1652" s="553"/>
      <c r="P1652" s="650" t="s">
        <v>2297</v>
      </c>
      <c r="Q1652" s="564" t="s">
        <v>583</v>
      </c>
      <c r="R1652" s="564">
        <v>2</v>
      </c>
    </row>
    <row r="1653" spans="1:18" ht="15" customHeight="1" x14ac:dyDescent="0.25">
      <c r="A1653" s="553">
        <v>18</v>
      </c>
      <c r="B1653" s="553">
        <v>9</v>
      </c>
      <c r="C1653" s="553">
        <v>2</v>
      </c>
      <c r="D1653" s="553">
        <v>21</v>
      </c>
      <c r="E1653" s="553">
        <v>1</v>
      </c>
      <c r="F1653" s="553">
        <v>1</v>
      </c>
      <c r="G1653" s="553" t="s">
        <v>478</v>
      </c>
      <c r="H1653" s="553">
        <v>1322.0450000000001</v>
      </c>
      <c r="I1653" s="553">
        <v>1</v>
      </c>
      <c r="J1653" s="553">
        <v>3</v>
      </c>
      <c r="K1653" s="553">
        <v>58</v>
      </c>
      <c r="L1653" s="553">
        <v>4</v>
      </c>
      <c r="M1653" s="505"/>
      <c r="N1653" s="500"/>
      <c r="O1653" s="553"/>
      <c r="P1653" s="650" t="s">
        <v>2298</v>
      </c>
      <c r="Q1653" s="564" t="s">
        <v>583</v>
      </c>
      <c r="R1653" s="564">
        <v>2</v>
      </c>
    </row>
    <row r="1654" spans="1:18" ht="15" customHeight="1" x14ac:dyDescent="0.25">
      <c r="A1654" s="553">
        <v>18</v>
      </c>
      <c r="B1654" s="553">
        <v>9</v>
      </c>
      <c r="C1654" s="553">
        <v>2</v>
      </c>
      <c r="D1654" s="553">
        <v>21</v>
      </c>
      <c r="E1654" s="553">
        <v>1</v>
      </c>
      <c r="F1654" s="553">
        <v>1</v>
      </c>
      <c r="G1654" s="553" t="s">
        <v>484</v>
      </c>
      <c r="H1654" s="553">
        <v>1322.0450000000001</v>
      </c>
      <c r="I1654" s="553">
        <v>1</v>
      </c>
      <c r="J1654" s="553">
        <v>3</v>
      </c>
      <c r="K1654" s="553">
        <v>58</v>
      </c>
      <c r="L1654" s="553">
        <v>4</v>
      </c>
      <c r="M1654" s="505"/>
      <c r="N1654" s="500"/>
      <c r="O1654" s="553"/>
      <c r="P1654" s="650" t="s">
        <v>2299</v>
      </c>
      <c r="Q1654" s="564" t="s">
        <v>583</v>
      </c>
      <c r="R1654" s="564">
        <v>2</v>
      </c>
    </row>
    <row r="1655" spans="1:18" ht="15" customHeight="1" x14ac:dyDescent="0.25">
      <c r="A1655" s="553">
        <v>18</v>
      </c>
      <c r="B1655" s="553">
        <v>9</v>
      </c>
      <c r="C1655" s="553">
        <v>2</v>
      </c>
      <c r="D1655" s="553">
        <v>21</v>
      </c>
      <c r="E1655" s="553">
        <v>1</v>
      </c>
      <c r="F1655" s="553">
        <v>1</v>
      </c>
      <c r="G1655" s="553" t="s">
        <v>486</v>
      </c>
      <c r="H1655" s="553">
        <v>1319.2349999999999</v>
      </c>
      <c r="I1655" s="553">
        <v>0</v>
      </c>
      <c r="J1655" s="553">
        <v>2</v>
      </c>
      <c r="K1655" s="553">
        <v>23</v>
      </c>
      <c r="L1655" s="553">
        <v>4</v>
      </c>
      <c r="M1655" s="505"/>
      <c r="N1655" s="500"/>
      <c r="O1655" s="553"/>
      <c r="P1655" s="650" t="s">
        <v>2300</v>
      </c>
      <c r="Q1655" s="564" t="s">
        <v>583</v>
      </c>
      <c r="R1655" s="564">
        <v>2</v>
      </c>
    </row>
    <row r="1656" spans="1:18" ht="15" customHeight="1" x14ac:dyDescent="0.25">
      <c r="A1656" s="553">
        <v>18</v>
      </c>
      <c r="B1656" s="553">
        <v>9</v>
      </c>
      <c r="C1656" s="553">
        <v>2</v>
      </c>
      <c r="D1656" s="553">
        <v>21</v>
      </c>
      <c r="E1656" s="553">
        <v>1</v>
      </c>
      <c r="F1656" s="553">
        <v>1</v>
      </c>
      <c r="G1656" s="502" t="s">
        <v>488</v>
      </c>
      <c r="H1656" s="553">
        <v>1319.2349999999999</v>
      </c>
      <c r="I1656" s="553">
        <v>0</v>
      </c>
      <c r="J1656" s="553">
        <v>2</v>
      </c>
      <c r="K1656" s="553">
        <v>23</v>
      </c>
      <c r="L1656" s="553">
        <v>4</v>
      </c>
      <c r="M1656" s="505"/>
      <c r="N1656" s="500"/>
      <c r="O1656" s="553"/>
      <c r="P1656" s="650" t="s">
        <v>2301</v>
      </c>
      <c r="Q1656" s="564" t="s">
        <v>583</v>
      </c>
      <c r="R1656" s="564">
        <v>2</v>
      </c>
    </row>
    <row r="1657" spans="1:18" ht="15" customHeight="1" x14ac:dyDescent="0.25">
      <c r="A1657" s="553">
        <v>18</v>
      </c>
      <c r="B1657" s="553">
        <v>9</v>
      </c>
      <c r="C1657" s="553">
        <v>2</v>
      </c>
      <c r="D1657" s="553">
        <v>21</v>
      </c>
      <c r="E1657" s="553">
        <v>1</v>
      </c>
      <c r="F1657" s="553">
        <v>1</v>
      </c>
      <c r="G1657" s="553" t="s">
        <v>490</v>
      </c>
      <c r="H1657" s="553">
        <v>1330.595</v>
      </c>
      <c r="I1657" s="553">
        <v>0</v>
      </c>
      <c r="J1657" s="553">
        <v>3</v>
      </c>
      <c r="K1657" s="553">
        <v>52</v>
      </c>
      <c r="L1657" s="553">
        <v>4</v>
      </c>
      <c r="M1657" s="505"/>
      <c r="N1657" s="500"/>
      <c r="O1657" s="553"/>
      <c r="P1657" s="650" t="s">
        <v>2302</v>
      </c>
      <c r="Q1657" s="564" t="s">
        <v>583</v>
      </c>
      <c r="R1657" s="564">
        <v>2</v>
      </c>
    </row>
    <row r="1658" spans="1:18" ht="15" customHeight="1" x14ac:dyDescent="0.25">
      <c r="A1658" s="553">
        <v>18</v>
      </c>
      <c r="B1658" s="553">
        <v>9</v>
      </c>
      <c r="C1658" s="553">
        <v>2</v>
      </c>
      <c r="D1658" s="553">
        <v>21</v>
      </c>
      <c r="E1658" s="553">
        <v>1</v>
      </c>
      <c r="F1658" s="553">
        <v>1</v>
      </c>
      <c r="G1658" s="553" t="s">
        <v>493</v>
      </c>
      <c r="H1658" s="553">
        <v>1330.595</v>
      </c>
      <c r="I1658" s="553">
        <v>0</v>
      </c>
      <c r="J1658" s="553">
        <v>3</v>
      </c>
      <c r="K1658" s="553">
        <v>52</v>
      </c>
      <c r="L1658" s="553">
        <v>4</v>
      </c>
      <c r="M1658" s="505"/>
      <c r="N1658" s="500"/>
      <c r="O1658" s="553"/>
      <c r="P1658" s="650" t="s">
        <v>2303</v>
      </c>
      <c r="Q1658" s="564" t="s">
        <v>583</v>
      </c>
      <c r="R1658" s="564">
        <v>2</v>
      </c>
    </row>
    <row r="1659" spans="1:18" ht="15" customHeight="1" x14ac:dyDescent="0.25">
      <c r="A1659" s="553">
        <v>18</v>
      </c>
      <c r="B1659" s="553">
        <v>9</v>
      </c>
      <c r="C1659" s="553">
        <v>2</v>
      </c>
      <c r="D1659" s="553">
        <v>21</v>
      </c>
      <c r="E1659" s="553">
        <v>1</v>
      </c>
      <c r="F1659" s="553">
        <v>1</v>
      </c>
      <c r="G1659" s="553" t="s">
        <v>474</v>
      </c>
      <c r="H1659" s="553">
        <v>1601.17</v>
      </c>
      <c r="I1659" s="553">
        <v>89</v>
      </c>
      <c r="J1659" s="553">
        <v>23</v>
      </c>
      <c r="K1659" s="553">
        <v>20</v>
      </c>
      <c r="L1659" s="553">
        <v>3</v>
      </c>
      <c r="M1659" s="505"/>
      <c r="N1659" s="500"/>
      <c r="O1659" s="553"/>
      <c r="P1659" s="650" t="s">
        <v>2304</v>
      </c>
      <c r="Q1659" s="564" t="s">
        <v>583</v>
      </c>
      <c r="R1659" s="564">
        <v>2</v>
      </c>
    </row>
    <row r="1660" spans="1:18" ht="15" customHeight="1" x14ac:dyDescent="0.25">
      <c r="A1660" s="553">
        <v>18</v>
      </c>
      <c r="B1660" s="553">
        <v>9</v>
      </c>
      <c r="C1660" s="553">
        <v>2</v>
      </c>
      <c r="D1660" s="553">
        <v>21</v>
      </c>
      <c r="E1660" s="553">
        <v>1</v>
      </c>
      <c r="F1660" s="553">
        <v>1</v>
      </c>
      <c r="G1660" s="502" t="s">
        <v>477</v>
      </c>
      <c r="H1660" s="553">
        <v>1601.17</v>
      </c>
      <c r="I1660" s="553">
        <v>89</v>
      </c>
      <c r="J1660" s="553">
        <v>23</v>
      </c>
      <c r="K1660" s="553">
        <v>20</v>
      </c>
      <c r="L1660" s="553">
        <v>3</v>
      </c>
      <c r="M1660" s="505"/>
      <c r="N1660" s="500"/>
      <c r="O1660" s="553"/>
      <c r="P1660" s="650" t="s">
        <v>2305</v>
      </c>
      <c r="Q1660" s="564" t="s">
        <v>583</v>
      </c>
      <c r="R1660" s="564">
        <v>2</v>
      </c>
    </row>
    <row r="1661" spans="1:18" ht="15" customHeight="1" x14ac:dyDescent="0.25">
      <c r="A1661" s="553">
        <v>18</v>
      </c>
      <c r="B1661" s="553">
        <v>9</v>
      </c>
      <c r="C1661" s="553">
        <v>2</v>
      </c>
      <c r="D1661" s="553">
        <v>21</v>
      </c>
      <c r="E1661" s="553">
        <v>1</v>
      </c>
      <c r="F1661" s="553">
        <v>1</v>
      </c>
      <c r="G1661" s="553" t="s">
        <v>479</v>
      </c>
      <c r="H1661" s="553">
        <v>1318.095</v>
      </c>
      <c r="I1661" s="553">
        <v>89</v>
      </c>
      <c r="J1661" s="553">
        <v>59</v>
      </c>
      <c r="K1661" s="553">
        <v>52</v>
      </c>
      <c r="L1661" s="553">
        <v>3</v>
      </c>
      <c r="M1661" s="505"/>
      <c r="N1661" s="500"/>
      <c r="O1661" s="553"/>
      <c r="P1661" s="650" t="s">
        <v>2306</v>
      </c>
      <c r="Q1661" s="564" t="s">
        <v>583</v>
      </c>
      <c r="R1661" s="564">
        <v>2</v>
      </c>
    </row>
    <row r="1662" spans="1:18" ht="15" customHeight="1" x14ac:dyDescent="0.25">
      <c r="A1662" s="553">
        <v>18</v>
      </c>
      <c r="B1662" s="553">
        <v>9</v>
      </c>
      <c r="C1662" s="553">
        <v>2</v>
      </c>
      <c r="D1662" s="553">
        <v>21</v>
      </c>
      <c r="E1662" s="553">
        <v>1</v>
      </c>
      <c r="F1662" s="553">
        <v>1</v>
      </c>
      <c r="G1662" s="553" t="s">
        <v>485</v>
      </c>
      <c r="H1662" s="553">
        <v>1318.095</v>
      </c>
      <c r="I1662" s="553">
        <v>89</v>
      </c>
      <c r="J1662" s="553">
        <v>59</v>
      </c>
      <c r="K1662" s="553">
        <v>52</v>
      </c>
      <c r="L1662" s="553">
        <v>3</v>
      </c>
      <c r="M1662" s="505"/>
      <c r="N1662" s="500"/>
      <c r="O1662" s="553"/>
      <c r="P1662" s="650" t="s">
        <v>2307</v>
      </c>
      <c r="Q1662" s="564" t="s">
        <v>583</v>
      </c>
      <c r="R1662" s="564">
        <v>2</v>
      </c>
    </row>
    <row r="1663" spans="1:18" ht="15" customHeight="1" x14ac:dyDescent="0.25">
      <c r="A1663" s="553">
        <v>18</v>
      </c>
      <c r="B1663" s="553">
        <v>9</v>
      </c>
      <c r="C1663" s="553">
        <v>2</v>
      </c>
      <c r="D1663" s="553">
        <v>21</v>
      </c>
      <c r="E1663" s="553">
        <v>1</v>
      </c>
      <c r="F1663" s="553">
        <v>1</v>
      </c>
      <c r="G1663" s="553" t="s">
        <v>487</v>
      </c>
      <c r="H1663" s="553">
        <v>1300</v>
      </c>
      <c r="I1663" s="553">
        <v>88</v>
      </c>
      <c r="J1663" s="553">
        <v>30</v>
      </c>
      <c r="K1663" s="553">
        <v>42</v>
      </c>
      <c r="L1663" s="553">
        <v>3</v>
      </c>
      <c r="M1663" s="505"/>
      <c r="N1663" s="500"/>
      <c r="O1663" s="553"/>
      <c r="P1663" s="650" t="s">
        <v>2308</v>
      </c>
      <c r="Q1663" s="564" t="s">
        <v>583</v>
      </c>
      <c r="R1663" s="564">
        <v>2</v>
      </c>
    </row>
    <row r="1664" spans="1:18" ht="15" customHeight="1" x14ac:dyDescent="0.25">
      <c r="A1664" s="553">
        <v>18</v>
      </c>
      <c r="B1664" s="553">
        <v>9</v>
      </c>
      <c r="C1664" s="553">
        <v>2</v>
      </c>
      <c r="D1664" s="553">
        <v>21</v>
      </c>
      <c r="E1664" s="553">
        <v>1</v>
      </c>
      <c r="F1664" s="553">
        <v>1</v>
      </c>
      <c r="G1664" s="502" t="s">
        <v>489</v>
      </c>
      <c r="H1664" s="553">
        <v>1300</v>
      </c>
      <c r="I1664" s="553">
        <v>88</v>
      </c>
      <c r="J1664" s="553">
        <v>30</v>
      </c>
      <c r="K1664" s="553">
        <v>42</v>
      </c>
      <c r="L1664" s="553">
        <v>3</v>
      </c>
      <c r="M1664" s="505"/>
      <c r="N1664" s="500"/>
      <c r="O1664" s="553"/>
      <c r="P1664" s="650" t="s">
        <v>2309</v>
      </c>
      <c r="Q1664" s="564" t="s">
        <v>583</v>
      </c>
      <c r="R1664" s="564">
        <v>2</v>
      </c>
    </row>
    <row r="1665" spans="1:18" ht="15" customHeight="1" x14ac:dyDescent="0.25">
      <c r="A1665" s="553">
        <v>18</v>
      </c>
      <c r="B1665" s="553">
        <v>9</v>
      </c>
      <c r="C1665" s="553">
        <v>2</v>
      </c>
      <c r="D1665" s="553">
        <v>21</v>
      </c>
      <c r="E1665" s="553">
        <v>1</v>
      </c>
      <c r="F1665" s="553">
        <v>1</v>
      </c>
      <c r="G1665" s="553" t="s">
        <v>491</v>
      </c>
      <c r="H1665" s="553">
        <v>1319.94</v>
      </c>
      <c r="I1665" s="553">
        <v>89</v>
      </c>
      <c r="J1665" s="553">
        <v>15</v>
      </c>
      <c r="K1665" s="553">
        <v>49</v>
      </c>
      <c r="L1665" s="553">
        <v>3</v>
      </c>
      <c r="M1665" s="505"/>
      <c r="N1665" s="500"/>
      <c r="O1665" s="553"/>
      <c r="P1665" s="650" t="s">
        <v>2310</v>
      </c>
      <c r="Q1665" s="564" t="s">
        <v>583</v>
      </c>
      <c r="R1665" s="564">
        <v>2</v>
      </c>
    </row>
    <row r="1666" spans="1:18" ht="15" customHeight="1" x14ac:dyDescent="0.25">
      <c r="A1666" s="553">
        <v>18</v>
      </c>
      <c r="B1666" s="553">
        <v>9</v>
      </c>
      <c r="C1666" s="553">
        <v>2</v>
      </c>
      <c r="D1666" s="553">
        <v>21</v>
      </c>
      <c r="E1666" s="553">
        <v>1</v>
      </c>
      <c r="F1666" s="553">
        <v>1</v>
      </c>
      <c r="G1666" s="553" t="s">
        <v>494</v>
      </c>
      <c r="H1666" s="553">
        <v>1317.53</v>
      </c>
      <c r="I1666" s="553">
        <v>89</v>
      </c>
      <c r="J1666" s="553">
        <v>16</v>
      </c>
      <c r="K1666" s="553">
        <v>41</v>
      </c>
      <c r="L1666" s="553">
        <v>3</v>
      </c>
      <c r="M1666" s="505"/>
      <c r="N1666" s="500"/>
      <c r="O1666" s="553"/>
      <c r="P1666" s="650" t="s">
        <v>2311</v>
      </c>
      <c r="Q1666" s="564" t="s">
        <v>583</v>
      </c>
      <c r="R1666" s="564">
        <v>2</v>
      </c>
    </row>
    <row r="1667" spans="1:18" ht="15" customHeight="1" x14ac:dyDescent="0.25">
      <c r="A1667" s="553">
        <v>18</v>
      </c>
      <c r="B1667" s="553">
        <v>2</v>
      </c>
      <c r="C1667" s="553">
        <v>2</v>
      </c>
      <c r="D1667" s="553">
        <v>1</v>
      </c>
      <c r="E1667" s="553">
        <v>1</v>
      </c>
      <c r="F1667" s="553">
        <v>2</v>
      </c>
      <c r="G1667" s="553" t="s">
        <v>473</v>
      </c>
      <c r="H1667" s="553">
        <v>1315.03</v>
      </c>
      <c r="I1667" s="553">
        <v>0</v>
      </c>
      <c r="J1667" s="553">
        <v>6</v>
      </c>
      <c r="K1667" s="553">
        <v>49</v>
      </c>
      <c r="L1667" s="553">
        <v>4</v>
      </c>
      <c r="M1667" s="505" t="s">
        <v>137</v>
      </c>
      <c r="N1667" s="500">
        <v>43047530760000</v>
      </c>
      <c r="O1667" s="553" t="s">
        <v>2312</v>
      </c>
      <c r="P1667" s="650" t="s">
        <v>2313</v>
      </c>
      <c r="Q1667" s="564" t="s">
        <v>583</v>
      </c>
      <c r="R1667" s="564">
        <v>1</v>
      </c>
    </row>
    <row r="1668" spans="1:18" ht="15" customHeight="1" x14ac:dyDescent="0.25">
      <c r="A1668" s="553">
        <v>18</v>
      </c>
      <c r="B1668" s="553">
        <v>2</v>
      </c>
      <c r="C1668" s="553">
        <v>2</v>
      </c>
      <c r="D1668" s="553">
        <v>1</v>
      </c>
      <c r="E1668" s="553">
        <v>1</v>
      </c>
      <c r="F1668" s="553">
        <v>2</v>
      </c>
      <c r="G1668" s="502" t="s">
        <v>476</v>
      </c>
      <c r="H1668" s="553">
        <v>1316.4</v>
      </c>
      <c r="I1668" s="553">
        <v>0</v>
      </c>
      <c r="J1668" s="553">
        <v>7</v>
      </c>
      <c r="K1668" s="553">
        <v>23</v>
      </c>
      <c r="L1668" s="553">
        <v>4</v>
      </c>
      <c r="M1668" s="505" t="s">
        <v>137</v>
      </c>
      <c r="N1668" s="500">
        <v>43047530760000</v>
      </c>
      <c r="O1668" s="553" t="s">
        <v>2312</v>
      </c>
      <c r="P1668" s="650" t="s">
        <v>2314</v>
      </c>
      <c r="Q1668" s="564" t="s">
        <v>583</v>
      </c>
      <c r="R1668" s="564">
        <v>1</v>
      </c>
    </row>
    <row r="1669" spans="1:18" ht="15" customHeight="1" x14ac:dyDescent="0.25">
      <c r="A1669" s="553">
        <v>18</v>
      </c>
      <c r="B1669" s="553">
        <v>2</v>
      </c>
      <c r="C1669" s="553">
        <v>2</v>
      </c>
      <c r="D1669" s="553">
        <v>1</v>
      </c>
      <c r="E1669" s="553">
        <v>1</v>
      </c>
      <c r="F1669" s="553">
        <v>2</v>
      </c>
      <c r="G1669" s="553" t="s">
        <v>478</v>
      </c>
      <c r="H1669" s="553">
        <v>1321.99</v>
      </c>
      <c r="I1669" s="553">
        <v>0</v>
      </c>
      <c r="J1669" s="553">
        <v>6</v>
      </c>
      <c r="K1669" s="553">
        <v>3</v>
      </c>
      <c r="L1669" s="553">
        <v>4</v>
      </c>
      <c r="M1669" s="505" t="s">
        <v>137</v>
      </c>
      <c r="N1669" s="500">
        <v>43047530760000</v>
      </c>
      <c r="O1669" s="553" t="s">
        <v>2312</v>
      </c>
      <c r="P1669" s="650" t="s">
        <v>2315</v>
      </c>
      <c r="Q1669" s="564" t="s">
        <v>583</v>
      </c>
      <c r="R1669" s="564">
        <v>1</v>
      </c>
    </row>
    <row r="1670" spans="1:18" ht="15" customHeight="1" x14ac:dyDescent="0.25">
      <c r="A1670" s="553">
        <v>18</v>
      </c>
      <c r="B1670" s="553">
        <v>2</v>
      </c>
      <c r="C1670" s="553">
        <v>2</v>
      </c>
      <c r="D1670" s="553">
        <v>1</v>
      </c>
      <c r="E1670" s="553">
        <v>1</v>
      </c>
      <c r="F1670" s="553">
        <v>2</v>
      </c>
      <c r="G1670" s="553" t="s">
        <v>484</v>
      </c>
      <c r="H1670" s="553">
        <v>1328.2</v>
      </c>
      <c r="I1670" s="553">
        <v>0</v>
      </c>
      <c r="J1670" s="553">
        <v>6</v>
      </c>
      <c r="K1670" s="553">
        <v>32</v>
      </c>
      <c r="L1670" s="553">
        <v>4</v>
      </c>
      <c r="M1670" s="505" t="s">
        <v>137</v>
      </c>
      <c r="N1670" s="500">
        <v>43047530760000</v>
      </c>
      <c r="O1670" s="553" t="s">
        <v>2312</v>
      </c>
      <c r="P1670" s="650" t="s">
        <v>2316</v>
      </c>
      <c r="Q1670" s="564" t="s">
        <v>583</v>
      </c>
      <c r="R1670" s="564">
        <v>1</v>
      </c>
    </row>
    <row r="1671" spans="1:18" ht="15" customHeight="1" x14ac:dyDescent="0.25">
      <c r="A1671" s="553">
        <v>18</v>
      </c>
      <c r="B1671" s="553">
        <v>2</v>
      </c>
      <c r="C1671" s="553">
        <v>2</v>
      </c>
      <c r="D1671" s="553">
        <v>1</v>
      </c>
      <c r="E1671" s="553">
        <v>1</v>
      </c>
      <c r="F1671" s="553">
        <v>2</v>
      </c>
      <c r="G1671" s="553" t="s">
        <v>486</v>
      </c>
      <c r="H1671" s="553">
        <v>1316.96</v>
      </c>
      <c r="I1671" s="553">
        <v>0</v>
      </c>
      <c r="J1671" s="553">
        <v>7</v>
      </c>
      <c r="K1671" s="553">
        <v>5</v>
      </c>
      <c r="L1671" s="553">
        <v>3</v>
      </c>
      <c r="M1671" s="505" t="s">
        <v>137</v>
      </c>
      <c r="N1671" s="500">
        <v>43047530760000</v>
      </c>
      <c r="O1671" s="553" t="s">
        <v>2312</v>
      </c>
      <c r="P1671" s="650" t="s">
        <v>2317</v>
      </c>
      <c r="Q1671" s="564" t="s">
        <v>583</v>
      </c>
      <c r="R1671" s="564">
        <v>1</v>
      </c>
    </row>
    <row r="1672" spans="1:18" ht="15" customHeight="1" x14ac:dyDescent="0.25">
      <c r="A1672" s="553">
        <v>18</v>
      </c>
      <c r="B1672" s="553">
        <v>2</v>
      </c>
      <c r="C1672" s="553">
        <v>2</v>
      </c>
      <c r="D1672" s="553">
        <v>1</v>
      </c>
      <c r="E1672" s="553">
        <v>1</v>
      </c>
      <c r="F1672" s="553">
        <v>2</v>
      </c>
      <c r="G1672" s="502" t="s">
        <v>488</v>
      </c>
      <c r="H1672" s="553">
        <v>1316.96</v>
      </c>
      <c r="I1672" s="553">
        <v>0</v>
      </c>
      <c r="J1672" s="553">
        <v>7</v>
      </c>
      <c r="K1672" s="553">
        <v>5</v>
      </c>
      <c r="L1672" s="553">
        <v>3</v>
      </c>
      <c r="M1672" s="505" t="s">
        <v>137</v>
      </c>
      <c r="N1672" s="500">
        <v>43047530760000</v>
      </c>
      <c r="O1672" s="553" t="s">
        <v>2312</v>
      </c>
      <c r="P1672" s="650" t="s">
        <v>2318</v>
      </c>
      <c r="Q1672" s="564" t="s">
        <v>583</v>
      </c>
      <c r="R1672" s="564">
        <v>1</v>
      </c>
    </row>
    <row r="1673" spans="1:18" ht="15" customHeight="1" x14ac:dyDescent="0.25">
      <c r="A1673" s="553">
        <v>18</v>
      </c>
      <c r="B1673" s="553">
        <v>2</v>
      </c>
      <c r="C1673" s="553">
        <v>2</v>
      </c>
      <c r="D1673" s="553">
        <v>1</v>
      </c>
      <c r="E1673" s="553">
        <v>1</v>
      </c>
      <c r="F1673" s="553">
        <v>2</v>
      </c>
      <c r="G1673" s="553" t="s">
        <v>490</v>
      </c>
      <c r="H1673" s="553">
        <v>1320.06</v>
      </c>
      <c r="I1673" s="553">
        <v>0</v>
      </c>
      <c r="J1673" s="553">
        <v>7</v>
      </c>
      <c r="K1673" s="553">
        <v>42</v>
      </c>
      <c r="L1673" s="553">
        <v>1</v>
      </c>
      <c r="M1673" s="505" t="s">
        <v>137</v>
      </c>
      <c r="N1673" s="500">
        <v>43047530760000</v>
      </c>
      <c r="O1673" s="553" t="s">
        <v>2312</v>
      </c>
      <c r="P1673" s="650" t="s">
        <v>2319</v>
      </c>
      <c r="Q1673" s="564" t="s">
        <v>583</v>
      </c>
      <c r="R1673" s="564">
        <v>1</v>
      </c>
    </row>
    <row r="1674" spans="1:18" ht="15" customHeight="1" x14ac:dyDescent="0.25">
      <c r="A1674" s="553">
        <v>18</v>
      </c>
      <c r="B1674" s="553">
        <v>2</v>
      </c>
      <c r="C1674" s="553">
        <v>2</v>
      </c>
      <c r="D1674" s="553">
        <v>1</v>
      </c>
      <c r="E1674" s="553">
        <v>1</v>
      </c>
      <c r="F1674" s="553">
        <v>2</v>
      </c>
      <c r="G1674" s="553" t="s">
        <v>493</v>
      </c>
      <c r="H1674" s="553">
        <v>1320.06</v>
      </c>
      <c r="I1674" s="553">
        <v>0</v>
      </c>
      <c r="J1674" s="553">
        <v>7</v>
      </c>
      <c r="K1674" s="553">
        <v>42</v>
      </c>
      <c r="L1674" s="553">
        <v>1</v>
      </c>
      <c r="M1674" s="505" t="s">
        <v>137</v>
      </c>
      <c r="N1674" s="500">
        <v>43047530760000</v>
      </c>
      <c r="O1674" s="553" t="s">
        <v>2312</v>
      </c>
      <c r="P1674" s="650" t="s">
        <v>2320</v>
      </c>
      <c r="Q1674" s="564" t="s">
        <v>583</v>
      </c>
      <c r="R1674" s="564">
        <v>1</v>
      </c>
    </row>
    <row r="1675" spans="1:18" ht="15" customHeight="1" x14ac:dyDescent="0.25">
      <c r="A1675" s="553">
        <v>18</v>
      </c>
      <c r="B1675" s="553">
        <v>2</v>
      </c>
      <c r="C1675" s="553">
        <v>2</v>
      </c>
      <c r="D1675" s="553">
        <v>1</v>
      </c>
      <c r="E1675" s="553">
        <v>1</v>
      </c>
      <c r="F1675" s="553">
        <v>2</v>
      </c>
      <c r="G1675" s="553" t="s">
        <v>474</v>
      </c>
      <c r="H1675" s="553">
        <v>1313.52</v>
      </c>
      <c r="I1675" s="553">
        <v>89</v>
      </c>
      <c r="J1675" s="553">
        <v>34</v>
      </c>
      <c r="K1675" s="553">
        <v>29</v>
      </c>
      <c r="L1675" s="553">
        <v>1</v>
      </c>
      <c r="M1675" s="505" t="s">
        <v>137</v>
      </c>
      <c r="N1675" s="500">
        <v>43047530760000</v>
      </c>
      <c r="O1675" s="553" t="s">
        <v>2312</v>
      </c>
      <c r="P1675" s="650" t="s">
        <v>2321</v>
      </c>
      <c r="Q1675" s="564" t="s">
        <v>583</v>
      </c>
      <c r="R1675" s="564">
        <v>1</v>
      </c>
    </row>
    <row r="1676" spans="1:18" ht="15" customHeight="1" x14ac:dyDescent="0.25">
      <c r="A1676" s="553">
        <v>18</v>
      </c>
      <c r="B1676" s="553">
        <v>2</v>
      </c>
      <c r="C1676" s="553">
        <v>2</v>
      </c>
      <c r="D1676" s="553">
        <v>1</v>
      </c>
      <c r="E1676" s="553">
        <v>1</v>
      </c>
      <c r="F1676" s="553">
        <v>2</v>
      </c>
      <c r="G1676" s="502" t="s">
        <v>477</v>
      </c>
      <c r="H1676" s="553">
        <v>1337.28</v>
      </c>
      <c r="I1676" s="553">
        <v>89</v>
      </c>
      <c r="J1676" s="553">
        <v>6</v>
      </c>
      <c r="K1676" s="553">
        <v>48</v>
      </c>
      <c r="L1676" s="553">
        <v>1</v>
      </c>
      <c r="M1676" s="505" t="s">
        <v>137</v>
      </c>
      <c r="N1676" s="500">
        <v>43047530760000</v>
      </c>
      <c r="O1676" s="553" t="s">
        <v>2312</v>
      </c>
      <c r="P1676" s="650" t="s">
        <v>2322</v>
      </c>
      <c r="Q1676" s="564" t="s">
        <v>583</v>
      </c>
      <c r="R1676" s="564">
        <v>1</v>
      </c>
    </row>
    <row r="1677" spans="1:18" ht="15" customHeight="1" x14ac:dyDescent="0.25">
      <c r="A1677" s="553">
        <v>18</v>
      </c>
      <c r="B1677" s="553">
        <v>2</v>
      </c>
      <c r="C1677" s="553">
        <v>2</v>
      </c>
      <c r="D1677" s="553">
        <v>1</v>
      </c>
      <c r="E1677" s="553">
        <v>1</v>
      </c>
      <c r="F1677" s="553">
        <v>2</v>
      </c>
      <c r="G1677" s="553" t="s">
        <v>479</v>
      </c>
      <c r="H1677" s="553">
        <v>1303.01</v>
      </c>
      <c r="I1677" s="553">
        <v>89</v>
      </c>
      <c r="J1677" s="553">
        <v>21</v>
      </c>
      <c r="K1677" s="553">
        <v>32</v>
      </c>
      <c r="L1677" s="553">
        <v>4</v>
      </c>
      <c r="M1677" s="505" t="s">
        <v>137</v>
      </c>
      <c r="N1677" s="500">
        <v>43047530760000</v>
      </c>
      <c r="O1677" s="553" t="s">
        <v>2312</v>
      </c>
      <c r="P1677" s="650" t="s">
        <v>2323</v>
      </c>
      <c r="Q1677" s="564" t="s">
        <v>583</v>
      </c>
      <c r="R1677" s="564">
        <v>1</v>
      </c>
    </row>
    <row r="1678" spans="1:18" ht="15" customHeight="1" x14ac:dyDescent="0.25">
      <c r="A1678" s="553">
        <v>18</v>
      </c>
      <c r="B1678" s="553">
        <v>2</v>
      </c>
      <c r="C1678" s="553">
        <v>2</v>
      </c>
      <c r="D1678" s="553">
        <v>1</v>
      </c>
      <c r="E1678" s="553">
        <v>1</v>
      </c>
      <c r="F1678" s="553">
        <v>2</v>
      </c>
      <c r="G1678" s="553" t="s">
        <v>485</v>
      </c>
      <c r="H1678" s="553">
        <v>1324.94</v>
      </c>
      <c r="I1678" s="553">
        <v>89</v>
      </c>
      <c r="J1678" s="553">
        <v>21</v>
      </c>
      <c r="K1678" s="553">
        <v>32</v>
      </c>
      <c r="L1678" s="553">
        <v>4</v>
      </c>
      <c r="M1678" s="505" t="s">
        <v>137</v>
      </c>
      <c r="N1678" s="500">
        <v>43047530760000</v>
      </c>
      <c r="O1678" s="553" t="s">
        <v>2312</v>
      </c>
      <c r="P1678" s="650" t="s">
        <v>2324</v>
      </c>
      <c r="Q1678" s="564" t="s">
        <v>583</v>
      </c>
      <c r="R1678" s="564">
        <v>1</v>
      </c>
    </row>
    <row r="1679" spans="1:18" ht="15" customHeight="1" x14ac:dyDescent="0.25">
      <c r="A1679" s="553">
        <v>18</v>
      </c>
      <c r="B1679" s="553">
        <v>2</v>
      </c>
      <c r="C1679" s="553">
        <v>2</v>
      </c>
      <c r="D1679" s="553">
        <v>1</v>
      </c>
      <c r="E1679" s="553">
        <v>1</v>
      </c>
      <c r="F1679" s="553">
        <v>2</v>
      </c>
      <c r="G1679" s="553" t="s">
        <v>487</v>
      </c>
      <c r="H1679" s="553">
        <v>1312.8150000000001</v>
      </c>
      <c r="I1679" s="553">
        <v>89</v>
      </c>
      <c r="J1679" s="553">
        <v>27</v>
      </c>
      <c r="K1679" s="553">
        <v>23</v>
      </c>
      <c r="L1679" s="553">
        <v>4</v>
      </c>
      <c r="M1679" s="505" t="s">
        <v>137</v>
      </c>
      <c r="N1679" s="500">
        <v>43047530760000</v>
      </c>
      <c r="O1679" s="553" t="s">
        <v>2312</v>
      </c>
      <c r="P1679" s="650" t="s">
        <v>2325</v>
      </c>
      <c r="Q1679" s="564" t="s">
        <v>583</v>
      </c>
      <c r="R1679" s="564">
        <v>1</v>
      </c>
    </row>
    <row r="1680" spans="1:18" ht="15" customHeight="1" x14ac:dyDescent="0.25">
      <c r="A1680" s="508">
        <v>18</v>
      </c>
      <c r="B1680" s="508">
        <v>2</v>
      </c>
      <c r="C1680" s="508">
        <v>2</v>
      </c>
      <c r="D1680" s="508">
        <v>1</v>
      </c>
      <c r="E1680" s="508">
        <v>1</v>
      </c>
      <c r="F1680" s="508">
        <v>2</v>
      </c>
      <c r="G1680" s="509" t="s">
        <v>489</v>
      </c>
      <c r="H1680" s="508">
        <v>1312.8150000000001</v>
      </c>
      <c r="I1680" s="508">
        <v>89</v>
      </c>
      <c r="J1680" s="508">
        <v>27</v>
      </c>
      <c r="K1680" s="508">
        <v>23</v>
      </c>
      <c r="L1680" s="508">
        <v>4</v>
      </c>
      <c r="M1680" s="557" t="s">
        <v>137</v>
      </c>
      <c r="N1680" s="510">
        <v>43047530760000</v>
      </c>
      <c r="O1680" s="508" t="s">
        <v>2312</v>
      </c>
      <c r="P1680" s="650" t="s">
        <v>2326</v>
      </c>
      <c r="Q1680" s="564" t="s">
        <v>583</v>
      </c>
      <c r="R1680" s="564">
        <v>1</v>
      </c>
    </row>
    <row r="1681" spans="1:18" ht="15" customHeight="1" x14ac:dyDescent="0.25">
      <c r="A1681" s="508">
        <v>18</v>
      </c>
      <c r="B1681" s="508">
        <v>2</v>
      </c>
      <c r="C1681" s="508">
        <v>2</v>
      </c>
      <c r="D1681" s="508">
        <v>1</v>
      </c>
      <c r="E1681" s="508">
        <v>1</v>
      </c>
      <c r="F1681" s="508">
        <v>2</v>
      </c>
      <c r="G1681" s="508" t="s">
        <v>491</v>
      </c>
      <c r="H1681" s="508">
        <v>1323.22</v>
      </c>
      <c r="I1681" s="508">
        <v>89</v>
      </c>
      <c r="J1681" s="508">
        <v>24</v>
      </c>
      <c r="K1681" s="508">
        <v>25</v>
      </c>
      <c r="L1681" s="508">
        <v>4</v>
      </c>
      <c r="M1681" s="557" t="s">
        <v>137</v>
      </c>
      <c r="N1681" s="510">
        <v>43047530760000</v>
      </c>
      <c r="O1681" s="508" t="s">
        <v>2312</v>
      </c>
      <c r="P1681" s="650" t="s">
        <v>2327</v>
      </c>
      <c r="Q1681" s="564" t="s">
        <v>583</v>
      </c>
      <c r="R1681" s="564">
        <v>1</v>
      </c>
    </row>
    <row r="1682" spans="1:18" ht="15" customHeight="1" x14ac:dyDescent="0.25">
      <c r="A1682" s="508">
        <v>18</v>
      </c>
      <c r="B1682" s="508">
        <v>2</v>
      </c>
      <c r="C1682" s="508">
        <v>2</v>
      </c>
      <c r="D1682" s="508">
        <v>1</v>
      </c>
      <c r="E1682" s="508">
        <v>1</v>
      </c>
      <c r="F1682" s="508">
        <v>2</v>
      </c>
      <c r="G1682" s="508" t="s">
        <v>494</v>
      </c>
      <c r="H1682" s="508">
        <v>1319.99</v>
      </c>
      <c r="I1682" s="508">
        <v>89</v>
      </c>
      <c r="J1682" s="508">
        <v>24</v>
      </c>
      <c r="K1682" s="508">
        <v>25</v>
      </c>
      <c r="L1682" s="508">
        <v>4</v>
      </c>
      <c r="M1682" s="557" t="s">
        <v>137</v>
      </c>
      <c r="N1682" s="510">
        <v>43047530760000</v>
      </c>
      <c r="O1682" s="508" t="s">
        <v>2312</v>
      </c>
      <c r="P1682" s="650" t="s">
        <v>2328</v>
      </c>
      <c r="Q1682" s="564" t="s">
        <v>583</v>
      </c>
      <c r="R1682" s="564">
        <v>1</v>
      </c>
    </row>
    <row r="1683" spans="1:18" ht="15" customHeight="1" x14ac:dyDescent="0.25">
      <c r="A1683" s="553">
        <v>18</v>
      </c>
      <c r="B1683" s="553">
        <v>2</v>
      </c>
      <c r="C1683" s="553">
        <v>2</v>
      </c>
      <c r="D1683" s="553">
        <v>3</v>
      </c>
      <c r="E1683" s="553">
        <v>2</v>
      </c>
      <c r="F1683" s="553">
        <v>2</v>
      </c>
      <c r="G1683" s="553" t="s">
        <v>473</v>
      </c>
      <c r="H1683" s="553">
        <v>1344.13</v>
      </c>
      <c r="I1683" s="553">
        <v>0</v>
      </c>
      <c r="J1683" s="553">
        <v>0</v>
      </c>
      <c r="K1683" s="553">
        <v>44</v>
      </c>
      <c r="L1683" s="553">
        <v>2</v>
      </c>
      <c r="M1683" s="505" t="s">
        <v>137</v>
      </c>
      <c r="N1683" s="500">
        <v>43013538780000</v>
      </c>
      <c r="O1683" s="553" t="s">
        <v>2196</v>
      </c>
      <c r="P1683" s="650" t="s">
        <v>2329</v>
      </c>
      <c r="Q1683" s="564" t="s">
        <v>583</v>
      </c>
      <c r="R1683" s="564">
        <v>2</v>
      </c>
    </row>
    <row r="1684" spans="1:18" ht="15" customHeight="1" x14ac:dyDescent="0.25">
      <c r="A1684" s="553">
        <v>18</v>
      </c>
      <c r="B1684" s="553">
        <v>2</v>
      </c>
      <c r="C1684" s="553">
        <v>2</v>
      </c>
      <c r="D1684" s="553">
        <v>3</v>
      </c>
      <c r="E1684" s="553">
        <v>2</v>
      </c>
      <c r="F1684" s="553">
        <v>2</v>
      </c>
      <c r="G1684" s="502" t="s">
        <v>476</v>
      </c>
      <c r="H1684" s="553">
        <v>1344.13</v>
      </c>
      <c r="I1684" s="553">
        <v>0</v>
      </c>
      <c r="J1684" s="553">
        <v>0</v>
      </c>
      <c r="K1684" s="553">
        <v>44</v>
      </c>
      <c r="L1684" s="553">
        <v>2</v>
      </c>
      <c r="M1684" s="505" t="s">
        <v>137</v>
      </c>
      <c r="N1684" s="500">
        <v>43013538780000</v>
      </c>
      <c r="O1684" s="553" t="s">
        <v>2196</v>
      </c>
      <c r="P1684" s="650" t="s">
        <v>2330</v>
      </c>
      <c r="Q1684" s="564" t="s">
        <v>583</v>
      </c>
      <c r="R1684" s="564">
        <v>2</v>
      </c>
    </row>
    <row r="1685" spans="1:18" ht="15" customHeight="1" x14ac:dyDescent="0.25">
      <c r="A1685" s="553">
        <v>18</v>
      </c>
      <c r="B1685" s="553">
        <v>2</v>
      </c>
      <c r="C1685" s="553">
        <v>2</v>
      </c>
      <c r="D1685" s="553">
        <v>3</v>
      </c>
      <c r="E1685" s="553">
        <v>2</v>
      </c>
      <c r="F1685" s="553">
        <v>2</v>
      </c>
      <c r="G1685" s="553" t="s">
        <v>478</v>
      </c>
      <c r="H1685" s="553">
        <v>1320</v>
      </c>
      <c r="I1685" s="553">
        <v>0</v>
      </c>
      <c r="J1685" s="553">
        <v>0</v>
      </c>
      <c r="K1685" s="553">
        <v>0</v>
      </c>
      <c r="L1685" s="553">
        <v>2</v>
      </c>
      <c r="M1685" s="505" t="s">
        <v>137</v>
      </c>
      <c r="N1685" s="500">
        <v>43013538780000</v>
      </c>
      <c r="O1685" s="553" t="s">
        <v>2196</v>
      </c>
      <c r="P1685" s="650" t="s">
        <v>2331</v>
      </c>
      <c r="Q1685" s="564" t="s">
        <v>583</v>
      </c>
      <c r="R1685" s="564">
        <v>2</v>
      </c>
    </row>
    <row r="1686" spans="1:18" ht="15" customHeight="1" x14ac:dyDescent="0.25">
      <c r="A1686" s="553">
        <v>18</v>
      </c>
      <c r="B1686" s="553">
        <v>2</v>
      </c>
      <c r="C1686" s="553">
        <v>2</v>
      </c>
      <c r="D1686" s="553">
        <v>3</v>
      </c>
      <c r="E1686" s="553">
        <v>2</v>
      </c>
      <c r="F1686" s="553">
        <v>2</v>
      </c>
      <c r="G1686" s="553" t="s">
        <v>484</v>
      </c>
      <c r="H1686" s="553">
        <v>1320</v>
      </c>
      <c r="I1686" s="553">
        <v>0</v>
      </c>
      <c r="J1686" s="553">
        <v>0</v>
      </c>
      <c r="K1686" s="553">
        <v>0</v>
      </c>
      <c r="L1686" s="553">
        <v>2</v>
      </c>
      <c r="M1686" s="505" t="s">
        <v>137</v>
      </c>
      <c r="N1686" s="500">
        <v>43013538780000</v>
      </c>
      <c r="O1686" s="553" t="s">
        <v>2196</v>
      </c>
      <c r="P1686" s="650" t="s">
        <v>2332</v>
      </c>
      <c r="Q1686" s="564" t="s">
        <v>583</v>
      </c>
      <c r="R1686" s="564">
        <v>2</v>
      </c>
    </row>
    <row r="1687" spans="1:18" ht="15" customHeight="1" x14ac:dyDescent="0.25">
      <c r="A1687" s="553">
        <v>18</v>
      </c>
      <c r="B1687" s="553">
        <v>2</v>
      </c>
      <c r="C1687" s="553">
        <v>2</v>
      </c>
      <c r="D1687" s="553">
        <v>3</v>
      </c>
      <c r="E1687" s="553">
        <v>2</v>
      </c>
      <c r="F1687" s="553">
        <v>2</v>
      </c>
      <c r="G1687" s="553" t="s">
        <v>486</v>
      </c>
      <c r="H1687" s="553">
        <v>1311.66</v>
      </c>
      <c r="I1687" s="553">
        <v>0</v>
      </c>
      <c r="J1687" s="553">
        <v>47</v>
      </c>
      <c r="K1687" s="553">
        <v>29</v>
      </c>
      <c r="L1687" s="553">
        <v>2</v>
      </c>
      <c r="M1687" s="505" t="s">
        <v>137</v>
      </c>
      <c r="N1687" s="500">
        <v>43013538780000</v>
      </c>
      <c r="O1687" s="553" t="s">
        <v>2196</v>
      </c>
      <c r="P1687" s="650" t="s">
        <v>2333</v>
      </c>
      <c r="Q1687" s="564" t="s">
        <v>583</v>
      </c>
      <c r="R1687" s="564">
        <v>2</v>
      </c>
    </row>
    <row r="1688" spans="1:18" ht="15" customHeight="1" x14ac:dyDescent="0.25">
      <c r="A1688" s="553">
        <v>18</v>
      </c>
      <c r="B1688" s="553">
        <v>2</v>
      </c>
      <c r="C1688" s="553">
        <v>2</v>
      </c>
      <c r="D1688" s="553">
        <v>3</v>
      </c>
      <c r="E1688" s="553">
        <v>2</v>
      </c>
      <c r="F1688" s="553">
        <v>2</v>
      </c>
      <c r="G1688" s="502" t="s">
        <v>488</v>
      </c>
      <c r="H1688" s="553">
        <v>1311.66</v>
      </c>
      <c r="I1688" s="553">
        <v>0</v>
      </c>
      <c r="J1688" s="553">
        <v>47</v>
      </c>
      <c r="K1688" s="553">
        <v>29</v>
      </c>
      <c r="L1688" s="553">
        <v>2</v>
      </c>
      <c r="M1688" s="505" t="s">
        <v>137</v>
      </c>
      <c r="N1688" s="500">
        <v>43013538780000</v>
      </c>
      <c r="O1688" s="553" t="s">
        <v>2196</v>
      </c>
      <c r="P1688" s="650" t="s">
        <v>2334</v>
      </c>
      <c r="Q1688" s="564" t="s">
        <v>583</v>
      </c>
      <c r="R1688" s="564">
        <v>2</v>
      </c>
    </row>
    <row r="1689" spans="1:18" ht="15" customHeight="1" x14ac:dyDescent="0.25">
      <c r="A1689" s="553">
        <v>18</v>
      </c>
      <c r="B1689" s="553">
        <v>2</v>
      </c>
      <c r="C1689" s="553">
        <v>2</v>
      </c>
      <c r="D1689" s="553">
        <v>3</v>
      </c>
      <c r="E1689" s="553">
        <v>2</v>
      </c>
      <c r="F1689" s="553">
        <v>2</v>
      </c>
      <c r="G1689" s="553" t="s">
        <v>490</v>
      </c>
      <c r="H1689" s="553">
        <v>1320</v>
      </c>
      <c r="I1689" s="553">
        <v>0</v>
      </c>
      <c r="J1689" s="553">
        <v>0</v>
      </c>
      <c r="K1689" s="553">
        <v>0</v>
      </c>
      <c r="L1689" s="553">
        <v>2</v>
      </c>
      <c r="M1689" s="505" t="s">
        <v>137</v>
      </c>
      <c r="N1689" s="500">
        <v>43013538780000</v>
      </c>
      <c r="O1689" s="553" t="s">
        <v>2196</v>
      </c>
      <c r="P1689" s="650" t="s">
        <v>2335</v>
      </c>
      <c r="Q1689" s="564" t="s">
        <v>583</v>
      </c>
      <c r="R1689" s="564">
        <v>2</v>
      </c>
    </row>
    <row r="1690" spans="1:18" ht="15" customHeight="1" x14ac:dyDescent="0.25">
      <c r="A1690" s="553">
        <v>18</v>
      </c>
      <c r="B1690" s="553">
        <v>2</v>
      </c>
      <c r="C1690" s="553">
        <v>2</v>
      </c>
      <c r="D1690" s="553">
        <v>3</v>
      </c>
      <c r="E1690" s="553">
        <v>2</v>
      </c>
      <c r="F1690" s="553">
        <v>2</v>
      </c>
      <c r="G1690" s="553" t="s">
        <v>493</v>
      </c>
      <c r="H1690" s="553">
        <v>1320</v>
      </c>
      <c r="I1690" s="553">
        <v>0</v>
      </c>
      <c r="J1690" s="553">
        <v>0</v>
      </c>
      <c r="K1690" s="553">
        <v>0</v>
      </c>
      <c r="L1690" s="553">
        <v>2</v>
      </c>
      <c r="M1690" s="505" t="s">
        <v>137</v>
      </c>
      <c r="N1690" s="500">
        <v>43013538780000</v>
      </c>
      <c r="O1690" s="553" t="s">
        <v>2196</v>
      </c>
      <c r="P1690" s="650" t="s">
        <v>2336</v>
      </c>
      <c r="Q1690" s="564" t="s">
        <v>583</v>
      </c>
      <c r="R1690" s="564">
        <v>2</v>
      </c>
    </row>
    <row r="1691" spans="1:18" ht="15" customHeight="1" x14ac:dyDescent="0.25">
      <c r="A1691" s="553">
        <v>18</v>
      </c>
      <c r="B1691" s="553">
        <v>2</v>
      </c>
      <c r="C1691" s="553">
        <v>2</v>
      </c>
      <c r="D1691" s="553">
        <v>3</v>
      </c>
      <c r="E1691" s="553">
        <v>2</v>
      </c>
      <c r="F1691" s="553">
        <v>2</v>
      </c>
      <c r="G1691" s="553" t="s">
        <v>474</v>
      </c>
      <c r="H1691" s="553">
        <v>1299.2574999999999</v>
      </c>
      <c r="I1691" s="553">
        <v>89</v>
      </c>
      <c r="J1691" s="553">
        <v>24</v>
      </c>
      <c r="K1691" s="553">
        <v>56</v>
      </c>
      <c r="L1691" s="553">
        <v>3</v>
      </c>
      <c r="M1691" s="505" t="s">
        <v>137</v>
      </c>
      <c r="N1691" s="500">
        <v>43013538780000</v>
      </c>
      <c r="O1691" s="553" t="s">
        <v>2196</v>
      </c>
      <c r="P1691" s="650" t="s">
        <v>2337</v>
      </c>
      <c r="Q1691" s="564" t="s">
        <v>583</v>
      </c>
      <c r="R1691" s="564">
        <v>2</v>
      </c>
    </row>
    <row r="1692" spans="1:18" ht="15" customHeight="1" x14ac:dyDescent="0.25">
      <c r="A1692" s="553">
        <v>18</v>
      </c>
      <c r="B1692" s="553">
        <v>2</v>
      </c>
      <c r="C1692" s="553">
        <v>2</v>
      </c>
      <c r="D1692" s="553">
        <v>3</v>
      </c>
      <c r="E1692" s="553">
        <v>2</v>
      </c>
      <c r="F1692" s="553">
        <v>2</v>
      </c>
      <c r="G1692" s="502" t="s">
        <v>477</v>
      </c>
      <c r="H1692" s="553">
        <v>1299.2574999999999</v>
      </c>
      <c r="I1692" s="553">
        <v>89</v>
      </c>
      <c r="J1692" s="553">
        <v>24</v>
      </c>
      <c r="K1692" s="553">
        <v>56</v>
      </c>
      <c r="L1692" s="553">
        <v>3</v>
      </c>
      <c r="M1692" s="505" t="s">
        <v>137</v>
      </c>
      <c r="N1692" s="500">
        <v>43013538780000</v>
      </c>
      <c r="O1692" s="553" t="s">
        <v>2196</v>
      </c>
      <c r="P1692" s="650" t="s">
        <v>2338</v>
      </c>
      <c r="Q1692" s="564" t="s">
        <v>583</v>
      </c>
      <c r="R1692" s="564">
        <v>2</v>
      </c>
    </row>
    <row r="1693" spans="1:18" ht="15" customHeight="1" x14ac:dyDescent="0.25">
      <c r="A1693" s="553">
        <v>18</v>
      </c>
      <c r="B1693" s="553">
        <v>2</v>
      </c>
      <c r="C1693" s="553">
        <v>2</v>
      </c>
      <c r="D1693" s="553">
        <v>3</v>
      </c>
      <c r="E1693" s="553">
        <v>2</v>
      </c>
      <c r="F1693" s="553">
        <v>2</v>
      </c>
      <c r="G1693" s="553" t="s">
        <v>479</v>
      </c>
      <c r="H1693" s="553">
        <v>1299.2574999999999</v>
      </c>
      <c r="I1693" s="553">
        <v>89</v>
      </c>
      <c r="J1693" s="553">
        <v>24</v>
      </c>
      <c r="K1693" s="553">
        <v>56</v>
      </c>
      <c r="L1693" s="553">
        <v>3</v>
      </c>
      <c r="M1693" s="505" t="s">
        <v>137</v>
      </c>
      <c r="N1693" s="500">
        <v>43013538780000</v>
      </c>
      <c r="O1693" s="553" t="s">
        <v>2196</v>
      </c>
      <c r="P1693" s="650" t="s">
        <v>2339</v>
      </c>
      <c r="Q1693" s="564" t="s">
        <v>583</v>
      </c>
      <c r="R1693" s="564">
        <v>2</v>
      </c>
    </row>
    <row r="1694" spans="1:18" ht="15" customHeight="1" x14ac:dyDescent="0.25">
      <c r="A1694" s="553">
        <v>18</v>
      </c>
      <c r="B1694" s="553">
        <v>2</v>
      </c>
      <c r="C1694" s="553">
        <v>2</v>
      </c>
      <c r="D1694" s="553">
        <v>3</v>
      </c>
      <c r="E1694" s="553">
        <v>2</v>
      </c>
      <c r="F1694" s="553">
        <v>2</v>
      </c>
      <c r="G1694" s="553" t="s">
        <v>485</v>
      </c>
      <c r="H1694" s="553">
        <v>1299.2574999999999</v>
      </c>
      <c r="I1694" s="553">
        <v>89</v>
      </c>
      <c r="J1694" s="553">
        <v>24</v>
      </c>
      <c r="K1694" s="553">
        <v>56</v>
      </c>
      <c r="L1694" s="553">
        <v>3</v>
      </c>
      <c r="M1694" s="505" t="s">
        <v>137</v>
      </c>
      <c r="N1694" s="500">
        <v>43013538780000</v>
      </c>
      <c r="O1694" s="553" t="s">
        <v>2196</v>
      </c>
      <c r="P1694" s="650" t="s">
        <v>2340</v>
      </c>
      <c r="Q1694" s="564" t="s">
        <v>583</v>
      </c>
      <c r="R1694" s="564">
        <v>2</v>
      </c>
    </row>
    <row r="1695" spans="1:18" ht="15" customHeight="1" x14ac:dyDescent="0.25">
      <c r="A1695" s="553">
        <v>18</v>
      </c>
      <c r="B1695" s="553">
        <v>2</v>
      </c>
      <c r="C1695" s="553">
        <v>2</v>
      </c>
      <c r="D1695" s="553">
        <v>3</v>
      </c>
      <c r="E1695" s="553">
        <v>2</v>
      </c>
      <c r="F1695" s="553">
        <v>2</v>
      </c>
      <c r="G1695" s="553" t="s">
        <v>487</v>
      </c>
      <c r="H1695" s="553">
        <v>1304.49</v>
      </c>
      <c r="I1695" s="553">
        <v>0</v>
      </c>
      <c r="J1695" s="553">
        <v>0</v>
      </c>
      <c r="K1695" s="553">
        <v>0</v>
      </c>
      <c r="L1695" s="553">
        <v>3</v>
      </c>
      <c r="M1695" s="505" t="s">
        <v>137</v>
      </c>
      <c r="N1695" s="500">
        <v>43013538780000</v>
      </c>
      <c r="O1695" s="553" t="s">
        <v>2196</v>
      </c>
      <c r="P1695" s="650" t="s">
        <v>2341</v>
      </c>
      <c r="Q1695" s="564" t="s">
        <v>583</v>
      </c>
      <c r="R1695" s="564">
        <v>2</v>
      </c>
    </row>
    <row r="1696" spans="1:18" ht="15" customHeight="1" x14ac:dyDescent="0.25">
      <c r="A1696" s="553">
        <v>18</v>
      </c>
      <c r="B1696" s="553">
        <v>2</v>
      </c>
      <c r="C1696" s="553">
        <v>2</v>
      </c>
      <c r="D1696" s="553">
        <v>3</v>
      </c>
      <c r="E1696" s="553">
        <v>2</v>
      </c>
      <c r="F1696" s="553">
        <v>2</v>
      </c>
      <c r="G1696" s="502" t="s">
        <v>489</v>
      </c>
      <c r="H1696" s="553">
        <v>1304.49</v>
      </c>
      <c r="I1696" s="553">
        <v>0</v>
      </c>
      <c r="J1696" s="553">
        <v>0</v>
      </c>
      <c r="K1696" s="553">
        <v>0</v>
      </c>
      <c r="L1696" s="553">
        <v>3</v>
      </c>
      <c r="M1696" s="505" t="s">
        <v>137</v>
      </c>
      <c r="N1696" s="500">
        <v>43013538780000</v>
      </c>
      <c r="O1696" s="553" t="s">
        <v>2196</v>
      </c>
      <c r="P1696" s="650" t="s">
        <v>2342</v>
      </c>
      <c r="Q1696" s="564" t="s">
        <v>583</v>
      </c>
      <c r="R1696" s="564">
        <v>2</v>
      </c>
    </row>
    <row r="1697" spans="1:18" ht="15" customHeight="1" x14ac:dyDescent="0.25">
      <c r="A1697" s="553">
        <v>18</v>
      </c>
      <c r="B1697" s="553">
        <v>2</v>
      </c>
      <c r="C1697" s="553">
        <v>2</v>
      </c>
      <c r="D1697" s="553">
        <v>3</v>
      </c>
      <c r="E1697" s="553">
        <v>2</v>
      </c>
      <c r="F1697" s="553">
        <v>2</v>
      </c>
      <c r="G1697" s="553" t="s">
        <v>491</v>
      </c>
      <c r="H1697" s="553">
        <v>1304.49</v>
      </c>
      <c r="I1697" s="553">
        <v>0</v>
      </c>
      <c r="J1697" s="553">
        <v>0</v>
      </c>
      <c r="K1697" s="553">
        <v>0</v>
      </c>
      <c r="L1697" s="553">
        <v>3</v>
      </c>
      <c r="M1697" s="505" t="s">
        <v>137</v>
      </c>
      <c r="N1697" s="500">
        <v>43013538780000</v>
      </c>
      <c r="O1697" s="553" t="s">
        <v>2196</v>
      </c>
      <c r="P1697" s="650" t="s">
        <v>2343</v>
      </c>
      <c r="Q1697" s="564" t="s">
        <v>583</v>
      </c>
      <c r="R1697" s="564">
        <v>2</v>
      </c>
    </row>
    <row r="1698" spans="1:18" ht="15" customHeight="1" x14ac:dyDescent="0.25">
      <c r="A1698" s="553">
        <v>18</v>
      </c>
      <c r="B1698" s="553">
        <v>2</v>
      </c>
      <c r="C1698" s="553">
        <v>2</v>
      </c>
      <c r="D1698" s="553">
        <v>3</v>
      </c>
      <c r="E1698" s="553">
        <v>2</v>
      </c>
      <c r="F1698" s="553">
        <v>2</v>
      </c>
      <c r="G1698" s="553" t="s">
        <v>494</v>
      </c>
      <c r="H1698" s="553">
        <v>1304.49</v>
      </c>
      <c r="I1698" s="553">
        <v>0</v>
      </c>
      <c r="J1698" s="553">
        <v>0</v>
      </c>
      <c r="K1698" s="553">
        <v>0</v>
      </c>
      <c r="L1698" s="553">
        <v>3</v>
      </c>
      <c r="M1698" s="505" t="s">
        <v>137</v>
      </c>
      <c r="N1698" s="500">
        <v>43013538780000</v>
      </c>
      <c r="O1698" s="553" t="s">
        <v>2196</v>
      </c>
      <c r="P1698" s="650" t="s">
        <v>2344</v>
      </c>
      <c r="Q1698" s="564" t="s">
        <v>583</v>
      </c>
      <c r="R1698" s="564">
        <v>2</v>
      </c>
    </row>
    <row r="1699" spans="1:18" ht="15" customHeight="1" x14ac:dyDescent="0.25">
      <c r="A1699" s="661">
        <v>18</v>
      </c>
      <c r="B1699" s="661">
        <v>3</v>
      </c>
      <c r="C1699" s="661">
        <v>2</v>
      </c>
      <c r="D1699" s="661">
        <v>1</v>
      </c>
      <c r="E1699" s="661">
        <v>1</v>
      </c>
      <c r="F1699" s="661">
        <v>2</v>
      </c>
      <c r="G1699" s="661" t="s">
        <v>473</v>
      </c>
      <c r="H1699" s="661">
        <v>1162.9000000000001</v>
      </c>
      <c r="I1699" s="661">
        <v>0</v>
      </c>
      <c r="J1699" s="661">
        <v>2</v>
      </c>
      <c r="K1699" s="661">
        <v>2</v>
      </c>
      <c r="L1699" s="661">
        <v>4</v>
      </c>
      <c r="M1699" s="662" t="s">
        <v>137</v>
      </c>
      <c r="N1699" s="663">
        <v>43047560220000</v>
      </c>
      <c r="O1699" s="661" t="s">
        <v>2345</v>
      </c>
      <c r="P1699" s="664" t="s">
        <v>2346</v>
      </c>
      <c r="Q1699" s="665" t="s">
        <v>670</v>
      </c>
      <c r="R1699" s="564">
        <v>1</v>
      </c>
    </row>
    <row r="1700" spans="1:18" ht="15" customHeight="1" x14ac:dyDescent="0.25">
      <c r="A1700" s="661">
        <v>18</v>
      </c>
      <c r="B1700" s="661">
        <v>3</v>
      </c>
      <c r="C1700" s="661">
        <v>2</v>
      </c>
      <c r="D1700" s="661">
        <v>1</v>
      </c>
      <c r="E1700" s="661">
        <v>1</v>
      </c>
      <c r="F1700" s="661">
        <v>2</v>
      </c>
      <c r="G1700" s="666" t="s">
        <v>476</v>
      </c>
      <c r="H1700" s="661">
        <v>1320.84</v>
      </c>
      <c r="I1700" s="661">
        <v>0</v>
      </c>
      <c r="J1700" s="661">
        <v>2</v>
      </c>
      <c r="K1700" s="661">
        <v>2</v>
      </c>
      <c r="L1700" s="661">
        <v>4</v>
      </c>
      <c r="M1700" s="662" t="s">
        <v>137</v>
      </c>
      <c r="N1700" s="663">
        <v>43047560220000</v>
      </c>
      <c r="O1700" s="661" t="s">
        <v>2345</v>
      </c>
      <c r="P1700" s="664" t="s">
        <v>2347</v>
      </c>
      <c r="Q1700" s="665" t="s">
        <v>670</v>
      </c>
      <c r="R1700" s="564">
        <v>1</v>
      </c>
    </row>
    <row r="1701" spans="1:18" ht="15" customHeight="1" x14ac:dyDescent="0.25">
      <c r="A1701" s="661">
        <v>18</v>
      </c>
      <c r="B1701" s="661">
        <v>3</v>
      </c>
      <c r="C1701" s="661">
        <v>2</v>
      </c>
      <c r="D1701" s="661">
        <v>1</v>
      </c>
      <c r="E1701" s="661">
        <v>1</v>
      </c>
      <c r="F1701" s="661">
        <v>2</v>
      </c>
      <c r="G1701" s="661" t="s">
        <v>478</v>
      </c>
      <c r="H1701" s="661">
        <v>1314.79</v>
      </c>
      <c r="I1701" s="661">
        <v>0</v>
      </c>
      <c r="J1701" s="661">
        <v>3</v>
      </c>
      <c r="K1701" s="661">
        <v>6</v>
      </c>
      <c r="L1701" s="661">
        <v>4</v>
      </c>
      <c r="M1701" s="662" t="s">
        <v>137</v>
      </c>
      <c r="N1701" s="663">
        <v>43047560220000</v>
      </c>
      <c r="O1701" s="661" t="s">
        <v>2345</v>
      </c>
      <c r="P1701" s="664" t="s">
        <v>2348</v>
      </c>
      <c r="Q1701" s="665" t="s">
        <v>670</v>
      </c>
      <c r="R1701" s="564">
        <v>1</v>
      </c>
    </row>
    <row r="1702" spans="1:18" ht="15" customHeight="1" x14ac:dyDescent="0.25">
      <c r="A1702" s="661">
        <v>18</v>
      </c>
      <c r="B1702" s="661">
        <v>3</v>
      </c>
      <c r="C1702" s="661">
        <v>2</v>
      </c>
      <c r="D1702" s="661">
        <v>1</v>
      </c>
      <c r="E1702" s="661">
        <v>1</v>
      </c>
      <c r="F1702" s="661">
        <v>2</v>
      </c>
      <c r="G1702" s="661" t="s">
        <v>484</v>
      </c>
      <c r="H1702" s="661">
        <v>1479.79</v>
      </c>
      <c r="I1702" s="661">
        <v>0</v>
      </c>
      <c r="J1702" s="661">
        <v>3</v>
      </c>
      <c r="K1702" s="661">
        <v>6</v>
      </c>
      <c r="L1702" s="661">
        <v>4</v>
      </c>
      <c r="M1702" s="662" t="s">
        <v>137</v>
      </c>
      <c r="N1702" s="663">
        <v>43047560220000</v>
      </c>
      <c r="O1702" s="661" t="s">
        <v>2345</v>
      </c>
      <c r="P1702" s="664" t="s">
        <v>2349</v>
      </c>
      <c r="Q1702" s="665" t="s">
        <v>670</v>
      </c>
      <c r="R1702" s="564">
        <v>1</v>
      </c>
    </row>
    <row r="1703" spans="1:18" ht="15" customHeight="1" x14ac:dyDescent="0.25">
      <c r="A1703" s="661">
        <v>18</v>
      </c>
      <c r="B1703" s="661">
        <v>3</v>
      </c>
      <c r="C1703" s="661">
        <v>2</v>
      </c>
      <c r="D1703" s="661">
        <v>1</v>
      </c>
      <c r="E1703" s="661">
        <v>1</v>
      </c>
      <c r="F1703" s="661">
        <v>2</v>
      </c>
      <c r="G1703" s="661" t="s">
        <v>486</v>
      </c>
      <c r="H1703" s="661">
        <v>1321.09</v>
      </c>
      <c r="I1703" s="661">
        <v>0</v>
      </c>
      <c r="J1703" s="661">
        <v>1</v>
      </c>
      <c r="K1703" s="661">
        <v>27</v>
      </c>
      <c r="L1703" s="661">
        <v>2</v>
      </c>
      <c r="M1703" s="662" t="s">
        <v>137</v>
      </c>
      <c r="N1703" s="663">
        <v>43047560220000</v>
      </c>
      <c r="O1703" s="661" t="s">
        <v>2345</v>
      </c>
      <c r="P1703" s="664" t="s">
        <v>2350</v>
      </c>
      <c r="Q1703" s="665" t="s">
        <v>670</v>
      </c>
      <c r="R1703" s="564">
        <v>1</v>
      </c>
    </row>
    <row r="1704" spans="1:18" ht="15" customHeight="1" x14ac:dyDescent="0.25">
      <c r="A1704" s="661">
        <v>18</v>
      </c>
      <c r="B1704" s="661">
        <v>3</v>
      </c>
      <c r="C1704" s="661">
        <v>2</v>
      </c>
      <c r="D1704" s="661">
        <v>1</v>
      </c>
      <c r="E1704" s="661">
        <v>1</v>
      </c>
      <c r="F1704" s="661">
        <v>2</v>
      </c>
      <c r="G1704" s="666" t="s">
        <v>488</v>
      </c>
      <c r="H1704" s="661">
        <v>1321.09</v>
      </c>
      <c r="I1704" s="661">
        <v>0</v>
      </c>
      <c r="J1704" s="661">
        <v>1</v>
      </c>
      <c r="K1704" s="661">
        <v>27</v>
      </c>
      <c r="L1704" s="661">
        <v>2</v>
      </c>
      <c r="M1704" s="662" t="s">
        <v>137</v>
      </c>
      <c r="N1704" s="663">
        <v>43047560220000</v>
      </c>
      <c r="O1704" s="661" t="s">
        <v>2345</v>
      </c>
      <c r="P1704" s="664" t="s">
        <v>2351</v>
      </c>
      <c r="Q1704" s="665" t="s">
        <v>670</v>
      </c>
      <c r="R1704" s="564">
        <v>1</v>
      </c>
    </row>
    <row r="1705" spans="1:18" ht="15" customHeight="1" x14ac:dyDescent="0.25">
      <c r="A1705" s="661">
        <v>18</v>
      </c>
      <c r="B1705" s="661">
        <v>3</v>
      </c>
      <c r="C1705" s="661">
        <v>2</v>
      </c>
      <c r="D1705" s="661">
        <v>1</v>
      </c>
      <c r="E1705" s="661">
        <v>1</v>
      </c>
      <c r="F1705" s="661">
        <v>2</v>
      </c>
      <c r="G1705" s="661" t="s">
        <v>490</v>
      </c>
      <c r="H1705" s="661">
        <v>1324.595</v>
      </c>
      <c r="I1705" s="661">
        <v>0</v>
      </c>
      <c r="J1705" s="661">
        <v>6</v>
      </c>
      <c r="K1705" s="661">
        <v>16</v>
      </c>
      <c r="L1705" s="661">
        <v>2</v>
      </c>
      <c r="M1705" s="662" t="s">
        <v>137</v>
      </c>
      <c r="N1705" s="663">
        <v>43047560220000</v>
      </c>
      <c r="O1705" s="661" t="s">
        <v>2345</v>
      </c>
      <c r="P1705" s="664" t="s">
        <v>2352</v>
      </c>
      <c r="Q1705" s="665" t="s">
        <v>670</v>
      </c>
      <c r="R1705" s="564">
        <v>1</v>
      </c>
    </row>
    <row r="1706" spans="1:18" ht="15" customHeight="1" x14ac:dyDescent="0.25">
      <c r="A1706" s="661">
        <v>18</v>
      </c>
      <c r="B1706" s="661">
        <v>3</v>
      </c>
      <c r="C1706" s="661">
        <v>2</v>
      </c>
      <c r="D1706" s="661">
        <v>1</v>
      </c>
      <c r="E1706" s="661">
        <v>1</v>
      </c>
      <c r="F1706" s="661">
        <v>2</v>
      </c>
      <c r="G1706" s="661" t="s">
        <v>493</v>
      </c>
      <c r="H1706" s="661">
        <v>1324.595</v>
      </c>
      <c r="I1706" s="661">
        <v>0</v>
      </c>
      <c r="J1706" s="661">
        <v>6</v>
      </c>
      <c r="K1706" s="661">
        <v>16</v>
      </c>
      <c r="L1706" s="661">
        <v>2</v>
      </c>
      <c r="M1706" s="662" t="s">
        <v>137</v>
      </c>
      <c r="N1706" s="663">
        <v>43047560220000</v>
      </c>
      <c r="O1706" s="661" t="s">
        <v>2345</v>
      </c>
      <c r="P1706" s="664" t="s">
        <v>2353</v>
      </c>
      <c r="Q1706" s="665" t="s">
        <v>670</v>
      </c>
      <c r="R1706" s="564">
        <v>1</v>
      </c>
    </row>
    <row r="1707" spans="1:18" ht="15" customHeight="1" x14ac:dyDescent="0.25">
      <c r="A1707" s="661">
        <v>18</v>
      </c>
      <c r="B1707" s="661">
        <v>3</v>
      </c>
      <c r="C1707" s="661">
        <v>2</v>
      </c>
      <c r="D1707" s="661">
        <v>1</v>
      </c>
      <c r="E1707" s="661">
        <v>1</v>
      </c>
      <c r="F1707" s="661">
        <v>2</v>
      </c>
      <c r="G1707" s="661" t="s">
        <v>474</v>
      </c>
      <c r="H1707" s="661">
        <v>1292</v>
      </c>
      <c r="I1707" s="661">
        <v>89</v>
      </c>
      <c r="J1707" s="661">
        <v>49</v>
      </c>
      <c r="K1707" s="661">
        <v>49</v>
      </c>
      <c r="L1707" s="661">
        <v>3</v>
      </c>
      <c r="M1707" s="662" t="s">
        <v>137</v>
      </c>
      <c r="N1707" s="663">
        <v>43047560220000</v>
      </c>
      <c r="O1707" s="661" t="s">
        <v>2345</v>
      </c>
      <c r="P1707" s="664" t="s">
        <v>2354</v>
      </c>
      <c r="Q1707" s="665" t="s">
        <v>670</v>
      </c>
      <c r="R1707" s="564">
        <v>1</v>
      </c>
    </row>
    <row r="1708" spans="1:18" ht="15" customHeight="1" x14ac:dyDescent="0.25">
      <c r="A1708" s="661">
        <v>18</v>
      </c>
      <c r="B1708" s="661">
        <v>3</v>
      </c>
      <c r="C1708" s="661">
        <v>2</v>
      </c>
      <c r="D1708" s="661">
        <v>1</v>
      </c>
      <c r="E1708" s="661">
        <v>1</v>
      </c>
      <c r="F1708" s="661">
        <v>2</v>
      </c>
      <c r="G1708" s="666" t="s">
        <v>477</v>
      </c>
      <c r="H1708" s="661">
        <v>1292</v>
      </c>
      <c r="I1708" s="661">
        <v>89</v>
      </c>
      <c r="J1708" s="661">
        <v>49</v>
      </c>
      <c r="K1708" s="661">
        <v>49</v>
      </c>
      <c r="L1708" s="661">
        <v>3</v>
      </c>
      <c r="M1708" s="662" t="s">
        <v>137</v>
      </c>
      <c r="N1708" s="663">
        <v>43047560220000</v>
      </c>
      <c r="O1708" s="661" t="s">
        <v>2345</v>
      </c>
      <c r="P1708" s="664" t="s">
        <v>2355</v>
      </c>
      <c r="Q1708" s="665" t="s">
        <v>670</v>
      </c>
      <c r="R1708" s="564">
        <v>1</v>
      </c>
    </row>
    <row r="1709" spans="1:18" ht="15" customHeight="1" x14ac:dyDescent="0.25">
      <c r="A1709" s="661">
        <v>18</v>
      </c>
      <c r="B1709" s="661">
        <v>3</v>
      </c>
      <c r="C1709" s="661">
        <v>2</v>
      </c>
      <c r="D1709" s="661">
        <v>1</v>
      </c>
      <c r="E1709" s="661">
        <v>1</v>
      </c>
      <c r="F1709" s="661">
        <v>2</v>
      </c>
      <c r="G1709" s="661" t="s">
        <v>479</v>
      </c>
      <c r="H1709" s="661">
        <v>1321.65</v>
      </c>
      <c r="I1709" s="661">
        <v>89</v>
      </c>
      <c r="J1709" s="661">
        <v>55</v>
      </c>
      <c r="K1709" s="661">
        <v>57</v>
      </c>
      <c r="L1709" s="661">
        <v>3</v>
      </c>
      <c r="M1709" s="662" t="s">
        <v>137</v>
      </c>
      <c r="N1709" s="663">
        <v>43047560220000</v>
      </c>
      <c r="O1709" s="661" t="s">
        <v>2345</v>
      </c>
      <c r="P1709" s="664" t="s">
        <v>2356</v>
      </c>
      <c r="Q1709" s="665" t="s">
        <v>670</v>
      </c>
      <c r="R1709" s="564">
        <v>1</v>
      </c>
    </row>
    <row r="1710" spans="1:18" ht="15" customHeight="1" x14ac:dyDescent="0.25">
      <c r="A1710" s="661">
        <v>18</v>
      </c>
      <c r="B1710" s="661">
        <v>3</v>
      </c>
      <c r="C1710" s="661">
        <v>2</v>
      </c>
      <c r="D1710" s="661">
        <v>1</v>
      </c>
      <c r="E1710" s="661">
        <v>1</v>
      </c>
      <c r="F1710" s="661">
        <v>2</v>
      </c>
      <c r="G1710" s="661" t="s">
        <v>485</v>
      </c>
      <c r="H1710" s="661">
        <v>1321.65</v>
      </c>
      <c r="I1710" s="661">
        <v>89</v>
      </c>
      <c r="J1710" s="661">
        <v>55</v>
      </c>
      <c r="K1710" s="661">
        <v>57</v>
      </c>
      <c r="L1710" s="661">
        <v>3</v>
      </c>
      <c r="M1710" s="662" t="s">
        <v>137</v>
      </c>
      <c r="N1710" s="663">
        <v>43047560220000</v>
      </c>
      <c r="O1710" s="661" t="s">
        <v>2345</v>
      </c>
      <c r="P1710" s="664" t="s">
        <v>2357</v>
      </c>
      <c r="Q1710" s="665" t="s">
        <v>670</v>
      </c>
      <c r="R1710" s="564">
        <v>1</v>
      </c>
    </row>
    <row r="1711" spans="1:18" ht="15" customHeight="1" x14ac:dyDescent="0.25">
      <c r="A1711" s="661">
        <v>18</v>
      </c>
      <c r="B1711" s="661">
        <v>3</v>
      </c>
      <c r="C1711" s="661">
        <v>2</v>
      </c>
      <c r="D1711" s="661">
        <v>1</v>
      </c>
      <c r="E1711" s="661">
        <v>1</v>
      </c>
      <c r="F1711" s="661">
        <v>2</v>
      </c>
      <c r="G1711" s="661" t="s">
        <v>487</v>
      </c>
      <c r="H1711" s="661">
        <v>1306.0550000000001</v>
      </c>
      <c r="I1711" s="661">
        <v>89</v>
      </c>
      <c r="J1711" s="661">
        <v>58</v>
      </c>
      <c r="K1711" s="661">
        <v>44</v>
      </c>
      <c r="L1711" s="661">
        <v>4</v>
      </c>
      <c r="M1711" s="662" t="s">
        <v>137</v>
      </c>
      <c r="N1711" s="663">
        <v>43047560220000</v>
      </c>
      <c r="O1711" s="661" t="s">
        <v>2345</v>
      </c>
      <c r="P1711" s="664" t="s">
        <v>2358</v>
      </c>
      <c r="Q1711" s="665" t="s">
        <v>670</v>
      </c>
      <c r="R1711" s="564">
        <v>1</v>
      </c>
    </row>
    <row r="1712" spans="1:18" ht="15" customHeight="1" x14ac:dyDescent="0.25">
      <c r="A1712" s="661">
        <v>18</v>
      </c>
      <c r="B1712" s="661">
        <v>3</v>
      </c>
      <c r="C1712" s="661">
        <v>2</v>
      </c>
      <c r="D1712" s="661">
        <v>1</v>
      </c>
      <c r="E1712" s="661">
        <v>1</v>
      </c>
      <c r="F1712" s="661">
        <v>2</v>
      </c>
      <c r="G1712" s="666" t="s">
        <v>489</v>
      </c>
      <c r="H1712" s="661">
        <v>1306.0550000000001</v>
      </c>
      <c r="I1712" s="661">
        <v>89</v>
      </c>
      <c r="J1712" s="661">
        <v>58</v>
      </c>
      <c r="K1712" s="661">
        <v>44</v>
      </c>
      <c r="L1712" s="661">
        <v>4</v>
      </c>
      <c r="M1712" s="662" t="s">
        <v>137</v>
      </c>
      <c r="N1712" s="663">
        <v>43047560220000</v>
      </c>
      <c r="O1712" s="661" t="s">
        <v>2345</v>
      </c>
      <c r="P1712" s="664" t="s">
        <v>2359</v>
      </c>
      <c r="Q1712" s="665" t="s">
        <v>670</v>
      </c>
      <c r="R1712" s="564">
        <v>1</v>
      </c>
    </row>
    <row r="1713" spans="1:18" ht="15" customHeight="1" x14ac:dyDescent="0.25">
      <c r="A1713" s="661">
        <v>18</v>
      </c>
      <c r="B1713" s="661">
        <v>3</v>
      </c>
      <c r="C1713" s="661">
        <v>2</v>
      </c>
      <c r="D1713" s="661">
        <v>1</v>
      </c>
      <c r="E1713" s="661">
        <v>1</v>
      </c>
      <c r="F1713" s="661">
        <v>2</v>
      </c>
      <c r="G1713" s="661" t="s">
        <v>491</v>
      </c>
      <c r="H1713" s="661">
        <v>1304.9749999999999</v>
      </c>
      <c r="I1713" s="661">
        <v>89</v>
      </c>
      <c r="J1713" s="661">
        <v>58</v>
      </c>
      <c r="K1713" s="661">
        <v>44</v>
      </c>
      <c r="L1713" s="661">
        <v>4</v>
      </c>
      <c r="M1713" s="662" t="s">
        <v>137</v>
      </c>
      <c r="N1713" s="663">
        <v>43047560220000</v>
      </c>
      <c r="O1713" s="661" t="s">
        <v>2345</v>
      </c>
      <c r="P1713" s="664" t="s">
        <v>2360</v>
      </c>
      <c r="Q1713" s="665" t="s">
        <v>670</v>
      </c>
      <c r="R1713" s="564">
        <v>1</v>
      </c>
    </row>
    <row r="1714" spans="1:18" ht="15" customHeight="1" x14ac:dyDescent="0.25">
      <c r="A1714" s="661">
        <v>18</v>
      </c>
      <c r="B1714" s="661">
        <v>3</v>
      </c>
      <c r="C1714" s="661">
        <v>2</v>
      </c>
      <c r="D1714" s="661">
        <v>1</v>
      </c>
      <c r="E1714" s="661">
        <v>1</v>
      </c>
      <c r="F1714" s="661">
        <v>2</v>
      </c>
      <c r="G1714" s="661" t="s">
        <v>494</v>
      </c>
      <c r="H1714" s="661">
        <v>1304.9749999999999</v>
      </c>
      <c r="I1714" s="661">
        <v>89</v>
      </c>
      <c r="J1714" s="661">
        <v>58</v>
      </c>
      <c r="K1714" s="661">
        <v>44</v>
      </c>
      <c r="L1714" s="661">
        <v>4</v>
      </c>
      <c r="M1714" s="662" t="s">
        <v>137</v>
      </c>
      <c r="N1714" s="663">
        <v>43047560220000</v>
      </c>
      <c r="O1714" s="661" t="s">
        <v>2345</v>
      </c>
      <c r="P1714" s="664" t="s">
        <v>2361</v>
      </c>
      <c r="Q1714" s="665" t="s">
        <v>670</v>
      </c>
      <c r="R1714" s="564">
        <v>1</v>
      </c>
    </row>
    <row r="1715" spans="1:18" ht="25.5" customHeight="1" x14ac:dyDescent="0.25">
      <c r="A1715" s="553">
        <v>18</v>
      </c>
      <c r="B1715" s="553">
        <v>3</v>
      </c>
      <c r="C1715" s="553">
        <v>2</v>
      </c>
      <c r="D1715" s="553">
        <v>4</v>
      </c>
      <c r="E1715" s="553">
        <v>2</v>
      </c>
      <c r="F1715" s="553">
        <v>2</v>
      </c>
      <c r="G1715" s="553" t="s">
        <v>473</v>
      </c>
      <c r="H1715" s="553">
        <v>1316.9949999999999</v>
      </c>
      <c r="I1715" s="553">
        <v>0</v>
      </c>
      <c r="J1715" s="553">
        <v>4</v>
      </c>
      <c r="K1715" s="553">
        <v>55</v>
      </c>
      <c r="L1715" s="553">
        <v>4</v>
      </c>
      <c r="M1715" s="505"/>
      <c r="N1715" s="500">
        <v>43013540070000</v>
      </c>
      <c r="O1715" s="553" t="s">
        <v>2229</v>
      </c>
      <c r="P1715" s="650" t="s">
        <v>2362</v>
      </c>
      <c r="Q1715" s="564" t="s">
        <v>583</v>
      </c>
      <c r="R1715" s="564">
        <v>2</v>
      </c>
    </row>
    <row r="1716" spans="1:18" ht="25.5" customHeight="1" x14ac:dyDescent="0.25">
      <c r="A1716" s="553">
        <v>18</v>
      </c>
      <c r="B1716" s="553">
        <v>3</v>
      </c>
      <c r="C1716" s="553">
        <v>2</v>
      </c>
      <c r="D1716" s="553">
        <v>4</v>
      </c>
      <c r="E1716" s="553">
        <v>2</v>
      </c>
      <c r="F1716" s="553">
        <v>2</v>
      </c>
      <c r="G1716" s="502" t="s">
        <v>476</v>
      </c>
      <c r="H1716" s="553">
        <v>1316.9949999999999</v>
      </c>
      <c r="I1716" s="553">
        <v>0</v>
      </c>
      <c r="J1716" s="553">
        <v>4</v>
      </c>
      <c r="K1716" s="553">
        <v>55</v>
      </c>
      <c r="L1716" s="553">
        <v>4</v>
      </c>
      <c r="M1716" s="505"/>
      <c r="N1716" s="500">
        <v>43013540070000</v>
      </c>
      <c r="O1716" s="553" t="s">
        <v>2229</v>
      </c>
      <c r="P1716" s="650" t="s">
        <v>2363</v>
      </c>
      <c r="Q1716" s="564" t="s">
        <v>583</v>
      </c>
      <c r="R1716" s="564">
        <v>2</v>
      </c>
    </row>
    <row r="1717" spans="1:18" ht="25.5" customHeight="1" x14ac:dyDescent="0.25">
      <c r="A1717" s="553">
        <v>18</v>
      </c>
      <c r="B1717" s="553">
        <v>3</v>
      </c>
      <c r="C1717" s="553">
        <v>2</v>
      </c>
      <c r="D1717" s="553">
        <v>4</v>
      </c>
      <c r="E1717" s="553">
        <v>2</v>
      </c>
      <c r="F1717" s="553">
        <v>2</v>
      </c>
      <c r="G1717" s="553" t="s">
        <v>478</v>
      </c>
      <c r="H1717" s="553">
        <v>1322.2950000000001</v>
      </c>
      <c r="I1717" s="553">
        <v>0</v>
      </c>
      <c r="J1717" s="553">
        <v>5</v>
      </c>
      <c r="K1717" s="553">
        <v>0</v>
      </c>
      <c r="L1717" s="553">
        <v>4</v>
      </c>
      <c r="M1717" s="505"/>
      <c r="N1717" s="500">
        <v>43013540070000</v>
      </c>
      <c r="O1717" s="553" t="s">
        <v>2229</v>
      </c>
      <c r="P1717" s="650" t="s">
        <v>2364</v>
      </c>
      <c r="Q1717" s="564" t="s">
        <v>583</v>
      </c>
      <c r="R1717" s="564">
        <v>2</v>
      </c>
    </row>
    <row r="1718" spans="1:18" ht="25.5" customHeight="1" x14ac:dyDescent="0.25">
      <c r="A1718" s="553">
        <v>18</v>
      </c>
      <c r="B1718" s="553">
        <v>3</v>
      </c>
      <c r="C1718" s="553">
        <v>2</v>
      </c>
      <c r="D1718" s="553">
        <v>4</v>
      </c>
      <c r="E1718" s="553">
        <v>2</v>
      </c>
      <c r="F1718" s="553">
        <v>2</v>
      </c>
      <c r="G1718" s="553" t="s">
        <v>484</v>
      </c>
      <c r="H1718" s="553">
        <v>1322.2950000000001</v>
      </c>
      <c r="I1718" s="553">
        <v>0</v>
      </c>
      <c r="J1718" s="553">
        <v>5</v>
      </c>
      <c r="K1718" s="553">
        <v>0</v>
      </c>
      <c r="L1718" s="553">
        <v>4</v>
      </c>
      <c r="M1718" s="505"/>
      <c r="N1718" s="500">
        <v>43013540070000</v>
      </c>
      <c r="O1718" s="553" t="s">
        <v>2229</v>
      </c>
      <c r="P1718" s="650" t="s">
        <v>2365</v>
      </c>
      <c r="Q1718" s="564" t="s">
        <v>583</v>
      </c>
      <c r="R1718" s="564">
        <v>2</v>
      </c>
    </row>
    <row r="1719" spans="1:18" ht="25.5" customHeight="1" x14ac:dyDescent="0.25">
      <c r="A1719" s="553">
        <v>18</v>
      </c>
      <c r="B1719" s="553">
        <v>3</v>
      </c>
      <c r="C1719" s="553">
        <v>2</v>
      </c>
      <c r="D1719" s="553">
        <v>4</v>
      </c>
      <c r="E1719" s="553">
        <v>2</v>
      </c>
      <c r="F1719" s="553">
        <v>2</v>
      </c>
      <c r="G1719" s="553" t="s">
        <v>486</v>
      </c>
      <c r="H1719" s="553">
        <v>1314.7049999999999</v>
      </c>
      <c r="I1719" s="553">
        <v>0</v>
      </c>
      <c r="J1719" s="553">
        <v>18</v>
      </c>
      <c r="K1719" s="553">
        <v>52</v>
      </c>
      <c r="L1719" s="553">
        <v>4</v>
      </c>
      <c r="M1719" s="505" t="s">
        <v>137</v>
      </c>
      <c r="N1719" s="500">
        <v>43013540070000</v>
      </c>
      <c r="O1719" s="553" t="s">
        <v>2229</v>
      </c>
      <c r="P1719" s="650" t="s">
        <v>2366</v>
      </c>
      <c r="Q1719" s="564" t="s">
        <v>583</v>
      </c>
      <c r="R1719" s="564">
        <v>2</v>
      </c>
    </row>
    <row r="1720" spans="1:18" ht="25.5" customHeight="1" x14ac:dyDescent="0.25">
      <c r="A1720" s="553">
        <v>18</v>
      </c>
      <c r="B1720" s="553">
        <v>3</v>
      </c>
      <c r="C1720" s="553">
        <v>2</v>
      </c>
      <c r="D1720" s="553">
        <v>4</v>
      </c>
      <c r="E1720" s="553">
        <v>2</v>
      </c>
      <c r="F1720" s="553">
        <v>2</v>
      </c>
      <c r="G1720" s="502" t="s">
        <v>488</v>
      </c>
      <c r="H1720" s="553">
        <v>1314.7049999999999</v>
      </c>
      <c r="I1720" s="553">
        <v>0</v>
      </c>
      <c r="J1720" s="553">
        <v>18</v>
      </c>
      <c r="K1720" s="553">
        <v>52</v>
      </c>
      <c r="L1720" s="553">
        <v>4</v>
      </c>
      <c r="M1720" s="505" t="s">
        <v>137</v>
      </c>
      <c r="N1720" s="500">
        <v>43013540070000</v>
      </c>
      <c r="O1720" s="553" t="s">
        <v>2229</v>
      </c>
      <c r="P1720" s="650" t="s">
        <v>2367</v>
      </c>
      <c r="Q1720" s="564" t="s">
        <v>583</v>
      </c>
      <c r="R1720" s="564">
        <v>2</v>
      </c>
    </row>
    <row r="1721" spans="1:18" ht="25.5" customHeight="1" x14ac:dyDescent="0.25">
      <c r="A1721" s="553">
        <v>18</v>
      </c>
      <c r="B1721" s="553">
        <v>3</v>
      </c>
      <c r="C1721" s="553">
        <v>2</v>
      </c>
      <c r="D1721" s="553">
        <v>4</v>
      </c>
      <c r="E1721" s="553">
        <v>2</v>
      </c>
      <c r="F1721" s="553">
        <v>2</v>
      </c>
      <c r="G1721" s="553" t="s">
        <v>490</v>
      </c>
      <c r="H1721" s="553">
        <v>1315.7950000000001</v>
      </c>
      <c r="I1721" s="553">
        <v>0</v>
      </c>
      <c r="J1721" s="553">
        <v>11</v>
      </c>
      <c r="K1721" s="553">
        <v>50</v>
      </c>
      <c r="L1721" s="553">
        <v>1</v>
      </c>
      <c r="M1721" s="505" t="s">
        <v>137</v>
      </c>
      <c r="N1721" s="500">
        <v>43013540070000</v>
      </c>
      <c r="O1721" s="553" t="s">
        <v>2229</v>
      </c>
      <c r="P1721" s="650" t="s">
        <v>2368</v>
      </c>
      <c r="Q1721" s="564" t="s">
        <v>583</v>
      </c>
      <c r="R1721" s="564">
        <v>2</v>
      </c>
    </row>
    <row r="1722" spans="1:18" ht="25.5" customHeight="1" x14ac:dyDescent="0.25">
      <c r="A1722" s="553">
        <v>18</v>
      </c>
      <c r="B1722" s="553">
        <v>3</v>
      </c>
      <c r="C1722" s="553">
        <v>2</v>
      </c>
      <c r="D1722" s="553">
        <v>4</v>
      </c>
      <c r="E1722" s="553">
        <v>2</v>
      </c>
      <c r="F1722" s="553">
        <v>2</v>
      </c>
      <c r="G1722" s="553" t="s">
        <v>493</v>
      </c>
      <c r="H1722" s="553">
        <v>1315.7950000000001</v>
      </c>
      <c r="I1722" s="553">
        <v>0</v>
      </c>
      <c r="J1722" s="553">
        <v>11</v>
      </c>
      <c r="K1722" s="553">
        <v>50</v>
      </c>
      <c r="L1722" s="553">
        <v>1</v>
      </c>
      <c r="M1722" s="505" t="s">
        <v>137</v>
      </c>
      <c r="N1722" s="500">
        <v>43013540070000</v>
      </c>
      <c r="O1722" s="553" t="s">
        <v>2229</v>
      </c>
      <c r="P1722" s="650" t="s">
        <v>2369</v>
      </c>
      <c r="Q1722" s="564" t="s">
        <v>583</v>
      </c>
      <c r="R1722" s="564">
        <v>2</v>
      </c>
    </row>
    <row r="1723" spans="1:18" ht="25.5" customHeight="1" x14ac:dyDescent="0.25">
      <c r="A1723" s="553">
        <v>18</v>
      </c>
      <c r="B1723" s="553">
        <v>3</v>
      </c>
      <c r="C1723" s="553">
        <v>2</v>
      </c>
      <c r="D1723" s="553">
        <v>4</v>
      </c>
      <c r="E1723" s="553">
        <v>2</v>
      </c>
      <c r="F1723" s="553">
        <v>2</v>
      </c>
      <c r="G1723" s="553" t="s">
        <v>474</v>
      </c>
      <c r="H1723" s="553">
        <v>1343.4</v>
      </c>
      <c r="I1723" s="553">
        <v>89</v>
      </c>
      <c r="J1723" s="553">
        <v>53</v>
      </c>
      <c r="K1723" s="553">
        <v>4</v>
      </c>
      <c r="L1723" s="553">
        <v>4</v>
      </c>
      <c r="M1723" s="505" t="s">
        <v>137</v>
      </c>
      <c r="N1723" s="500">
        <v>43013540070000</v>
      </c>
      <c r="O1723" s="553" t="s">
        <v>2229</v>
      </c>
      <c r="P1723" s="650" t="s">
        <v>2370</v>
      </c>
      <c r="Q1723" s="564" t="s">
        <v>583</v>
      </c>
      <c r="R1723" s="564">
        <v>2</v>
      </c>
    </row>
    <row r="1724" spans="1:18" ht="25.5" customHeight="1" x14ac:dyDescent="0.25">
      <c r="A1724" s="553">
        <v>18</v>
      </c>
      <c r="B1724" s="553">
        <v>3</v>
      </c>
      <c r="C1724" s="553">
        <v>2</v>
      </c>
      <c r="D1724" s="553">
        <v>4</v>
      </c>
      <c r="E1724" s="553">
        <v>2</v>
      </c>
      <c r="F1724" s="553">
        <v>2</v>
      </c>
      <c r="G1724" s="502" t="s">
        <v>477</v>
      </c>
      <c r="H1724" s="553">
        <v>1343.4</v>
      </c>
      <c r="I1724" s="553">
        <v>89</v>
      </c>
      <c r="J1724" s="553">
        <v>53</v>
      </c>
      <c r="K1724" s="553">
        <v>4</v>
      </c>
      <c r="L1724" s="553">
        <v>4</v>
      </c>
      <c r="M1724" s="505" t="s">
        <v>137</v>
      </c>
      <c r="N1724" s="500">
        <v>43013540070000</v>
      </c>
      <c r="O1724" s="553" t="s">
        <v>2229</v>
      </c>
      <c r="P1724" s="650" t="s">
        <v>2371</v>
      </c>
      <c r="Q1724" s="564" t="s">
        <v>583</v>
      </c>
      <c r="R1724" s="564">
        <v>2</v>
      </c>
    </row>
    <row r="1725" spans="1:18" ht="25.5" customHeight="1" x14ac:dyDescent="0.25">
      <c r="A1725" s="553">
        <v>18</v>
      </c>
      <c r="B1725" s="553">
        <v>3</v>
      </c>
      <c r="C1725" s="553">
        <v>2</v>
      </c>
      <c r="D1725" s="553">
        <v>4</v>
      </c>
      <c r="E1725" s="553">
        <v>2</v>
      </c>
      <c r="F1725" s="553">
        <v>2</v>
      </c>
      <c r="G1725" s="553" t="s">
        <v>479</v>
      </c>
      <c r="H1725" s="553">
        <v>1329.85</v>
      </c>
      <c r="I1725" s="553">
        <v>89</v>
      </c>
      <c r="J1725" s="553">
        <v>52</v>
      </c>
      <c r="K1725" s="553">
        <v>54</v>
      </c>
      <c r="L1725" s="553">
        <v>3</v>
      </c>
      <c r="M1725" s="505" t="s">
        <v>137</v>
      </c>
      <c r="N1725" s="500">
        <v>43013540070000</v>
      </c>
      <c r="O1725" s="553" t="s">
        <v>2229</v>
      </c>
      <c r="P1725" s="650" t="s">
        <v>2372</v>
      </c>
      <c r="Q1725" s="564" t="s">
        <v>583</v>
      </c>
      <c r="R1725" s="564">
        <v>2</v>
      </c>
    </row>
    <row r="1726" spans="1:18" ht="25.5" customHeight="1" x14ac:dyDescent="0.25">
      <c r="A1726" s="553">
        <v>18</v>
      </c>
      <c r="B1726" s="553">
        <v>3</v>
      </c>
      <c r="C1726" s="553">
        <v>2</v>
      </c>
      <c r="D1726" s="553">
        <v>4</v>
      </c>
      <c r="E1726" s="553">
        <v>2</v>
      </c>
      <c r="F1726" s="553">
        <v>2</v>
      </c>
      <c r="G1726" s="553" t="s">
        <v>485</v>
      </c>
      <c r="H1726" s="553">
        <v>1329.85</v>
      </c>
      <c r="I1726" s="553">
        <v>89</v>
      </c>
      <c r="J1726" s="553">
        <v>52</v>
      </c>
      <c r="K1726" s="553">
        <v>54</v>
      </c>
      <c r="L1726" s="553">
        <v>3</v>
      </c>
      <c r="M1726" s="505" t="s">
        <v>137</v>
      </c>
      <c r="N1726" s="500">
        <v>43013540070000</v>
      </c>
      <c r="O1726" s="553" t="s">
        <v>2229</v>
      </c>
      <c r="P1726" s="650" t="s">
        <v>2373</v>
      </c>
      <c r="Q1726" s="564" t="s">
        <v>583</v>
      </c>
      <c r="R1726" s="564">
        <v>2</v>
      </c>
    </row>
    <row r="1727" spans="1:18" ht="25.5" customHeight="1" x14ac:dyDescent="0.25">
      <c r="A1727" s="553">
        <v>18</v>
      </c>
      <c r="B1727" s="553">
        <v>3</v>
      </c>
      <c r="C1727" s="553">
        <v>2</v>
      </c>
      <c r="D1727" s="553">
        <v>4</v>
      </c>
      <c r="E1727" s="553">
        <v>2</v>
      </c>
      <c r="F1727" s="553">
        <v>2</v>
      </c>
      <c r="G1727" s="553" t="s">
        <v>487</v>
      </c>
      <c r="H1727" s="553">
        <v>1352.825</v>
      </c>
      <c r="I1727" s="553">
        <v>89</v>
      </c>
      <c r="J1727" s="553">
        <v>41</v>
      </c>
      <c r="K1727" s="553">
        <v>33</v>
      </c>
      <c r="L1727" s="553">
        <v>3</v>
      </c>
      <c r="M1727" s="505" t="s">
        <v>137</v>
      </c>
      <c r="N1727" s="500">
        <v>43013540070000</v>
      </c>
      <c r="O1727" s="553" t="s">
        <v>2229</v>
      </c>
      <c r="P1727" s="650" t="s">
        <v>2374</v>
      </c>
      <c r="Q1727" s="564" t="s">
        <v>583</v>
      </c>
      <c r="R1727" s="564">
        <v>2</v>
      </c>
    </row>
    <row r="1728" spans="1:18" ht="25.5" customHeight="1" x14ac:dyDescent="0.25">
      <c r="A1728" s="553">
        <v>18</v>
      </c>
      <c r="B1728" s="553">
        <v>3</v>
      </c>
      <c r="C1728" s="553">
        <v>2</v>
      </c>
      <c r="D1728" s="553">
        <v>4</v>
      </c>
      <c r="E1728" s="553">
        <v>2</v>
      </c>
      <c r="F1728" s="553">
        <v>2</v>
      </c>
      <c r="G1728" s="502" t="s">
        <v>489</v>
      </c>
      <c r="H1728" s="553">
        <v>1352.825</v>
      </c>
      <c r="I1728" s="553">
        <v>89</v>
      </c>
      <c r="J1728" s="553">
        <v>41</v>
      </c>
      <c r="K1728" s="553">
        <v>33</v>
      </c>
      <c r="L1728" s="553">
        <v>3</v>
      </c>
      <c r="M1728" s="505" t="s">
        <v>137</v>
      </c>
      <c r="N1728" s="500">
        <v>43013540070000</v>
      </c>
      <c r="O1728" s="553" t="s">
        <v>2229</v>
      </c>
      <c r="P1728" s="650" t="s">
        <v>2375</v>
      </c>
      <c r="Q1728" s="564" t="s">
        <v>583</v>
      </c>
      <c r="R1728" s="564">
        <v>2</v>
      </c>
    </row>
    <row r="1729" spans="1:18" ht="25.5" customHeight="1" x14ac:dyDescent="0.25">
      <c r="A1729" s="553">
        <v>18</v>
      </c>
      <c r="B1729" s="553">
        <v>3</v>
      </c>
      <c r="C1729" s="553">
        <v>2</v>
      </c>
      <c r="D1729" s="553">
        <v>4</v>
      </c>
      <c r="E1729" s="553">
        <v>2</v>
      </c>
      <c r="F1729" s="553">
        <v>2</v>
      </c>
      <c r="G1729" s="553" t="s">
        <v>491</v>
      </c>
      <c r="H1729" s="553">
        <v>1327.7550000000001</v>
      </c>
      <c r="I1729" s="553">
        <v>89</v>
      </c>
      <c r="J1729" s="553">
        <v>41</v>
      </c>
      <c r="K1729" s="553">
        <v>33</v>
      </c>
      <c r="L1729" s="553">
        <v>3</v>
      </c>
      <c r="M1729" s="505" t="s">
        <v>137</v>
      </c>
      <c r="N1729" s="500">
        <v>43013540070000</v>
      </c>
      <c r="O1729" s="553" t="s">
        <v>2229</v>
      </c>
      <c r="P1729" s="650" t="s">
        <v>2376</v>
      </c>
      <c r="Q1729" s="564" t="s">
        <v>583</v>
      </c>
      <c r="R1729" s="564">
        <v>2</v>
      </c>
    </row>
    <row r="1730" spans="1:18" ht="25.5" customHeight="1" x14ac:dyDescent="0.25">
      <c r="A1730" s="553">
        <v>18</v>
      </c>
      <c r="B1730" s="553">
        <v>3</v>
      </c>
      <c r="C1730" s="553">
        <v>2</v>
      </c>
      <c r="D1730" s="553">
        <v>4</v>
      </c>
      <c r="E1730" s="553">
        <v>2</v>
      </c>
      <c r="F1730" s="553">
        <v>2</v>
      </c>
      <c r="G1730" s="553" t="s">
        <v>494</v>
      </c>
      <c r="H1730" s="553">
        <v>1327.7550000000001</v>
      </c>
      <c r="I1730" s="553">
        <v>89</v>
      </c>
      <c r="J1730" s="553">
        <v>41</v>
      </c>
      <c r="K1730" s="553">
        <v>33</v>
      </c>
      <c r="L1730" s="553">
        <v>3</v>
      </c>
      <c r="M1730" s="505" t="s">
        <v>137</v>
      </c>
      <c r="N1730" s="500">
        <v>43013540070000</v>
      </c>
      <c r="O1730" s="553" t="s">
        <v>2229</v>
      </c>
      <c r="P1730" s="650" t="s">
        <v>2377</v>
      </c>
      <c r="Q1730" s="564" t="s">
        <v>583</v>
      </c>
      <c r="R1730" s="564">
        <v>2</v>
      </c>
    </row>
    <row r="1731" spans="1:18" ht="26.25" customHeight="1" x14ac:dyDescent="0.25">
      <c r="A1731" s="553">
        <v>18</v>
      </c>
      <c r="B1731" s="553">
        <v>2</v>
      </c>
      <c r="C1731" s="553">
        <v>2</v>
      </c>
      <c r="D1731" s="553">
        <v>2</v>
      </c>
      <c r="E1731" s="553">
        <v>2</v>
      </c>
      <c r="F1731" s="553">
        <v>2</v>
      </c>
      <c r="G1731" s="553" t="s">
        <v>473</v>
      </c>
      <c r="H1731" s="564">
        <v>1314.65</v>
      </c>
      <c r="I1731" s="564">
        <v>0</v>
      </c>
      <c r="J1731" s="564">
        <v>12</v>
      </c>
      <c r="K1731" s="564">
        <v>35</v>
      </c>
      <c r="L1731" s="564">
        <v>3</v>
      </c>
      <c r="M1731" s="562" t="s">
        <v>137</v>
      </c>
      <c r="N1731" s="563">
        <v>4301353746</v>
      </c>
      <c r="O1731" s="522" t="s">
        <v>2378</v>
      </c>
      <c r="P1731" s="522" t="s">
        <v>2379</v>
      </c>
      <c r="Q1731" s="522"/>
      <c r="R1731" s="564">
        <v>1</v>
      </c>
    </row>
    <row r="1732" spans="1:18" ht="26.25" customHeight="1" x14ac:dyDescent="0.25">
      <c r="A1732" s="553">
        <v>18</v>
      </c>
      <c r="B1732" s="553">
        <v>2</v>
      </c>
      <c r="C1732" s="553">
        <v>2</v>
      </c>
      <c r="D1732" s="553">
        <v>2</v>
      </c>
      <c r="E1732" s="553">
        <v>2</v>
      </c>
      <c r="F1732" s="553">
        <v>2</v>
      </c>
      <c r="G1732" s="502" t="s">
        <v>476</v>
      </c>
      <c r="H1732" s="522">
        <v>1314.65</v>
      </c>
      <c r="I1732" s="522">
        <v>0</v>
      </c>
      <c r="J1732" s="522">
        <v>12</v>
      </c>
      <c r="K1732" s="522">
        <v>35</v>
      </c>
      <c r="L1732" s="522">
        <v>3</v>
      </c>
      <c r="M1732" s="562" t="s">
        <v>137</v>
      </c>
      <c r="N1732" s="563">
        <v>4301353747</v>
      </c>
      <c r="O1732" s="522" t="s">
        <v>2380</v>
      </c>
      <c r="P1732" s="522" t="s">
        <v>2381</v>
      </c>
      <c r="Q1732" s="522"/>
      <c r="R1732" s="564">
        <v>1</v>
      </c>
    </row>
    <row r="1733" spans="1:18" ht="26.25" customHeight="1" x14ac:dyDescent="0.25">
      <c r="A1733" s="553">
        <v>18</v>
      </c>
      <c r="B1733" s="553">
        <v>2</v>
      </c>
      <c r="C1733" s="553">
        <v>2</v>
      </c>
      <c r="D1733" s="553">
        <v>2</v>
      </c>
      <c r="E1733" s="553">
        <v>2</v>
      </c>
      <c r="F1733" s="553">
        <v>2</v>
      </c>
      <c r="G1733" s="553" t="s">
        <v>478</v>
      </c>
      <c r="H1733" s="522">
        <v>1325.36</v>
      </c>
      <c r="I1733" s="522">
        <v>0</v>
      </c>
      <c r="J1733" s="522">
        <v>11</v>
      </c>
      <c r="K1733" s="522">
        <v>15</v>
      </c>
      <c r="L1733" s="522">
        <v>2</v>
      </c>
      <c r="M1733" s="562" t="s">
        <v>137</v>
      </c>
      <c r="N1733" s="563">
        <v>4301353748</v>
      </c>
      <c r="O1733" s="522" t="s">
        <v>2382</v>
      </c>
      <c r="P1733" s="522" t="s">
        <v>2383</v>
      </c>
      <c r="Q1733" s="522"/>
      <c r="R1733" s="564">
        <v>1</v>
      </c>
    </row>
    <row r="1734" spans="1:18" ht="26.25" customHeight="1" x14ac:dyDescent="0.25">
      <c r="A1734" s="553">
        <v>18</v>
      </c>
      <c r="B1734" s="553">
        <v>2</v>
      </c>
      <c r="C1734" s="553">
        <v>2</v>
      </c>
      <c r="D1734" s="553">
        <v>2</v>
      </c>
      <c r="E1734" s="553">
        <v>2</v>
      </c>
      <c r="F1734" s="553">
        <v>2</v>
      </c>
      <c r="G1734" s="553" t="s">
        <v>484</v>
      </c>
      <c r="H1734" s="564">
        <v>1325.36</v>
      </c>
      <c r="I1734" s="564">
        <v>0</v>
      </c>
      <c r="J1734" s="564">
        <v>11</v>
      </c>
      <c r="K1734" s="564">
        <v>15</v>
      </c>
      <c r="L1734" s="564">
        <v>2</v>
      </c>
      <c r="M1734" s="562" t="s">
        <v>137</v>
      </c>
      <c r="N1734" s="563">
        <v>4301353749</v>
      </c>
      <c r="O1734" s="522" t="s">
        <v>2384</v>
      </c>
      <c r="P1734" s="522" t="s">
        <v>2385</v>
      </c>
      <c r="Q1734" s="522"/>
      <c r="R1734" s="564">
        <v>1</v>
      </c>
    </row>
    <row r="1735" spans="1:18" ht="26.25" customHeight="1" x14ac:dyDescent="0.25">
      <c r="A1735" s="553">
        <v>18</v>
      </c>
      <c r="B1735" s="553">
        <v>2</v>
      </c>
      <c r="C1735" s="553">
        <v>2</v>
      </c>
      <c r="D1735" s="553">
        <v>2</v>
      </c>
      <c r="E1735" s="553">
        <v>2</v>
      </c>
      <c r="F1735" s="553">
        <v>2</v>
      </c>
      <c r="G1735" s="553" t="s">
        <v>486</v>
      </c>
      <c r="H1735" s="564">
        <v>1317.21</v>
      </c>
      <c r="I1735" s="564">
        <v>0</v>
      </c>
      <c r="J1735" s="564">
        <v>2</v>
      </c>
      <c r="K1735" s="564">
        <v>45</v>
      </c>
      <c r="L1735" s="564">
        <v>4</v>
      </c>
      <c r="M1735" s="562" t="s">
        <v>137</v>
      </c>
      <c r="N1735" s="563">
        <v>4301353750</v>
      </c>
      <c r="O1735" s="522" t="s">
        <v>2386</v>
      </c>
      <c r="P1735" s="522" t="s">
        <v>2387</v>
      </c>
      <c r="Q1735" s="522"/>
      <c r="R1735" s="564">
        <v>1</v>
      </c>
    </row>
    <row r="1736" spans="1:18" ht="26.25" customHeight="1" x14ac:dyDescent="0.25">
      <c r="A1736" s="553">
        <v>18</v>
      </c>
      <c r="B1736" s="553">
        <v>2</v>
      </c>
      <c r="C1736" s="553">
        <v>2</v>
      </c>
      <c r="D1736" s="553">
        <v>2</v>
      </c>
      <c r="E1736" s="553">
        <v>2</v>
      </c>
      <c r="F1736" s="553">
        <v>2</v>
      </c>
      <c r="G1736" s="502" t="s">
        <v>488</v>
      </c>
      <c r="H1736" s="522">
        <v>1317.21</v>
      </c>
      <c r="I1736" s="522">
        <v>0</v>
      </c>
      <c r="J1736" s="522">
        <v>2</v>
      </c>
      <c r="K1736" s="522">
        <v>45</v>
      </c>
      <c r="L1736" s="522">
        <v>4</v>
      </c>
      <c r="M1736" s="562" t="s">
        <v>137</v>
      </c>
      <c r="N1736" s="563">
        <v>4301353751</v>
      </c>
      <c r="O1736" s="522" t="s">
        <v>2388</v>
      </c>
      <c r="P1736" s="522" t="s">
        <v>2389</v>
      </c>
      <c r="Q1736" s="522"/>
      <c r="R1736" s="564">
        <v>1</v>
      </c>
    </row>
    <row r="1737" spans="1:18" ht="26.25" customHeight="1" x14ac:dyDescent="0.25">
      <c r="A1737" s="553">
        <v>18</v>
      </c>
      <c r="B1737" s="553">
        <v>2</v>
      </c>
      <c r="C1737" s="553">
        <v>2</v>
      </c>
      <c r="D1737" s="553">
        <v>2</v>
      </c>
      <c r="E1737" s="553">
        <v>2</v>
      </c>
      <c r="F1737" s="553">
        <v>2</v>
      </c>
      <c r="G1737" s="553" t="s">
        <v>490</v>
      </c>
      <c r="H1737" s="522">
        <v>1318.54</v>
      </c>
      <c r="I1737" s="522">
        <v>0</v>
      </c>
      <c r="J1737" s="522">
        <v>2</v>
      </c>
      <c r="K1737" s="522">
        <v>42</v>
      </c>
      <c r="L1737" s="522">
        <v>4</v>
      </c>
      <c r="M1737" s="562" t="s">
        <v>137</v>
      </c>
      <c r="N1737" s="563">
        <v>4301353752</v>
      </c>
      <c r="O1737" s="522" t="s">
        <v>2390</v>
      </c>
      <c r="P1737" s="522" t="s">
        <v>2391</v>
      </c>
      <c r="Q1737" s="522"/>
      <c r="R1737" s="564">
        <v>1</v>
      </c>
    </row>
    <row r="1738" spans="1:18" ht="26.25" customHeight="1" x14ac:dyDescent="0.25">
      <c r="A1738" s="553">
        <v>18</v>
      </c>
      <c r="B1738" s="553">
        <v>2</v>
      </c>
      <c r="C1738" s="553">
        <v>2</v>
      </c>
      <c r="D1738" s="553">
        <v>2</v>
      </c>
      <c r="E1738" s="553">
        <v>2</v>
      </c>
      <c r="F1738" s="553">
        <v>2</v>
      </c>
      <c r="G1738" s="553" t="s">
        <v>493</v>
      </c>
      <c r="H1738" s="564">
        <v>1318.54</v>
      </c>
      <c r="I1738" s="564">
        <v>0</v>
      </c>
      <c r="J1738" s="564">
        <v>2</v>
      </c>
      <c r="K1738" s="564">
        <v>42</v>
      </c>
      <c r="L1738" s="564">
        <v>4</v>
      </c>
      <c r="M1738" s="562" t="s">
        <v>137</v>
      </c>
      <c r="N1738" s="563">
        <v>4301353753</v>
      </c>
      <c r="O1738" s="522" t="s">
        <v>2392</v>
      </c>
      <c r="P1738" s="522" t="s">
        <v>2393</v>
      </c>
      <c r="Q1738" s="522"/>
      <c r="R1738" s="564">
        <v>1</v>
      </c>
    </row>
    <row r="1739" spans="1:18" ht="26.25" customHeight="1" x14ac:dyDescent="0.25">
      <c r="A1739" s="553">
        <v>18</v>
      </c>
      <c r="B1739" s="553">
        <v>2</v>
      </c>
      <c r="C1739" s="553">
        <v>2</v>
      </c>
      <c r="D1739" s="553">
        <v>2</v>
      </c>
      <c r="E1739" s="553">
        <v>2</v>
      </c>
      <c r="F1739" s="553">
        <v>2</v>
      </c>
      <c r="G1739" s="553" t="s">
        <v>474</v>
      </c>
      <c r="H1739" s="564">
        <v>1266.7</v>
      </c>
      <c r="I1739" s="564">
        <v>89</v>
      </c>
      <c r="J1739" s="564">
        <v>57</v>
      </c>
      <c r="K1739" s="564">
        <v>44</v>
      </c>
      <c r="L1739" s="564">
        <v>4</v>
      </c>
      <c r="M1739" s="562" t="s">
        <v>137</v>
      </c>
      <c r="N1739" s="563">
        <v>4301353754</v>
      </c>
      <c r="O1739" s="522" t="s">
        <v>2394</v>
      </c>
      <c r="P1739" s="522" t="s">
        <v>2395</v>
      </c>
      <c r="Q1739" s="522"/>
      <c r="R1739" s="564">
        <v>1</v>
      </c>
    </row>
    <row r="1740" spans="1:18" ht="26.25" customHeight="1" x14ac:dyDescent="0.25">
      <c r="A1740" s="553">
        <v>18</v>
      </c>
      <c r="B1740" s="553">
        <v>2</v>
      </c>
      <c r="C1740" s="553">
        <v>2</v>
      </c>
      <c r="D1740" s="553">
        <v>2</v>
      </c>
      <c r="E1740" s="553">
        <v>2</v>
      </c>
      <c r="F1740" s="553">
        <v>2</v>
      </c>
      <c r="G1740" s="502" t="s">
        <v>477</v>
      </c>
      <c r="H1740" s="522">
        <v>1266.7</v>
      </c>
      <c r="I1740" s="522">
        <v>89</v>
      </c>
      <c r="J1740" s="522">
        <v>57</v>
      </c>
      <c r="K1740" s="522">
        <v>44</v>
      </c>
      <c r="L1740" s="522">
        <v>4</v>
      </c>
      <c r="M1740" s="562" t="s">
        <v>137</v>
      </c>
      <c r="N1740" s="563">
        <v>4301353755</v>
      </c>
      <c r="O1740" s="522" t="s">
        <v>2396</v>
      </c>
      <c r="P1740" s="522" t="s">
        <v>2397</v>
      </c>
      <c r="Q1740" s="522"/>
      <c r="R1740" s="564">
        <v>1</v>
      </c>
    </row>
    <row r="1741" spans="1:18" ht="26.25" customHeight="1" x14ac:dyDescent="0.25">
      <c r="A1741" s="553">
        <v>18</v>
      </c>
      <c r="B1741" s="553">
        <v>2</v>
      </c>
      <c r="C1741" s="553">
        <v>2</v>
      </c>
      <c r="D1741" s="553">
        <v>2</v>
      </c>
      <c r="E1741" s="553">
        <v>2</v>
      </c>
      <c r="F1741" s="553">
        <v>2</v>
      </c>
      <c r="G1741" s="553" t="s">
        <v>479</v>
      </c>
      <c r="H1741" s="522">
        <v>1317.17</v>
      </c>
      <c r="I1741" s="522">
        <v>89</v>
      </c>
      <c r="J1741" s="522">
        <v>57</v>
      </c>
      <c r="K1741" s="522">
        <v>36</v>
      </c>
      <c r="L1741" s="522">
        <v>4</v>
      </c>
      <c r="M1741" s="562" t="s">
        <v>137</v>
      </c>
      <c r="N1741" s="563">
        <v>4301353756</v>
      </c>
      <c r="O1741" s="522" t="s">
        <v>2398</v>
      </c>
      <c r="P1741" s="522" t="s">
        <v>2399</v>
      </c>
      <c r="Q1741" s="522"/>
      <c r="R1741" s="564">
        <v>1</v>
      </c>
    </row>
    <row r="1742" spans="1:18" ht="26.25" customHeight="1" x14ac:dyDescent="0.25">
      <c r="A1742" s="553">
        <v>18</v>
      </c>
      <c r="B1742" s="553">
        <v>2</v>
      </c>
      <c r="C1742" s="553">
        <v>2</v>
      </c>
      <c r="D1742" s="553">
        <v>2</v>
      </c>
      <c r="E1742" s="553">
        <v>2</v>
      </c>
      <c r="F1742" s="553">
        <v>2</v>
      </c>
      <c r="G1742" s="553" t="s">
        <v>485</v>
      </c>
      <c r="H1742" s="564">
        <v>1317.17</v>
      </c>
      <c r="I1742" s="564">
        <v>89</v>
      </c>
      <c r="J1742" s="564">
        <v>57</v>
      </c>
      <c r="K1742" s="564">
        <v>36</v>
      </c>
      <c r="L1742" s="564">
        <v>4</v>
      </c>
      <c r="M1742" s="562" t="s">
        <v>137</v>
      </c>
      <c r="N1742" s="563">
        <v>4301353757</v>
      </c>
      <c r="O1742" s="522" t="s">
        <v>2400</v>
      </c>
      <c r="P1742" s="522" t="s">
        <v>2401</v>
      </c>
      <c r="Q1742" s="522"/>
      <c r="R1742" s="564">
        <v>1</v>
      </c>
    </row>
    <row r="1743" spans="1:18" ht="26.25" customHeight="1" x14ac:dyDescent="0.25">
      <c r="A1743" s="553">
        <v>18</v>
      </c>
      <c r="B1743" s="553">
        <v>2</v>
      </c>
      <c r="C1743" s="553">
        <v>2</v>
      </c>
      <c r="D1743" s="553">
        <v>2</v>
      </c>
      <c r="E1743" s="553">
        <v>2</v>
      </c>
      <c r="F1743" s="553">
        <v>2</v>
      </c>
      <c r="G1743" s="553" t="s">
        <v>487</v>
      </c>
      <c r="H1743" s="564">
        <v>1271.6949999999999</v>
      </c>
      <c r="I1743" s="564">
        <v>89</v>
      </c>
      <c r="J1743" s="564">
        <v>56</v>
      </c>
      <c r="K1743" s="564">
        <v>37</v>
      </c>
      <c r="L1743" s="564">
        <v>4</v>
      </c>
      <c r="M1743" s="562" t="s">
        <v>137</v>
      </c>
      <c r="N1743" s="563">
        <v>4301353758</v>
      </c>
      <c r="O1743" s="522" t="s">
        <v>2402</v>
      </c>
      <c r="P1743" s="522" t="s">
        <v>2403</v>
      </c>
      <c r="Q1743" s="522"/>
      <c r="R1743" s="564">
        <v>1</v>
      </c>
    </row>
    <row r="1744" spans="1:18" ht="15" customHeight="1" x14ac:dyDescent="0.25">
      <c r="A1744" s="553">
        <v>18</v>
      </c>
      <c r="B1744" s="553">
        <v>2</v>
      </c>
      <c r="C1744" s="553">
        <v>2</v>
      </c>
      <c r="D1744" s="553">
        <v>2</v>
      </c>
      <c r="E1744" s="553">
        <v>2</v>
      </c>
      <c r="F1744" s="553">
        <v>2</v>
      </c>
      <c r="G1744" s="502" t="s">
        <v>489</v>
      </c>
      <c r="H1744" s="522">
        <v>1271.6949999999999</v>
      </c>
      <c r="I1744" s="522">
        <v>89</v>
      </c>
      <c r="J1744" s="522">
        <v>56</v>
      </c>
      <c r="K1744" s="522">
        <v>37</v>
      </c>
      <c r="L1744" s="522">
        <v>4</v>
      </c>
      <c r="M1744" s="562" t="s">
        <v>137</v>
      </c>
      <c r="N1744" s="563">
        <v>4301353759</v>
      </c>
      <c r="O1744" s="522" t="s">
        <v>2404</v>
      </c>
      <c r="P1744" s="522" t="s">
        <v>2405</v>
      </c>
      <c r="Q1744" s="522"/>
      <c r="R1744" s="564">
        <v>1</v>
      </c>
    </row>
    <row r="1745" spans="1:18" ht="15" customHeight="1" x14ac:dyDescent="0.25">
      <c r="A1745" s="553">
        <v>18</v>
      </c>
      <c r="B1745" s="553">
        <v>2</v>
      </c>
      <c r="C1745" s="553">
        <v>2</v>
      </c>
      <c r="D1745" s="553">
        <v>2</v>
      </c>
      <c r="E1745" s="553">
        <v>2</v>
      </c>
      <c r="F1745" s="553">
        <v>2</v>
      </c>
      <c r="G1745" s="553" t="s">
        <v>491</v>
      </c>
      <c r="H1745" s="522">
        <v>1323.415</v>
      </c>
      <c r="I1745" s="522">
        <v>89</v>
      </c>
      <c r="J1745" s="522">
        <v>50</v>
      </c>
      <c r="K1745" s="522">
        <v>16</v>
      </c>
      <c r="L1745" s="522">
        <v>3</v>
      </c>
      <c r="M1745" s="562" t="s">
        <v>137</v>
      </c>
      <c r="N1745" s="563">
        <v>4301353760</v>
      </c>
      <c r="O1745" s="522" t="s">
        <v>2406</v>
      </c>
      <c r="P1745" s="522" t="s">
        <v>2407</v>
      </c>
      <c r="Q1745" s="522"/>
      <c r="R1745" s="564">
        <v>1</v>
      </c>
    </row>
    <row r="1746" spans="1:18" ht="15" customHeight="1" x14ac:dyDescent="0.25">
      <c r="A1746" s="553">
        <v>18</v>
      </c>
      <c r="B1746" s="553">
        <v>2</v>
      </c>
      <c r="C1746" s="553">
        <v>2</v>
      </c>
      <c r="D1746" s="553">
        <v>2</v>
      </c>
      <c r="E1746" s="553">
        <v>2</v>
      </c>
      <c r="F1746" s="553">
        <v>2</v>
      </c>
      <c r="G1746" s="553" t="s">
        <v>494</v>
      </c>
      <c r="H1746" s="564">
        <v>1323.415</v>
      </c>
      <c r="I1746" s="564">
        <v>89</v>
      </c>
      <c r="J1746" s="564">
        <v>50</v>
      </c>
      <c r="K1746" s="564">
        <v>16</v>
      </c>
      <c r="L1746" s="564">
        <v>3</v>
      </c>
      <c r="M1746" s="562" t="s">
        <v>137</v>
      </c>
      <c r="N1746" s="563">
        <v>4301353761</v>
      </c>
      <c r="O1746" s="522" t="s">
        <v>2408</v>
      </c>
      <c r="P1746" s="522" t="s">
        <v>2409</v>
      </c>
      <c r="Q1746" s="522"/>
      <c r="R1746" s="564">
        <v>1</v>
      </c>
    </row>
    <row r="1747" spans="1:18" ht="15" customHeight="1" x14ac:dyDescent="0.25">
      <c r="A1747" s="564">
        <v>18</v>
      </c>
      <c r="B1747" s="564">
        <v>3</v>
      </c>
      <c r="C1747" s="564">
        <v>2</v>
      </c>
      <c r="D1747" s="564">
        <v>1</v>
      </c>
      <c r="E1747" s="564">
        <v>2</v>
      </c>
      <c r="F1747" s="564">
        <v>2</v>
      </c>
      <c r="G1747" s="553" t="s">
        <v>473</v>
      </c>
      <c r="H1747" s="564">
        <v>1332.71</v>
      </c>
      <c r="I1747" s="564">
        <v>0</v>
      </c>
      <c r="J1747" s="564">
        <v>56</v>
      </c>
      <c r="K1747" s="564">
        <v>1</v>
      </c>
      <c r="L1747" s="564">
        <v>2</v>
      </c>
      <c r="M1747" s="561" t="s">
        <v>137</v>
      </c>
      <c r="N1747" s="520">
        <v>4301353957</v>
      </c>
      <c r="O1747" s="564" t="s">
        <v>2410</v>
      </c>
      <c r="P1747" s="522" t="s">
        <v>2411</v>
      </c>
      <c r="Q1747" s="564"/>
      <c r="R1747" s="564">
        <v>2</v>
      </c>
    </row>
    <row r="1748" spans="1:18" ht="15" customHeight="1" x14ac:dyDescent="0.25">
      <c r="A1748" s="564">
        <v>18</v>
      </c>
      <c r="B1748" s="564">
        <v>3</v>
      </c>
      <c r="C1748" s="564">
        <v>2</v>
      </c>
      <c r="D1748" s="564">
        <v>1</v>
      </c>
      <c r="E1748" s="564">
        <v>2</v>
      </c>
      <c r="F1748" s="564">
        <v>2</v>
      </c>
      <c r="G1748" s="502" t="s">
        <v>476</v>
      </c>
      <c r="H1748" s="564">
        <v>1315.58</v>
      </c>
      <c r="I1748" s="564">
        <v>1</v>
      </c>
      <c r="J1748" s="564">
        <v>7</v>
      </c>
      <c r="K1748" s="564">
        <v>58</v>
      </c>
      <c r="L1748" s="564">
        <v>4</v>
      </c>
      <c r="M1748" s="561" t="s">
        <v>137</v>
      </c>
      <c r="N1748" s="520">
        <v>4301353957</v>
      </c>
      <c r="O1748" s="564" t="s">
        <v>2410</v>
      </c>
      <c r="P1748" s="522" t="s">
        <v>2412</v>
      </c>
      <c r="Q1748" s="564"/>
      <c r="R1748" s="564">
        <v>2</v>
      </c>
    </row>
    <row r="1749" spans="1:18" ht="15" customHeight="1" x14ac:dyDescent="0.25">
      <c r="A1749" s="564">
        <v>18</v>
      </c>
      <c r="B1749" s="564">
        <v>3</v>
      </c>
      <c r="C1749" s="564">
        <v>2</v>
      </c>
      <c r="D1749" s="564">
        <v>1</v>
      </c>
      <c r="E1749" s="564">
        <v>2</v>
      </c>
      <c r="F1749" s="564">
        <v>2</v>
      </c>
      <c r="G1749" s="553" t="s">
        <v>478</v>
      </c>
      <c r="H1749" s="564">
        <v>1323.3</v>
      </c>
      <c r="I1749" s="564">
        <v>0</v>
      </c>
      <c r="J1749" s="564">
        <v>12</v>
      </c>
      <c r="K1749" s="564">
        <v>52</v>
      </c>
      <c r="L1749" s="564">
        <v>4</v>
      </c>
      <c r="M1749" s="561" t="s">
        <v>137</v>
      </c>
      <c r="N1749" s="520">
        <v>4301353957</v>
      </c>
      <c r="O1749" s="564" t="s">
        <v>2410</v>
      </c>
      <c r="P1749" s="522" t="s">
        <v>2413</v>
      </c>
      <c r="Q1749" s="564"/>
      <c r="R1749" s="564">
        <v>2</v>
      </c>
    </row>
    <row r="1750" spans="1:18" ht="15" customHeight="1" x14ac:dyDescent="0.25">
      <c r="A1750" s="564">
        <v>18</v>
      </c>
      <c r="B1750" s="564">
        <v>3</v>
      </c>
      <c r="C1750" s="564">
        <v>2</v>
      </c>
      <c r="D1750" s="564">
        <v>1</v>
      </c>
      <c r="E1750" s="564">
        <v>2</v>
      </c>
      <c r="F1750" s="564">
        <v>2</v>
      </c>
      <c r="G1750" s="553" t="s">
        <v>484</v>
      </c>
      <c r="H1750" s="564">
        <v>1322.43</v>
      </c>
      <c r="I1750" s="564">
        <v>0</v>
      </c>
      <c r="J1750" s="564">
        <v>6</v>
      </c>
      <c r="K1750" s="564">
        <v>5</v>
      </c>
      <c r="L1750" s="564">
        <v>4</v>
      </c>
      <c r="M1750" s="561" t="s">
        <v>137</v>
      </c>
      <c r="N1750" s="520">
        <v>4301353957</v>
      </c>
      <c r="O1750" s="564" t="s">
        <v>2410</v>
      </c>
      <c r="P1750" s="522" t="s">
        <v>2414</v>
      </c>
      <c r="Q1750" s="564"/>
      <c r="R1750" s="564">
        <v>2</v>
      </c>
    </row>
    <row r="1751" spans="1:18" ht="15" customHeight="1" x14ac:dyDescent="0.25">
      <c r="A1751" s="564">
        <v>18</v>
      </c>
      <c r="B1751" s="564">
        <v>3</v>
      </c>
      <c r="C1751" s="564">
        <v>2</v>
      </c>
      <c r="D1751" s="564">
        <v>1</v>
      </c>
      <c r="E1751" s="564">
        <v>2</v>
      </c>
      <c r="F1751" s="564">
        <v>2</v>
      </c>
      <c r="G1751" s="553" t="s">
        <v>486</v>
      </c>
      <c r="H1751" s="564">
        <v>1330.55</v>
      </c>
      <c r="I1751" s="564">
        <v>0</v>
      </c>
      <c r="J1751" s="564">
        <v>15</v>
      </c>
      <c r="K1751" s="564">
        <v>53</v>
      </c>
      <c r="L1751" s="564">
        <v>1</v>
      </c>
      <c r="M1751" s="561" t="s">
        <v>137</v>
      </c>
      <c r="N1751" s="520">
        <v>4301353957</v>
      </c>
      <c r="O1751" s="564" t="s">
        <v>2410</v>
      </c>
      <c r="P1751" s="522" t="s">
        <v>2415</v>
      </c>
      <c r="Q1751" s="564"/>
      <c r="R1751" s="564">
        <v>2</v>
      </c>
    </row>
    <row r="1752" spans="1:18" ht="15" customHeight="1" x14ac:dyDescent="0.25">
      <c r="A1752" s="564">
        <v>18</v>
      </c>
      <c r="B1752" s="564">
        <v>3</v>
      </c>
      <c r="C1752" s="564">
        <v>2</v>
      </c>
      <c r="D1752" s="564">
        <v>1</v>
      </c>
      <c r="E1752" s="564">
        <v>2</v>
      </c>
      <c r="F1752" s="564">
        <v>2</v>
      </c>
      <c r="G1752" s="502" t="s">
        <v>488</v>
      </c>
      <c r="H1752" s="564">
        <v>1330.55</v>
      </c>
      <c r="I1752" s="564">
        <v>0</v>
      </c>
      <c r="J1752" s="564">
        <v>15</v>
      </c>
      <c r="K1752" s="564">
        <v>53</v>
      </c>
      <c r="L1752" s="564">
        <v>1</v>
      </c>
      <c r="M1752" s="561" t="s">
        <v>137</v>
      </c>
      <c r="N1752" s="520">
        <v>4301353957</v>
      </c>
      <c r="O1752" s="564" t="s">
        <v>2410</v>
      </c>
      <c r="P1752" s="522" t="s">
        <v>2416</v>
      </c>
      <c r="Q1752" s="564"/>
      <c r="R1752" s="564">
        <v>2</v>
      </c>
    </row>
    <row r="1753" spans="1:18" ht="15" customHeight="1" x14ac:dyDescent="0.25">
      <c r="A1753" s="564">
        <v>18</v>
      </c>
      <c r="B1753" s="564">
        <v>3</v>
      </c>
      <c r="C1753" s="564">
        <v>2</v>
      </c>
      <c r="D1753" s="564">
        <v>1</v>
      </c>
      <c r="E1753" s="564">
        <v>2</v>
      </c>
      <c r="F1753" s="564">
        <v>2</v>
      </c>
      <c r="G1753" s="553" t="s">
        <v>490</v>
      </c>
      <c r="H1753" s="564">
        <v>1331.53</v>
      </c>
      <c r="I1753" s="564">
        <v>0</v>
      </c>
      <c r="J1753" s="564">
        <v>0</v>
      </c>
      <c r="K1753" s="564">
        <v>25</v>
      </c>
      <c r="L1753" s="564">
        <v>1</v>
      </c>
      <c r="M1753" s="561" t="s">
        <v>137</v>
      </c>
      <c r="N1753" s="520">
        <v>4301353957</v>
      </c>
      <c r="O1753" s="564" t="s">
        <v>2410</v>
      </c>
      <c r="P1753" s="522" t="s">
        <v>2417</v>
      </c>
      <c r="Q1753" s="564"/>
      <c r="R1753" s="564">
        <v>2</v>
      </c>
    </row>
    <row r="1754" spans="1:18" ht="15" customHeight="1" x14ac:dyDescent="0.25">
      <c r="A1754" s="564">
        <v>18</v>
      </c>
      <c r="B1754" s="564">
        <v>3</v>
      </c>
      <c r="C1754" s="564">
        <v>2</v>
      </c>
      <c r="D1754" s="564">
        <v>1</v>
      </c>
      <c r="E1754" s="564">
        <v>2</v>
      </c>
      <c r="F1754" s="564">
        <v>2</v>
      </c>
      <c r="G1754" s="553" t="s">
        <v>493</v>
      </c>
      <c r="H1754" s="564">
        <v>1331.53</v>
      </c>
      <c r="I1754" s="564">
        <v>0</v>
      </c>
      <c r="J1754" s="564">
        <v>0</v>
      </c>
      <c r="K1754" s="564">
        <v>25</v>
      </c>
      <c r="L1754" s="564">
        <v>1</v>
      </c>
      <c r="M1754" s="561" t="s">
        <v>137</v>
      </c>
      <c r="N1754" s="520">
        <v>4301353957</v>
      </c>
      <c r="O1754" s="564" t="s">
        <v>2410</v>
      </c>
      <c r="P1754" s="522" t="s">
        <v>2418</v>
      </c>
      <c r="Q1754" s="564"/>
      <c r="R1754" s="564">
        <v>2</v>
      </c>
    </row>
    <row r="1755" spans="1:18" ht="15" customHeight="1" x14ac:dyDescent="0.25">
      <c r="A1755" s="564">
        <v>18</v>
      </c>
      <c r="B1755" s="564">
        <v>3</v>
      </c>
      <c r="C1755" s="564">
        <v>2</v>
      </c>
      <c r="D1755" s="564">
        <v>1</v>
      </c>
      <c r="E1755" s="564">
        <v>2</v>
      </c>
      <c r="F1755" s="564">
        <v>2</v>
      </c>
      <c r="G1755" s="553" t="s">
        <v>474</v>
      </c>
      <c r="H1755" s="564">
        <v>1309.8399999999999</v>
      </c>
      <c r="I1755" s="564">
        <v>89</v>
      </c>
      <c r="J1755" s="564">
        <v>53</v>
      </c>
      <c r="K1755" s="564">
        <v>18</v>
      </c>
      <c r="L1755" s="564">
        <v>2</v>
      </c>
      <c r="M1755" s="561" t="s">
        <v>137</v>
      </c>
      <c r="N1755" s="520">
        <v>4301353957</v>
      </c>
      <c r="O1755" s="564" t="s">
        <v>2410</v>
      </c>
      <c r="P1755" s="522" t="s">
        <v>2419</v>
      </c>
      <c r="Q1755" s="564"/>
      <c r="R1755" s="564">
        <v>2</v>
      </c>
    </row>
    <row r="1756" spans="1:18" ht="15" customHeight="1" x14ac:dyDescent="0.25">
      <c r="A1756" s="564">
        <v>18</v>
      </c>
      <c r="B1756" s="564">
        <v>3</v>
      </c>
      <c r="C1756" s="564">
        <v>2</v>
      </c>
      <c r="D1756" s="564">
        <v>1</v>
      </c>
      <c r="E1756" s="564">
        <v>2</v>
      </c>
      <c r="F1756" s="564">
        <v>2</v>
      </c>
      <c r="G1756" s="502" t="s">
        <v>477</v>
      </c>
      <c r="H1756" s="564">
        <v>1307.6199999999999</v>
      </c>
      <c r="I1756" s="564">
        <v>87</v>
      </c>
      <c r="J1756" s="564">
        <v>12</v>
      </c>
      <c r="K1756" s="564">
        <v>31</v>
      </c>
      <c r="L1756" s="564">
        <v>2</v>
      </c>
      <c r="M1756" s="561" t="s">
        <v>137</v>
      </c>
      <c r="N1756" s="520">
        <v>4301353957</v>
      </c>
      <c r="O1756" s="564" t="s">
        <v>2410</v>
      </c>
      <c r="P1756" s="522" t="s">
        <v>2420</v>
      </c>
      <c r="Q1756" s="564"/>
      <c r="R1756" s="564">
        <v>2</v>
      </c>
    </row>
    <row r="1757" spans="1:18" ht="15" customHeight="1" x14ac:dyDescent="0.25">
      <c r="A1757" s="564">
        <v>18</v>
      </c>
      <c r="B1757" s="564">
        <v>3</v>
      </c>
      <c r="C1757" s="564">
        <v>2</v>
      </c>
      <c r="D1757" s="564">
        <v>1</v>
      </c>
      <c r="E1757" s="564">
        <v>2</v>
      </c>
      <c r="F1757" s="564">
        <v>2</v>
      </c>
      <c r="G1757" s="553" t="s">
        <v>479</v>
      </c>
      <c r="H1757" s="564">
        <v>1326.58</v>
      </c>
      <c r="I1757" s="564">
        <v>89</v>
      </c>
      <c r="J1757" s="564">
        <v>46</v>
      </c>
      <c r="K1757" s="564">
        <v>55</v>
      </c>
      <c r="L1757" s="564">
        <v>2</v>
      </c>
      <c r="M1757" s="561" t="s">
        <v>137</v>
      </c>
      <c r="N1757" s="520">
        <v>4301353957</v>
      </c>
      <c r="O1757" s="564" t="s">
        <v>2410</v>
      </c>
      <c r="P1757" s="522" t="s">
        <v>2421</v>
      </c>
      <c r="Q1757" s="564"/>
      <c r="R1757" s="564">
        <v>2</v>
      </c>
    </row>
    <row r="1758" spans="1:18" ht="15" customHeight="1" x14ac:dyDescent="0.25">
      <c r="A1758" s="564">
        <v>18</v>
      </c>
      <c r="B1758" s="564">
        <v>3</v>
      </c>
      <c r="C1758" s="564">
        <v>2</v>
      </c>
      <c r="D1758" s="564">
        <v>1</v>
      </c>
      <c r="E1758" s="564">
        <v>2</v>
      </c>
      <c r="F1758" s="564">
        <v>2</v>
      </c>
      <c r="G1758" s="553" t="s">
        <v>485</v>
      </c>
      <c r="H1758" s="564">
        <v>1326.58</v>
      </c>
      <c r="I1758" s="564">
        <v>89</v>
      </c>
      <c r="J1758" s="564">
        <v>46</v>
      </c>
      <c r="K1758" s="564">
        <v>55</v>
      </c>
      <c r="L1758" s="564">
        <v>2</v>
      </c>
      <c r="M1758" s="561" t="s">
        <v>137</v>
      </c>
      <c r="N1758" s="520">
        <v>4301353957</v>
      </c>
      <c r="O1758" s="564" t="s">
        <v>2410</v>
      </c>
      <c r="P1758" s="522" t="s">
        <v>2422</v>
      </c>
      <c r="Q1758" s="564"/>
      <c r="R1758" s="564">
        <v>2</v>
      </c>
    </row>
    <row r="1759" spans="1:18" ht="15" customHeight="1" x14ac:dyDescent="0.25">
      <c r="A1759" s="564">
        <v>18</v>
      </c>
      <c r="B1759" s="564">
        <v>3</v>
      </c>
      <c r="C1759" s="564">
        <v>2</v>
      </c>
      <c r="D1759" s="564">
        <v>1</v>
      </c>
      <c r="E1759" s="564">
        <v>2</v>
      </c>
      <c r="F1759" s="564">
        <v>2</v>
      </c>
      <c r="G1759" s="553" t="s">
        <v>487</v>
      </c>
      <c r="H1759" s="564">
        <v>1317.4974999999999</v>
      </c>
      <c r="I1759" s="564">
        <v>89</v>
      </c>
      <c r="J1759" s="564">
        <v>30</v>
      </c>
      <c r="K1759" s="564">
        <v>8</v>
      </c>
      <c r="L1759" s="564">
        <v>3</v>
      </c>
      <c r="M1759" s="561" t="s">
        <v>137</v>
      </c>
      <c r="N1759" s="520">
        <v>4301353957</v>
      </c>
      <c r="O1759" s="564" t="s">
        <v>2410</v>
      </c>
      <c r="P1759" s="522" t="s">
        <v>2423</v>
      </c>
      <c r="Q1759" s="564"/>
      <c r="R1759" s="564">
        <v>2</v>
      </c>
    </row>
    <row r="1760" spans="1:18" ht="15" customHeight="1" x14ac:dyDescent="0.25">
      <c r="A1760" s="564">
        <v>18</v>
      </c>
      <c r="B1760" s="564">
        <v>3</v>
      </c>
      <c r="C1760" s="564">
        <v>2</v>
      </c>
      <c r="D1760" s="564">
        <v>1</v>
      </c>
      <c r="E1760" s="564">
        <v>2</v>
      </c>
      <c r="F1760" s="564">
        <v>2</v>
      </c>
      <c r="G1760" s="502" t="s">
        <v>489</v>
      </c>
      <c r="H1760" s="564">
        <v>1317.4974999999999</v>
      </c>
      <c r="I1760" s="564">
        <v>89</v>
      </c>
      <c r="J1760" s="564">
        <v>30</v>
      </c>
      <c r="K1760" s="564">
        <v>8</v>
      </c>
      <c r="L1760" s="564">
        <v>3</v>
      </c>
      <c r="M1760" s="561" t="s">
        <v>137</v>
      </c>
      <c r="N1760" s="520">
        <v>4301353957</v>
      </c>
      <c r="O1760" s="564" t="s">
        <v>2410</v>
      </c>
      <c r="P1760" s="522" t="s">
        <v>2424</v>
      </c>
      <c r="Q1760" s="564"/>
      <c r="R1760" s="564">
        <v>2</v>
      </c>
    </row>
    <row r="1761" spans="1:18" ht="15" customHeight="1" x14ac:dyDescent="0.25">
      <c r="A1761" s="564">
        <v>18</v>
      </c>
      <c r="B1761" s="564">
        <v>3</v>
      </c>
      <c r="C1761" s="564">
        <v>2</v>
      </c>
      <c r="D1761" s="564">
        <v>1</v>
      </c>
      <c r="E1761" s="564">
        <v>2</v>
      </c>
      <c r="F1761" s="564">
        <v>2</v>
      </c>
      <c r="G1761" s="553" t="s">
        <v>491</v>
      </c>
      <c r="H1761" s="564">
        <v>1317.4974999999999</v>
      </c>
      <c r="I1761" s="564">
        <v>89</v>
      </c>
      <c r="J1761" s="564">
        <v>30</v>
      </c>
      <c r="K1761" s="564">
        <v>8</v>
      </c>
      <c r="L1761" s="564">
        <v>3</v>
      </c>
      <c r="M1761" s="561" t="s">
        <v>137</v>
      </c>
      <c r="N1761" s="520">
        <v>4301353957</v>
      </c>
      <c r="O1761" s="564" t="s">
        <v>2410</v>
      </c>
      <c r="P1761" s="522" t="s">
        <v>2425</v>
      </c>
      <c r="Q1761" s="564"/>
      <c r="R1761" s="564">
        <v>2</v>
      </c>
    </row>
    <row r="1762" spans="1:18" ht="15" customHeight="1" x14ac:dyDescent="0.25">
      <c r="A1762" s="564">
        <v>18</v>
      </c>
      <c r="B1762" s="564">
        <v>3</v>
      </c>
      <c r="C1762" s="564">
        <v>2</v>
      </c>
      <c r="D1762" s="564">
        <v>1</v>
      </c>
      <c r="E1762" s="564">
        <v>2</v>
      </c>
      <c r="F1762" s="564">
        <v>2</v>
      </c>
      <c r="G1762" s="553" t="s">
        <v>494</v>
      </c>
      <c r="H1762" s="564">
        <v>1317.4974999999999</v>
      </c>
      <c r="I1762" s="564">
        <v>89</v>
      </c>
      <c r="J1762" s="564">
        <v>30</v>
      </c>
      <c r="K1762" s="564">
        <v>8</v>
      </c>
      <c r="L1762" s="564">
        <v>3</v>
      </c>
      <c r="M1762" s="561" t="s">
        <v>137</v>
      </c>
      <c r="N1762" s="520">
        <v>4301353957</v>
      </c>
      <c r="O1762" s="564" t="s">
        <v>2410</v>
      </c>
      <c r="P1762" s="522" t="s">
        <v>2426</v>
      </c>
      <c r="Q1762" s="564"/>
      <c r="R1762" s="564">
        <v>2</v>
      </c>
    </row>
    <row r="1763" spans="1:18" ht="15" customHeight="1" x14ac:dyDescent="0.25">
      <c r="A1763" s="553">
        <v>19</v>
      </c>
      <c r="B1763" s="553">
        <v>9</v>
      </c>
      <c r="C1763" s="553">
        <v>2</v>
      </c>
      <c r="D1763" s="553">
        <v>21</v>
      </c>
      <c r="E1763" s="553">
        <v>1</v>
      </c>
      <c r="F1763" s="553">
        <v>1</v>
      </c>
      <c r="G1763" s="553" t="s">
        <v>473</v>
      </c>
      <c r="H1763" s="553">
        <v>1313.19</v>
      </c>
      <c r="I1763" s="553">
        <v>0</v>
      </c>
      <c r="J1763" s="553">
        <v>55</v>
      </c>
      <c r="K1763" s="553">
        <v>8</v>
      </c>
      <c r="L1763" s="553">
        <v>4</v>
      </c>
      <c r="M1763" s="505"/>
      <c r="N1763" s="500"/>
      <c r="O1763" s="553"/>
      <c r="P1763" s="650" t="s">
        <v>2427</v>
      </c>
      <c r="Q1763" s="564" t="s">
        <v>583</v>
      </c>
      <c r="R1763" s="564">
        <v>1</v>
      </c>
    </row>
    <row r="1764" spans="1:18" ht="15" customHeight="1" x14ac:dyDescent="0.25">
      <c r="A1764" s="553">
        <v>19</v>
      </c>
      <c r="B1764" s="553">
        <v>9</v>
      </c>
      <c r="C1764" s="553">
        <v>2</v>
      </c>
      <c r="D1764" s="553">
        <v>21</v>
      </c>
      <c r="E1764" s="553">
        <v>1</v>
      </c>
      <c r="F1764" s="553">
        <v>1</v>
      </c>
      <c r="G1764" s="502" t="s">
        <v>476</v>
      </c>
      <c r="H1764" s="553">
        <v>1313.19</v>
      </c>
      <c r="I1764" s="553">
        <v>0</v>
      </c>
      <c r="J1764" s="553">
        <v>55</v>
      </c>
      <c r="K1764" s="553">
        <v>8</v>
      </c>
      <c r="L1764" s="553">
        <v>4</v>
      </c>
      <c r="M1764" s="505"/>
      <c r="N1764" s="500"/>
      <c r="O1764" s="553"/>
      <c r="P1764" s="650" t="s">
        <v>2428</v>
      </c>
      <c r="Q1764" s="564" t="s">
        <v>583</v>
      </c>
      <c r="R1764" s="564">
        <v>1</v>
      </c>
    </row>
    <row r="1765" spans="1:18" ht="15" customHeight="1" x14ac:dyDescent="0.25">
      <c r="A1765" s="553">
        <v>19</v>
      </c>
      <c r="B1765" s="553">
        <v>9</v>
      </c>
      <c r="C1765" s="553">
        <v>2</v>
      </c>
      <c r="D1765" s="553">
        <v>21</v>
      </c>
      <c r="E1765" s="553">
        <v>1</v>
      </c>
      <c r="F1765" s="553">
        <v>1</v>
      </c>
      <c r="G1765" s="553" t="s">
        <v>478</v>
      </c>
      <c r="H1765" s="553">
        <v>1319.51</v>
      </c>
      <c r="I1765" s="553">
        <v>0</v>
      </c>
      <c r="J1765" s="553">
        <v>57</v>
      </c>
      <c r="K1765" s="553">
        <v>52</v>
      </c>
      <c r="L1765" s="553">
        <v>4</v>
      </c>
      <c r="M1765" s="505"/>
      <c r="N1765" s="500"/>
      <c r="O1765" s="553"/>
      <c r="P1765" s="650" t="s">
        <v>2429</v>
      </c>
      <c r="Q1765" s="564" t="s">
        <v>583</v>
      </c>
      <c r="R1765" s="564">
        <v>1</v>
      </c>
    </row>
    <row r="1766" spans="1:18" ht="15" customHeight="1" x14ac:dyDescent="0.25">
      <c r="A1766" s="553">
        <v>19</v>
      </c>
      <c r="B1766" s="553">
        <v>9</v>
      </c>
      <c r="C1766" s="553">
        <v>2</v>
      </c>
      <c r="D1766" s="553">
        <v>21</v>
      </c>
      <c r="E1766" s="553">
        <v>1</v>
      </c>
      <c r="F1766" s="553">
        <v>1</v>
      </c>
      <c r="G1766" s="553" t="s">
        <v>484</v>
      </c>
      <c r="H1766" s="553">
        <v>1319.51</v>
      </c>
      <c r="I1766" s="553">
        <v>0</v>
      </c>
      <c r="J1766" s="553">
        <v>57</v>
      </c>
      <c r="K1766" s="553">
        <v>52</v>
      </c>
      <c r="L1766" s="553">
        <v>4</v>
      </c>
      <c r="M1766" s="505"/>
      <c r="N1766" s="500"/>
      <c r="O1766" s="553"/>
      <c r="P1766" s="650" t="s">
        <v>2430</v>
      </c>
      <c r="Q1766" s="564" t="s">
        <v>583</v>
      </c>
      <c r="R1766" s="564">
        <v>1</v>
      </c>
    </row>
    <row r="1767" spans="1:18" ht="15" customHeight="1" x14ac:dyDescent="0.25">
      <c r="A1767" s="553">
        <v>19</v>
      </c>
      <c r="B1767" s="553">
        <v>9</v>
      </c>
      <c r="C1767" s="553">
        <v>2</v>
      </c>
      <c r="D1767" s="553">
        <v>21</v>
      </c>
      <c r="E1767" s="553">
        <v>1</v>
      </c>
      <c r="F1767" s="553">
        <v>1</v>
      </c>
      <c r="G1767" s="553" t="s">
        <v>486</v>
      </c>
      <c r="H1767" s="553">
        <v>1328.645</v>
      </c>
      <c r="I1767" s="553">
        <v>0</v>
      </c>
      <c r="J1767" s="553">
        <v>3</v>
      </c>
      <c r="K1767" s="553">
        <v>14</v>
      </c>
      <c r="L1767" s="553">
        <v>4</v>
      </c>
      <c r="M1767" s="505"/>
      <c r="N1767" s="500"/>
      <c r="O1767" s="553"/>
      <c r="P1767" s="650" t="s">
        <v>2431</v>
      </c>
      <c r="Q1767" s="564" t="s">
        <v>583</v>
      </c>
      <c r="R1767" s="564">
        <v>1</v>
      </c>
    </row>
    <row r="1768" spans="1:18" ht="15" customHeight="1" x14ac:dyDescent="0.25">
      <c r="A1768" s="553">
        <v>19</v>
      </c>
      <c r="B1768" s="553">
        <v>9</v>
      </c>
      <c r="C1768" s="553">
        <v>2</v>
      </c>
      <c r="D1768" s="553">
        <v>21</v>
      </c>
      <c r="E1768" s="553">
        <v>1</v>
      </c>
      <c r="F1768" s="553">
        <v>1</v>
      </c>
      <c r="G1768" s="502" t="s">
        <v>488</v>
      </c>
      <c r="H1768" s="553">
        <v>1328.645</v>
      </c>
      <c r="I1768" s="553">
        <v>0</v>
      </c>
      <c r="J1768" s="553">
        <v>3</v>
      </c>
      <c r="K1768" s="553">
        <v>14</v>
      </c>
      <c r="L1768" s="553">
        <v>4</v>
      </c>
      <c r="M1768" s="505"/>
      <c r="N1768" s="500"/>
      <c r="O1768" s="553"/>
      <c r="P1768" s="650" t="s">
        <v>2432</v>
      </c>
      <c r="Q1768" s="564" t="s">
        <v>583</v>
      </c>
      <c r="R1768" s="564">
        <v>1</v>
      </c>
    </row>
    <row r="1769" spans="1:18" ht="15" customHeight="1" x14ac:dyDescent="0.25">
      <c r="A1769" s="553">
        <v>19</v>
      </c>
      <c r="B1769" s="553">
        <v>9</v>
      </c>
      <c r="C1769" s="553">
        <v>2</v>
      </c>
      <c r="D1769" s="553">
        <v>21</v>
      </c>
      <c r="E1769" s="553">
        <v>1</v>
      </c>
      <c r="F1769" s="553">
        <v>1</v>
      </c>
      <c r="G1769" s="553" t="s">
        <v>490</v>
      </c>
      <c r="H1769" s="553">
        <v>1319.51</v>
      </c>
      <c r="I1769" s="553">
        <v>0</v>
      </c>
      <c r="J1769" s="553">
        <v>57</v>
      </c>
      <c r="K1769" s="553">
        <v>52</v>
      </c>
      <c r="L1769" s="553">
        <v>4</v>
      </c>
      <c r="M1769" s="505"/>
      <c r="N1769" s="500"/>
      <c r="O1769" s="553"/>
      <c r="P1769" s="650" t="s">
        <v>2433</v>
      </c>
      <c r="Q1769" s="564" t="s">
        <v>583</v>
      </c>
      <c r="R1769" s="564">
        <v>1</v>
      </c>
    </row>
    <row r="1770" spans="1:18" ht="15" customHeight="1" x14ac:dyDescent="0.25">
      <c r="A1770" s="553">
        <v>19</v>
      </c>
      <c r="B1770" s="553">
        <v>9</v>
      </c>
      <c r="C1770" s="553">
        <v>2</v>
      </c>
      <c r="D1770" s="553">
        <v>21</v>
      </c>
      <c r="E1770" s="553">
        <v>1</v>
      </c>
      <c r="F1770" s="553">
        <v>1</v>
      </c>
      <c r="G1770" s="553" t="s">
        <v>493</v>
      </c>
      <c r="H1770" s="553">
        <v>1319.51</v>
      </c>
      <c r="I1770" s="553">
        <v>0</v>
      </c>
      <c r="J1770" s="553">
        <v>57</v>
      </c>
      <c r="K1770" s="553">
        <v>52</v>
      </c>
      <c r="L1770" s="553">
        <v>4</v>
      </c>
      <c r="M1770" s="505"/>
      <c r="N1770" s="500"/>
      <c r="O1770" s="553"/>
      <c r="P1770" s="650" t="s">
        <v>2434</v>
      </c>
      <c r="Q1770" s="564" t="s">
        <v>583</v>
      </c>
      <c r="R1770" s="564">
        <v>1</v>
      </c>
    </row>
    <row r="1771" spans="1:18" ht="15" customHeight="1" x14ac:dyDescent="0.25">
      <c r="A1771" s="553">
        <v>19</v>
      </c>
      <c r="B1771" s="553">
        <v>9</v>
      </c>
      <c r="C1771" s="553">
        <v>2</v>
      </c>
      <c r="D1771" s="553">
        <v>21</v>
      </c>
      <c r="E1771" s="553">
        <v>1</v>
      </c>
      <c r="F1771" s="553">
        <v>1</v>
      </c>
      <c r="G1771" s="553" t="s">
        <v>474</v>
      </c>
      <c r="H1771" s="553">
        <v>1552.17</v>
      </c>
      <c r="I1771" s="553">
        <v>89</v>
      </c>
      <c r="J1771" s="553">
        <v>41</v>
      </c>
      <c r="K1771" s="553">
        <v>11</v>
      </c>
      <c r="L1771" s="553">
        <v>3</v>
      </c>
      <c r="M1771" s="505"/>
      <c r="N1771" s="500"/>
      <c r="O1771" s="553"/>
      <c r="P1771" s="650" t="s">
        <v>2435</v>
      </c>
      <c r="Q1771" s="564" t="s">
        <v>583</v>
      </c>
      <c r="R1771" s="564">
        <v>1</v>
      </c>
    </row>
    <row r="1772" spans="1:18" ht="15" customHeight="1" x14ac:dyDescent="0.25">
      <c r="A1772" s="553">
        <v>19</v>
      </c>
      <c r="B1772" s="553">
        <v>9</v>
      </c>
      <c r="C1772" s="553">
        <v>2</v>
      </c>
      <c r="D1772" s="553">
        <v>21</v>
      </c>
      <c r="E1772" s="553">
        <v>1</v>
      </c>
      <c r="F1772" s="553">
        <v>1</v>
      </c>
      <c r="G1772" s="502" t="s">
        <v>477</v>
      </c>
      <c r="H1772" s="553">
        <v>1552.17</v>
      </c>
      <c r="I1772" s="553">
        <v>89</v>
      </c>
      <c r="J1772" s="553">
        <v>41</v>
      </c>
      <c r="K1772" s="553">
        <v>11</v>
      </c>
      <c r="L1772" s="553">
        <v>3</v>
      </c>
      <c r="M1772" s="505"/>
      <c r="N1772" s="500"/>
      <c r="O1772" s="553"/>
      <c r="P1772" s="650" t="s">
        <v>2436</v>
      </c>
      <c r="Q1772" s="564" t="s">
        <v>583</v>
      </c>
      <c r="R1772" s="564">
        <v>1</v>
      </c>
    </row>
    <row r="1773" spans="1:18" ht="15" customHeight="1" x14ac:dyDescent="0.25">
      <c r="A1773" s="553">
        <v>19</v>
      </c>
      <c r="B1773" s="553">
        <v>9</v>
      </c>
      <c r="C1773" s="553">
        <v>2</v>
      </c>
      <c r="D1773" s="553">
        <v>21</v>
      </c>
      <c r="E1773" s="553">
        <v>1</v>
      </c>
      <c r="F1773" s="553">
        <v>1</v>
      </c>
      <c r="G1773" s="553" t="s">
        <v>479</v>
      </c>
      <c r="H1773" s="553">
        <v>1322.01</v>
      </c>
      <c r="I1773" s="553">
        <v>89</v>
      </c>
      <c r="J1773" s="553">
        <v>59</v>
      </c>
      <c r="K1773" s="553">
        <v>21</v>
      </c>
      <c r="L1773" s="553">
        <v>1</v>
      </c>
      <c r="M1773" s="505"/>
      <c r="N1773" s="500"/>
      <c r="O1773" s="553"/>
      <c r="P1773" s="650" t="s">
        <v>2437</v>
      </c>
      <c r="Q1773" s="564" t="s">
        <v>583</v>
      </c>
      <c r="R1773" s="564">
        <v>1</v>
      </c>
    </row>
    <row r="1774" spans="1:18" ht="15" customHeight="1" x14ac:dyDescent="0.25">
      <c r="A1774" s="553">
        <v>19</v>
      </c>
      <c r="B1774" s="553">
        <v>9</v>
      </c>
      <c r="C1774" s="553">
        <v>2</v>
      </c>
      <c r="D1774" s="553">
        <v>21</v>
      </c>
      <c r="E1774" s="553">
        <v>1</v>
      </c>
      <c r="F1774" s="553">
        <v>1</v>
      </c>
      <c r="G1774" s="553" t="s">
        <v>485</v>
      </c>
      <c r="H1774" s="553">
        <v>1322.01</v>
      </c>
      <c r="I1774" s="553">
        <v>89</v>
      </c>
      <c r="J1774" s="553">
        <v>59</v>
      </c>
      <c r="K1774" s="553">
        <v>21</v>
      </c>
      <c r="L1774" s="553">
        <v>1</v>
      </c>
      <c r="M1774" s="505"/>
      <c r="N1774" s="500"/>
      <c r="O1774" s="553"/>
      <c r="P1774" s="650" t="s">
        <v>2438</v>
      </c>
      <c r="Q1774" s="564" t="s">
        <v>583</v>
      </c>
      <c r="R1774" s="564">
        <v>1</v>
      </c>
    </row>
    <row r="1775" spans="1:18" ht="15" customHeight="1" x14ac:dyDescent="0.25">
      <c r="A1775" s="553">
        <v>19</v>
      </c>
      <c r="B1775" s="553">
        <v>9</v>
      </c>
      <c r="C1775" s="553">
        <v>2</v>
      </c>
      <c r="D1775" s="553">
        <v>21</v>
      </c>
      <c r="E1775" s="553">
        <v>1</v>
      </c>
      <c r="F1775" s="553">
        <v>1</v>
      </c>
      <c r="G1775" s="553" t="s">
        <v>487</v>
      </c>
      <c r="H1775" s="553">
        <v>1316.425</v>
      </c>
      <c r="I1775" s="553">
        <v>89</v>
      </c>
      <c r="J1775" s="553">
        <v>5</v>
      </c>
      <c r="K1775" s="553">
        <v>57</v>
      </c>
      <c r="L1775" s="553">
        <v>3</v>
      </c>
      <c r="M1775" s="505"/>
      <c r="N1775" s="500"/>
      <c r="O1775" s="553"/>
      <c r="P1775" s="650" t="s">
        <v>2439</v>
      </c>
      <c r="Q1775" s="564" t="s">
        <v>583</v>
      </c>
      <c r="R1775" s="564">
        <v>1</v>
      </c>
    </row>
    <row r="1776" spans="1:18" ht="15" customHeight="1" x14ac:dyDescent="0.25">
      <c r="A1776" s="553">
        <v>19</v>
      </c>
      <c r="B1776" s="553">
        <v>9</v>
      </c>
      <c r="C1776" s="553">
        <v>2</v>
      </c>
      <c r="D1776" s="553">
        <v>21</v>
      </c>
      <c r="E1776" s="553">
        <v>1</v>
      </c>
      <c r="F1776" s="553">
        <v>1</v>
      </c>
      <c r="G1776" s="502" t="s">
        <v>489</v>
      </c>
      <c r="H1776" s="553">
        <v>1316.425</v>
      </c>
      <c r="I1776" s="553">
        <v>89</v>
      </c>
      <c r="J1776" s="553">
        <v>5</v>
      </c>
      <c r="K1776" s="553">
        <v>57</v>
      </c>
      <c r="L1776" s="553">
        <v>3</v>
      </c>
      <c r="M1776" s="505"/>
      <c r="N1776" s="500"/>
      <c r="O1776" s="553"/>
      <c r="P1776" s="650" t="s">
        <v>2440</v>
      </c>
      <c r="Q1776" s="564" t="s">
        <v>583</v>
      </c>
      <c r="R1776" s="564">
        <v>1</v>
      </c>
    </row>
    <row r="1777" spans="1:18" ht="15" customHeight="1" x14ac:dyDescent="0.25">
      <c r="A1777" s="553">
        <v>19</v>
      </c>
      <c r="B1777" s="553">
        <v>9</v>
      </c>
      <c r="C1777" s="553">
        <v>2</v>
      </c>
      <c r="D1777" s="553">
        <v>21</v>
      </c>
      <c r="E1777" s="553">
        <v>1</v>
      </c>
      <c r="F1777" s="553">
        <v>1</v>
      </c>
      <c r="G1777" s="553" t="s">
        <v>491</v>
      </c>
      <c r="H1777" s="553">
        <v>1320.595</v>
      </c>
      <c r="I1777" s="553">
        <v>89</v>
      </c>
      <c r="J1777" s="553">
        <v>17</v>
      </c>
      <c r="K1777" s="553">
        <v>32</v>
      </c>
      <c r="L1777" s="553">
        <v>3</v>
      </c>
      <c r="M1777" s="505"/>
      <c r="N1777" s="500"/>
      <c r="O1777" s="553"/>
      <c r="P1777" s="650" t="s">
        <v>2441</v>
      </c>
      <c r="Q1777" s="564" t="s">
        <v>583</v>
      </c>
      <c r="R1777" s="564">
        <v>1</v>
      </c>
    </row>
    <row r="1778" spans="1:18" ht="15" customHeight="1" x14ac:dyDescent="0.25">
      <c r="A1778" s="553">
        <v>19</v>
      </c>
      <c r="B1778" s="553">
        <v>9</v>
      </c>
      <c r="C1778" s="553">
        <v>2</v>
      </c>
      <c r="D1778" s="553">
        <v>21</v>
      </c>
      <c r="E1778" s="553">
        <v>1</v>
      </c>
      <c r="F1778" s="553">
        <v>1</v>
      </c>
      <c r="G1778" s="553" t="s">
        <v>494</v>
      </c>
      <c r="H1778" s="553">
        <v>1320.595</v>
      </c>
      <c r="I1778" s="553">
        <v>89</v>
      </c>
      <c r="J1778" s="553">
        <v>17</v>
      </c>
      <c r="K1778" s="553">
        <v>32</v>
      </c>
      <c r="L1778" s="553">
        <v>3</v>
      </c>
      <c r="M1778" s="505"/>
      <c r="N1778" s="500"/>
      <c r="O1778" s="553"/>
      <c r="P1778" s="650" t="s">
        <v>2442</v>
      </c>
      <c r="Q1778" s="564" t="s">
        <v>583</v>
      </c>
      <c r="R1778" s="564">
        <v>1</v>
      </c>
    </row>
    <row r="1779" spans="1:18" ht="15" customHeight="1" x14ac:dyDescent="0.25">
      <c r="A1779" s="553">
        <v>19</v>
      </c>
      <c r="B1779" s="553">
        <v>2</v>
      </c>
      <c r="C1779" s="553">
        <v>2</v>
      </c>
      <c r="D1779" s="553">
        <v>1</v>
      </c>
      <c r="E1779" s="553">
        <v>1</v>
      </c>
      <c r="F1779" s="553">
        <v>2</v>
      </c>
      <c r="G1779" s="553" t="s">
        <v>473</v>
      </c>
      <c r="H1779" s="553">
        <v>1325.01</v>
      </c>
      <c r="I1779" s="553">
        <v>0</v>
      </c>
      <c r="J1779" s="553">
        <v>6</v>
      </c>
      <c r="K1779" s="553">
        <v>37</v>
      </c>
      <c r="L1779" s="553">
        <v>4</v>
      </c>
      <c r="M1779" s="505" t="s">
        <v>137</v>
      </c>
      <c r="N1779" s="500">
        <v>43047560760000</v>
      </c>
      <c r="O1779" s="553" t="s">
        <v>2312</v>
      </c>
      <c r="P1779" s="650" t="s">
        <v>2443</v>
      </c>
      <c r="Q1779" s="564" t="s">
        <v>583</v>
      </c>
      <c r="R1779" s="564">
        <v>2</v>
      </c>
    </row>
    <row r="1780" spans="1:18" ht="15" customHeight="1" x14ac:dyDescent="0.25">
      <c r="A1780" s="553">
        <v>19</v>
      </c>
      <c r="B1780" s="553">
        <v>2</v>
      </c>
      <c r="C1780" s="553">
        <v>2</v>
      </c>
      <c r="D1780" s="553">
        <v>1</v>
      </c>
      <c r="E1780" s="553">
        <v>1</v>
      </c>
      <c r="F1780" s="553">
        <v>2</v>
      </c>
      <c r="G1780" s="502" t="s">
        <v>476</v>
      </c>
      <c r="H1780" s="553">
        <v>1325.01</v>
      </c>
      <c r="I1780" s="553">
        <v>0</v>
      </c>
      <c r="J1780" s="553">
        <v>6</v>
      </c>
      <c r="K1780" s="553">
        <v>37</v>
      </c>
      <c r="L1780" s="553">
        <v>4</v>
      </c>
      <c r="M1780" s="505" t="s">
        <v>137</v>
      </c>
      <c r="N1780" s="500">
        <v>43047560760000</v>
      </c>
      <c r="O1780" s="553" t="s">
        <v>2312</v>
      </c>
      <c r="P1780" s="650" t="s">
        <v>2444</v>
      </c>
      <c r="Q1780" s="564" t="s">
        <v>583</v>
      </c>
      <c r="R1780" s="564">
        <v>2</v>
      </c>
    </row>
    <row r="1781" spans="1:18" ht="15" customHeight="1" x14ac:dyDescent="0.25">
      <c r="A1781" s="553">
        <v>19</v>
      </c>
      <c r="B1781" s="553">
        <v>2</v>
      </c>
      <c r="C1781" s="553">
        <v>2</v>
      </c>
      <c r="D1781" s="553">
        <v>1</v>
      </c>
      <c r="E1781" s="553">
        <v>1</v>
      </c>
      <c r="F1781" s="553">
        <v>2</v>
      </c>
      <c r="G1781" s="553" t="s">
        <v>478</v>
      </c>
      <c r="H1781" s="553">
        <v>1320.56</v>
      </c>
      <c r="I1781" s="553">
        <v>0</v>
      </c>
      <c r="J1781" s="553">
        <v>13</v>
      </c>
      <c r="K1781" s="553">
        <v>27</v>
      </c>
      <c r="L1781" s="553">
        <v>4</v>
      </c>
      <c r="M1781" s="505" t="s">
        <v>137</v>
      </c>
      <c r="N1781" s="500">
        <v>43047560760000</v>
      </c>
      <c r="O1781" s="553" t="s">
        <v>2312</v>
      </c>
      <c r="P1781" s="650" t="s">
        <v>2445</v>
      </c>
      <c r="Q1781" s="564" t="s">
        <v>583</v>
      </c>
      <c r="R1781" s="564">
        <v>2</v>
      </c>
    </row>
    <row r="1782" spans="1:18" ht="15" customHeight="1" x14ac:dyDescent="0.25">
      <c r="A1782" s="553">
        <v>19</v>
      </c>
      <c r="B1782" s="553">
        <v>2</v>
      </c>
      <c r="C1782" s="553">
        <v>2</v>
      </c>
      <c r="D1782" s="553">
        <v>1</v>
      </c>
      <c r="E1782" s="553">
        <v>1</v>
      </c>
      <c r="F1782" s="553">
        <v>2</v>
      </c>
      <c r="G1782" s="553" t="s">
        <v>484</v>
      </c>
      <c r="H1782" s="553">
        <v>1319.23</v>
      </c>
      <c r="I1782" s="553">
        <v>0</v>
      </c>
      <c r="J1782" s="553">
        <v>13</v>
      </c>
      <c r="K1782" s="553">
        <v>27</v>
      </c>
      <c r="L1782" s="553">
        <v>4</v>
      </c>
      <c r="M1782" s="505" t="s">
        <v>137</v>
      </c>
      <c r="N1782" s="500">
        <v>43047560760000</v>
      </c>
      <c r="O1782" s="553" t="s">
        <v>2312</v>
      </c>
      <c r="P1782" s="650" t="s">
        <v>2446</v>
      </c>
      <c r="Q1782" s="564" t="s">
        <v>583</v>
      </c>
      <c r="R1782" s="564">
        <v>2</v>
      </c>
    </row>
    <row r="1783" spans="1:18" ht="15" customHeight="1" x14ac:dyDescent="0.25">
      <c r="A1783" s="553">
        <v>19</v>
      </c>
      <c r="B1783" s="553">
        <v>2</v>
      </c>
      <c r="C1783" s="553">
        <v>2</v>
      </c>
      <c r="D1783" s="553">
        <v>1</v>
      </c>
      <c r="E1783" s="553">
        <v>1</v>
      </c>
      <c r="F1783" s="553">
        <v>2</v>
      </c>
      <c r="G1783" s="553" t="s">
        <v>486</v>
      </c>
      <c r="H1783" s="553">
        <v>1320.33</v>
      </c>
      <c r="I1783" s="553">
        <v>0</v>
      </c>
      <c r="J1783" s="553">
        <v>7</v>
      </c>
      <c r="K1783" s="553">
        <v>57</v>
      </c>
      <c r="L1783" s="553">
        <v>4</v>
      </c>
      <c r="M1783" s="505" t="s">
        <v>137</v>
      </c>
      <c r="N1783" s="500">
        <v>43047560760000</v>
      </c>
      <c r="O1783" s="553" t="s">
        <v>2312</v>
      </c>
      <c r="P1783" s="650" t="s">
        <v>2447</v>
      </c>
      <c r="Q1783" s="564" t="s">
        <v>583</v>
      </c>
      <c r="R1783" s="564">
        <v>2</v>
      </c>
    </row>
    <row r="1784" spans="1:18" ht="15" customHeight="1" x14ac:dyDescent="0.25">
      <c r="A1784" s="553">
        <v>19</v>
      </c>
      <c r="B1784" s="553">
        <v>2</v>
      </c>
      <c r="C1784" s="553">
        <v>2</v>
      </c>
      <c r="D1784" s="553">
        <v>1</v>
      </c>
      <c r="E1784" s="553">
        <v>1</v>
      </c>
      <c r="F1784" s="553">
        <v>2</v>
      </c>
      <c r="G1784" s="502" t="s">
        <v>488</v>
      </c>
      <c r="H1784" s="553">
        <v>1323.18</v>
      </c>
      <c r="I1784" s="553">
        <v>0</v>
      </c>
      <c r="J1784" s="553">
        <v>0</v>
      </c>
      <c r="K1784" s="553">
        <v>30</v>
      </c>
      <c r="L1784" s="553">
        <v>4</v>
      </c>
      <c r="M1784" s="505" t="s">
        <v>137</v>
      </c>
      <c r="N1784" s="500">
        <v>43047560760000</v>
      </c>
      <c r="O1784" s="553" t="s">
        <v>2312</v>
      </c>
      <c r="P1784" s="650" t="s">
        <v>2448</v>
      </c>
      <c r="Q1784" s="564" t="s">
        <v>583</v>
      </c>
      <c r="R1784" s="564">
        <v>2</v>
      </c>
    </row>
    <row r="1785" spans="1:18" ht="15" customHeight="1" x14ac:dyDescent="0.25">
      <c r="A1785" s="553">
        <v>19</v>
      </c>
      <c r="B1785" s="553">
        <v>2</v>
      </c>
      <c r="C1785" s="553">
        <v>2</v>
      </c>
      <c r="D1785" s="553">
        <v>1</v>
      </c>
      <c r="E1785" s="553">
        <v>1</v>
      </c>
      <c r="F1785" s="553">
        <v>2</v>
      </c>
      <c r="G1785" s="553" t="s">
        <v>490</v>
      </c>
      <c r="H1785" s="553">
        <v>1321.99</v>
      </c>
      <c r="I1785" s="553">
        <v>0</v>
      </c>
      <c r="J1785" s="553">
        <v>15</v>
      </c>
      <c r="K1785" s="553">
        <v>48</v>
      </c>
      <c r="L1785" s="553">
        <v>4</v>
      </c>
      <c r="M1785" s="505" t="s">
        <v>137</v>
      </c>
      <c r="N1785" s="500">
        <v>43047560760000</v>
      </c>
      <c r="O1785" s="553" t="s">
        <v>2312</v>
      </c>
      <c r="P1785" s="650" t="s">
        <v>2449</v>
      </c>
      <c r="Q1785" s="564" t="s">
        <v>583</v>
      </c>
      <c r="R1785" s="564">
        <v>2</v>
      </c>
    </row>
    <row r="1786" spans="1:18" ht="15" customHeight="1" x14ac:dyDescent="0.25">
      <c r="A1786" s="553">
        <v>19</v>
      </c>
      <c r="B1786" s="553">
        <v>2</v>
      </c>
      <c r="C1786" s="553">
        <v>2</v>
      </c>
      <c r="D1786" s="553">
        <v>1</v>
      </c>
      <c r="E1786" s="553">
        <v>1</v>
      </c>
      <c r="F1786" s="553">
        <v>2</v>
      </c>
      <c r="G1786" s="553" t="s">
        <v>493</v>
      </c>
      <c r="H1786" s="553">
        <v>1317.33</v>
      </c>
      <c r="I1786" s="553">
        <v>0</v>
      </c>
      <c r="J1786" s="553">
        <v>15</v>
      </c>
      <c r="K1786" s="553">
        <v>2</v>
      </c>
      <c r="L1786" s="553">
        <v>4</v>
      </c>
      <c r="M1786" s="505" t="s">
        <v>137</v>
      </c>
      <c r="N1786" s="500">
        <v>43047560760000</v>
      </c>
      <c r="O1786" s="553" t="s">
        <v>2312</v>
      </c>
      <c r="P1786" s="650" t="s">
        <v>2450</v>
      </c>
      <c r="Q1786" s="564" t="s">
        <v>583</v>
      </c>
      <c r="R1786" s="564">
        <v>2</v>
      </c>
    </row>
    <row r="1787" spans="1:18" ht="15" customHeight="1" x14ac:dyDescent="0.25">
      <c r="A1787" s="553">
        <v>19</v>
      </c>
      <c r="B1787" s="553">
        <v>2</v>
      </c>
      <c r="C1787" s="553">
        <v>2</v>
      </c>
      <c r="D1787" s="553">
        <v>1</v>
      </c>
      <c r="E1787" s="553">
        <v>1</v>
      </c>
      <c r="F1787" s="553">
        <v>2</v>
      </c>
      <c r="G1787" s="553" t="s">
        <v>474</v>
      </c>
      <c r="H1787" s="553">
        <v>1312.8150000000001</v>
      </c>
      <c r="I1787" s="553">
        <v>89</v>
      </c>
      <c r="J1787" s="553">
        <v>27</v>
      </c>
      <c r="K1787" s="553">
        <v>23</v>
      </c>
      <c r="L1787" s="553">
        <v>4</v>
      </c>
      <c r="M1787" s="505" t="s">
        <v>137</v>
      </c>
      <c r="N1787" s="500">
        <v>43047560760000</v>
      </c>
      <c r="O1787" s="553" t="s">
        <v>2312</v>
      </c>
      <c r="P1787" s="650" t="s">
        <v>2451</v>
      </c>
      <c r="Q1787" s="564" t="s">
        <v>583</v>
      </c>
      <c r="R1787" s="564">
        <v>2</v>
      </c>
    </row>
    <row r="1788" spans="1:18" ht="15" customHeight="1" x14ac:dyDescent="0.25">
      <c r="A1788" s="553">
        <v>19</v>
      </c>
      <c r="B1788" s="553">
        <v>2</v>
      </c>
      <c r="C1788" s="553">
        <v>2</v>
      </c>
      <c r="D1788" s="553">
        <v>1</v>
      </c>
      <c r="E1788" s="553">
        <v>1</v>
      </c>
      <c r="F1788" s="553">
        <v>2</v>
      </c>
      <c r="G1788" s="502" t="s">
        <v>477</v>
      </c>
      <c r="H1788" s="553">
        <v>1312.8150000000001</v>
      </c>
      <c r="I1788" s="553">
        <v>89</v>
      </c>
      <c r="J1788" s="553">
        <v>27</v>
      </c>
      <c r="K1788" s="553">
        <v>23</v>
      </c>
      <c r="L1788" s="553">
        <v>4</v>
      </c>
      <c r="M1788" s="505" t="s">
        <v>137</v>
      </c>
      <c r="N1788" s="500">
        <v>43047560760000</v>
      </c>
      <c r="O1788" s="553" t="s">
        <v>2312</v>
      </c>
      <c r="P1788" s="650" t="s">
        <v>2452</v>
      </c>
      <c r="Q1788" s="564" t="s">
        <v>583</v>
      </c>
      <c r="R1788" s="564">
        <v>2</v>
      </c>
    </row>
    <row r="1789" spans="1:18" ht="15" customHeight="1" x14ac:dyDescent="0.25">
      <c r="A1789" s="553">
        <v>19</v>
      </c>
      <c r="B1789" s="553">
        <v>2</v>
      </c>
      <c r="C1789" s="553">
        <v>2</v>
      </c>
      <c r="D1789" s="553">
        <v>1</v>
      </c>
      <c r="E1789" s="553">
        <v>1</v>
      </c>
      <c r="F1789" s="553">
        <v>2</v>
      </c>
      <c r="G1789" s="553" t="s">
        <v>479</v>
      </c>
      <c r="H1789" s="553">
        <v>1323.22</v>
      </c>
      <c r="I1789" s="553">
        <v>89</v>
      </c>
      <c r="J1789" s="553">
        <v>24</v>
      </c>
      <c r="K1789" s="553">
        <v>25</v>
      </c>
      <c r="L1789" s="553">
        <v>4</v>
      </c>
      <c r="M1789" s="505" t="s">
        <v>137</v>
      </c>
      <c r="N1789" s="500">
        <v>43047560760000</v>
      </c>
      <c r="O1789" s="553" t="s">
        <v>2312</v>
      </c>
      <c r="P1789" s="650" t="s">
        <v>2453</v>
      </c>
      <c r="Q1789" s="564" t="s">
        <v>583</v>
      </c>
      <c r="R1789" s="564">
        <v>2</v>
      </c>
    </row>
    <row r="1790" spans="1:18" ht="15" customHeight="1" x14ac:dyDescent="0.25">
      <c r="A1790" s="553">
        <v>19</v>
      </c>
      <c r="B1790" s="553">
        <v>2</v>
      </c>
      <c r="C1790" s="553">
        <v>2</v>
      </c>
      <c r="D1790" s="553">
        <v>1</v>
      </c>
      <c r="E1790" s="553">
        <v>1</v>
      </c>
      <c r="F1790" s="553">
        <v>2</v>
      </c>
      <c r="G1790" s="553" t="s">
        <v>485</v>
      </c>
      <c r="H1790" s="553">
        <v>1316.99</v>
      </c>
      <c r="I1790" s="553">
        <v>89</v>
      </c>
      <c r="J1790" s="553">
        <v>24</v>
      </c>
      <c r="K1790" s="553">
        <v>25</v>
      </c>
      <c r="L1790" s="553">
        <v>4</v>
      </c>
      <c r="M1790" s="505" t="s">
        <v>137</v>
      </c>
      <c r="N1790" s="500">
        <v>43047560760000</v>
      </c>
      <c r="O1790" s="553" t="s">
        <v>2312</v>
      </c>
      <c r="P1790" s="650" t="s">
        <v>2454</v>
      </c>
      <c r="Q1790" s="564" t="s">
        <v>583</v>
      </c>
      <c r="R1790" s="564">
        <v>2</v>
      </c>
    </row>
    <row r="1791" spans="1:18" ht="15" customHeight="1" x14ac:dyDescent="0.25">
      <c r="A1791" s="553">
        <v>19</v>
      </c>
      <c r="B1791" s="553">
        <v>2</v>
      </c>
      <c r="C1791" s="553">
        <v>2</v>
      </c>
      <c r="D1791" s="553">
        <v>1</v>
      </c>
      <c r="E1791" s="553">
        <v>1</v>
      </c>
      <c r="F1791" s="553">
        <v>2</v>
      </c>
      <c r="G1791" s="553" t="s">
        <v>487</v>
      </c>
      <c r="H1791" s="553">
        <v>1307.3</v>
      </c>
      <c r="I1791" s="553">
        <v>89</v>
      </c>
      <c r="J1791" s="553">
        <v>12</v>
      </c>
      <c r="K1791" s="553">
        <v>4</v>
      </c>
      <c r="L1791" s="553">
        <v>4</v>
      </c>
      <c r="M1791" s="505" t="s">
        <v>137</v>
      </c>
      <c r="N1791" s="500">
        <v>43047560760000</v>
      </c>
      <c r="O1791" s="553" t="s">
        <v>2312</v>
      </c>
      <c r="P1791" s="650" t="s">
        <v>2455</v>
      </c>
      <c r="Q1791" s="564" t="s">
        <v>583</v>
      </c>
      <c r="R1791" s="564">
        <v>2</v>
      </c>
    </row>
    <row r="1792" spans="1:18" ht="15" customHeight="1" x14ac:dyDescent="0.25">
      <c r="A1792" s="553">
        <v>19</v>
      </c>
      <c r="B1792" s="553">
        <v>2</v>
      </c>
      <c r="C1792" s="553">
        <v>2</v>
      </c>
      <c r="D1792" s="553">
        <v>1</v>
      </c>
      <c r="E1792" s="553">
        <v>1</v>
      </c>
      <c r="F1792" s="553">
        <v>2</v>
      </c>
      <c r="G1792" s="502" t="s">
        <v>489</v>
      </c>
      <c r="H1792" s="553">
        <v>1309.92</v>
      </c>
      <c r="I1792" s="553">
        <v>89</v>
      </c>
      <c r="J1792" s="553">
        <v>12</v>
      </c>
      <c r="K1792" s="553">
        <v>4</v>
      </c>
      <c r="L1792" s="553">
        <v>4</v>
      </c>
      <c r="M1792" s="505" t="s">
        <v>137</v>
      </c>
      <c r="N1792" s="500">
        <v>43047560760000</v>
      </c>
      <c r="O1792" s="553" t="s">
        <v>2312</v>
      </c>
      <c r="P1792" s="650" t="s">
        <v>2456</v>
      </c>
      <c r="Q1792" s="564" t="s">
        <v>583</v>
      </c>
      <c r="R1792" s="564">
        <v>2</v>
      </c>
    </row>
    <row r="1793" spans="1:18" ht="15" customHeight="1" x14ac:dyDescent="0.25">
      <c r="A1793" s="553">
        <v>19</v>
      </c>
      <c r="B1793" s="553">
        <v>2</v>
      </c>
      <c r="C1793" s="553">
        <v>2</v>
      </c>
      <c r="D1793" s="553">
        <v>1</v>
      </c>
      <c r="E1793" s="553">
        <v>1</v>
      </c>
      <c r="F1793" s="553">
        <v>2</v>
      </c>
      <c r="G1793" s="553" t="s">
        <v>491</v>
      </c>
      <c r="H1793" s="553">
        <v>1327.1</v>
      </c>
      <c r="I1793" s="553">
        <v>89</v>
      </c>
      <c r="J1793" s="553">
        <v>48</v>
      </c>
      <c r="K1793" s="553">
        <v>36</v>
      </c>
      <c r="L1793" s="553">
        <v>4</v>
      </c>
      <c r="M1793" s="505" t="s">
        <v>137</v>
      </c>
      <c r="N1793" s="500">
        <v>43047560760000</v>
      </c>
      <c r="O1793" s="553" t="s">
        <v>2312</v>
      </c>
      <c r="P1793" s="650" t="s">
        <v>2457</v>
      </c>
      <c r="Q1793" s="564" t="s">
        <v>583</v>
      </c>
      <c r="R1793" s="564">
        <v>2</v>
      </c>
    </row>
    <row r="1794" spans="1:18" ht="15" customHeight="1" x14ac:dyDescent="0.25">
      <c r="A1794" s="553">
        <v>19</v>
      </c>
      <c r="B1794" s="553">
        <v>2</v>
      </c>
      <c r="C1794" s="553">
        <v>2</v>
      </c>
      <c r="D1794" s="553">
        <v>1</v>
      </c>
      <c r="E1794" s="553">
        <v>1</v>
      </c>
      <c r="F1794" s="553">
        <v>2</v>
      </c>
      <c r="G1794" s="553" t="s">
        <v>494</v>
      </c>
      <c r="H1794" s="553">
        <v>1324.29</v>
      </c>
      <c r="I1794" s="553">
        <v>89</v>
      </c>
      <c r="J1794" s="553">
        <v>48</v>
      </c>
      <c r="K1794" s="553">
        <v>36</v>
      </c>
      <c r="L1794" s="553">
        <v>4</v>
      </c>
      <c r="M1794" s="505" t="s">
        <v>137</v>
      </c>
      <c r="N1794" s="500">
        <v>43047560760000</v>
      </c>
      <c r="O1794" s="553" t="s">
        <v>2312</v>
      </c>
      <c r="P1794" s="650" t="s">
        <v>2458</v>
      </c>
      <c r="Q1794" s="564" t="s">
        <v>583</v>
      </c>
      <c r="R1794" s="564">
        <v>2</v>
      </c>
    </row>
    <row r="1795" spans="1:18" ht="15" customHeight="1" x14ac:dyDescent="0.25">
      <c r="A1795" s="553">
        <v>19</v>
      </c>
      <c r="B1795" s="553">
        <v>2</v>
      </c>
      <c r="C1795" s="553">
        <v>2</v>
      </c>
      <c r="D1795" s="553">
        <v>3</v>
      </c>
      <c r="E1795" s="553">
        <v>2</v>
      </c>
      <c r="F1795" s="553">
        <v>2</v>
      </c>
      <c r="G1795" s="553" t="s">
        <v>473</v>
      </c>
      <c r="H1795" s="553">
        <v>1343.2449999999999</v>
      </c>
      <c r="I1795" s="553">
        <v>0</v>
      </c>
      <c r="J1795" s="553">
        <v>6</v>
      </c>
      <c r="K1795" s="553">
        <v>45</v>
      </c>
      <c r="L1795" s="553">
        <v>2</v>
      </c>
      <c r="M1795" s="505" t="s">
        <v>137</v>
      </c>
      <c r="N1795" s="500">
        <v>43013539430000</v>
      </c>
      <c r="O1795" s="553" t="s">
        <v>2459</v>
      </c>
      <c r="P1795" s="650" t="s">
        <v>2460</v>
      </c>
      <c r="Q1795" s="564" t="s">
        <v>583</v>
      </c>
      <c r="R1795" s="564">
        <v>1</v>
      </c>
    </row>
    <row r="1796" spans="1:18" ht="15" customHeight="1" x14ac:dyDescent="0.25">
      <c r="A1796" s="553">
        <v>19</v>
      </c>
      <c r="B1796" s="553">
        <v>2</v>
      </c>
      <c r="C1796" s="553">
        <v>2</v>
      </c>
      <c r="D1796" s="553">
        <v>3</v>
      </c>
      <c r="E1796" s="553">
        <v>2</v>
      </c>
      <c r="F1796" s="553">
        <v>2</v>
      </c>
      <c r="G1796" s="502" t="s">
        <v>476</v>
      </c>
      <c r="H1796" s="553">
        <v>1343.2449999999999</v>
      </c>
      <c r="I1796" s="553">
        <v>0</v>
      </c>
      <c r="J1796" s="553">
        <v>6</v>
      </c>
      <c r="K1796" s="553">
        <v>45</v>
      </c>
      <c r="L1796" s="553">
        <v>2</v>
      </c>
      <c r="M1796" s="505" t="s">
        <v>137</v>
      </c>
      <c r="N1796" s="500">
        <v>43013539430000</v>
      </c>
      <c r="O1796" s="553" t="s">
        <v>2459</v>
      </c>
      <c r="P1796" s="650" t="s">
        <v>2461</v>
      </c>
      <c r="Q1796" s="564" t="s">
        <v>583</v>
      </c>
      <c r="R1796" s="564">
        <v>1</v>
      </c>
    </row>
    <row r="1797" spans="1:18" ht="15" customHeight="1" x14ac:dyDescent="0.25">
      <c r="A1797" s="553">
        <v>19</v>
      </c>
      <c r="B1797" s="553">
        <v>2</v>
      </c>
      <c r="C1797" s="553">
        <v>2</v>
      </c>
      <c r="D1797" s="553">
        <v>3</v>
      </c>
      <c r="E1797" s="553">
        <v>2</v>
      </c>
      <c r="F1797" s="553">
        <v>2</v>
      </c>
      <c r="G1797" s="553" t="s">
        <v>478</v>
      </c>
      <c r="H1797" s="553">
        <v>1343.2449999999999</v>
      </c>
      <c r="I1797" s="553">
        <v>0</v>
      </c>
      <c r="J1797" s="553">
        <v>6</v>
      </c>
      <c r="K1797" s="553">
        <v>45</v>
      </c>
      <c r="L1797" s="553">
        <v>2</v>
      </c>
      <c r="M1797" s="505" t="s">
        <v>137</v>
      </c>
      <c r="N1797" s="500">
        <v>43013539430000</v>
      </c>
      <c r="O1797" s="553" t="s">
        <v>2459</v>
      </c>
      <c r="P1797" s="650" t="s">
        <v>2462</v>
      </c>
      <c r="Q1797" s="564" t="s">
        <v>583</v>
      </c>
      <c r="R1797" s="564">
        <v>1</v>
      </c>
    </row>
    <row r="1798" spans="1:18" ht="15" customHeight="1" x14ac:dyDescent="0.25">
      <c r="A1798" s="553">
        <v>19</v>
      </c>
      <c r="B1798" s="553">
        <v>2</v>
      </c>
      <c r="C1798" s="553">
        <v>2</v>
      </c>
      <c r="D1798" s="553">
        <v>3</v>
      </c>
      <c r="E1798" s="553">
        <v>2</v>
      </c>
      <c r="F1798" s="553">
        <v>2</v>
      </c>
      <c r="G1798" s="553" t="s">
        <v>484</v>
      </c>
      <c r="H1798" s="553">
        <v>1343.2449999999999</v>
      </c>
      <c r="I1798" s="553">
        <v>0</v>
      </c>
      <c r="J1798" s="553">
        <v>6</v>
      </c>
      <c r="K1798" s="553">
        <v>45</v>
      </c>
      <c r="L1798" s="553">
        <v>2</v>
      </c>
      <c r="M1798" s="505" t="s">
        <v>137</v>
      </c>
      <c r="N1798" s="500">
        <v>43013539430000</v>
      </c>
      <c r="O1798" s="553" t="s">
        <v>2459</v>
      </c>
      <c r="P1798" s="650" t="s">
        <v>2463</v>
      </c>
      <c r="Q1798" s="564" t="s">
        <v>583</v>
      </c>
      <c r="R1798" s="564">
        <v>1</v>
      </c>
    </row>
    <row r="1799" spans="1:18" ht="15" customHeight="1" x14ac:dyDescent="0.25">
      <c r="A1799" s="553">
        <v>19</v>
      </c>
      <c r="B1799" s="553">
        <v>2</v>
      </c>
      <c r="C1799" s="553">
        <v>2</v>
      </c>
      <c r="D1799" s="553">
        <v>3</v>
      </c>
      <c r="E1799" s="553">
        <v>2</v>
      </c>
      <c r="F1799" s="553">
        <v>2</v>
      </c>
      <c r="G1799" s="553" t="s">
        <v>486</v>
      </c>
      <c r="H1799" s="553">
        <v>1315.92</v>
      </c>
      <c r="I1799" s="553">
        <v>0</v>
      </c>
      <c r="J1799" s="553">
        <v>54</v>
      </c>
      <c r="K1799" s="553">
        <v>5</v>
      </c>
      <c r="L1799" s="553">
        <v>4</v>
      </c>
      <c r="M1799" s="505" t="s">
        <v>137</v>
      </c>
      <c r="N1799" s="500">
        <v>43013539430000</v>
      </c>
      <c r="O1799" s="553" t="s">
        <v>2459</v>
      </c>
      <c r="P1799" s="650" t="s">
        <v>2464</v>
      </c>
      <c r="Q1799" s="564" t="s">
        <v>583</v>
      </c>
      <c r="R1799" s="564">
        <v>1</v>
      </c>
    </row>
    <row r="1800" spans="1:18" ht="15" customHeight="1" x14ac:dyDescent="0.25">
      <c r="A1800" s="553">
        <v>19</v>
      </c>
      <c r="B1800" s="553">
        <v>2</v>
      </c>
      <c r="C1800" s="553">
        <v>2</v>
      </c>
      <c r="D1800" s="553">
        <v>3</v>
      </c>
      <c r="E1800" s="553">
        <v>2</v>
      </c>
      <c r="F1800" s="553">
        <v>2</v>
      </c>
      <c r="G1800" s="502" t="s">
        <v>488</v>
      </c>
      <c r="H1800" s="553">
        <v>1315.92</v>
      </c>
      <c r="I1800" s="553">
        <v>0</v>
      </c>
      <c r="J1800" s="553">
        <v>54</v>
      </c>
      <c r="K1800" s="553">
        <v>5</v>
      </c>
      <c r="L1800" s="553">
        <v>4</v>
      </c>
      <c r="M1800" s="505" t="s">
        <v>137</v>
      </c>
      <c r="N1800" s="500">
        <v>43013539430000</v>
      </c>
      <c r="O1800" s="553" t="s">
        <v>2459</v>
      </c>
      <c r="P1800" s="650" t="s">
        <v>2465</v>
      </c>
      <c r="Q1800" s="564" t="s">
        <v>583</v>
      </c>
      <c r="R1800" s="564">
        <v>1</v>
      </c>
    </row>
    <row r="1801" spans="1:18" ht="15" customHeight="1" x14ac:dyDescent="0.25">
      <c r="A1801" s="553">
        <v>19</v>
      </c>
      <c r="B1801" s="553">
        <v>2</v>
      </c>
      <c r="C1801" s="553">
        <v>2</v>
      </c>
      <c r="D1801" s="553">
        <v>3</v>
      </c>
      <c r="E1801" s="553">
        <v>2</v>
      </c>
      <c r="F1801" s="553">
        <v>2</v>
      </c>
      <c r="G1801" s="553" t="s">
        <v>490</v>
      </c>
      <c r="H1801" s="553">
        <v>1318.85</v>
      </c>
      <c r="I1801" s="553">
        <v>1</v>
      </c>
      <c r="J1801" s="553">
        <v>13</v>
      </c>
      <c r="K1801" s="553">
        <v>1</v>
      </c>
      <c r="L1801" s="553">
        <v>4</v>
      </c>
      <c r="M1801" s="505" t="s">
        <v>137</v>
      </c>
      <c r="N1801" s="500">
        <v>43013539430000</v>
      </c>
      <c r="O1801" s="553" t="s">
        <v>2459</v>
      </c>
      <c r="P1801" s="650" t="s">
        <v>2466</v>
      </c>
      <c r="Q1801" s="564" t="s">
        <v>583</v>
      </c>
      <c r="R1801" s="564">
        <v>1</v>
      </c>
    </row>
    <row r="1802" spans="1:18" ht="15" customHeight="1" x14ac:dyDescent="0.25">
      <c r="A1802" s="553">
        <v>19</v>
      </c>
      <c r="B1802" s="553">
        <v>2</v>
      </c>
      <c r="C1802" s="553">
        <v>2</v>
      </c>
      <c r="D1802" s="553">
        <v>3</v>
      </c>
      <c r="E1802" s="553">
        <v>2</v>
      </c>
      <c r="F1802" s="553">
        <v>2</v>
      </c>
      <c r="G1802" s="553" t="s">
        <v>493</v>
      </c>
      <c r="H1802" s="553">
        <v>1318.85</v>
      </c>
      <c r="I1802" s="553">
        <v>1</v>
      </c>
      <c r="J1802" s="553">
        <v>10</v>
      </c>
      <c r="K1802" s="553">
        <v>1</v>
      </c>
      <c r="L1802" s="553">
        <v>4</v>
      </c>
      <c r="M1802" s="505" t="s">
        <v>137</v>
      </c>
      <c r="N1802" s="500">
        <v>43013539430000</v>
      </c>
      <c r="O1802" s="553" t="s">
        <v>2459</v>
      </c>
      <c r="P1802" s="650" t="s">
        <v>2467</v>
      </c>
      <c r="Q1802" s="564" t="s">
        <v>583</v>
      </c>
      <c r="R1802" s="564">
        <v>1</v>
      </c>
    </row>
    <row r="1803" spans="1:18" ht="15" customHeight="1" x14ac:dyDescent="0.25">
      <c r="A1803" s="553">
        <v>19</v>
      </c>
      <c r="B1803" s="553">
        <v>2</v>
      </c>
      <c r="C1803" s="553">
        <v>2</v>
      </c>
      <c r="D1803" s="553">
        <v>3</v>
      </c>
      <c r="E1803" s="553">
        <v>2</v>
      </c>
      <c r="F1803" s="553">
        <v>2</v>
      </c>
      <c r="G1803" s="553" t="s">
        <v>474</v>
      </c>
      <c r="H1803" s="553">
        <v>1300.9949999999999</v>
      </c>
      <c r="I1803" s="553">
        <v>88</v>
      </c>
      <c r="J1803" s="553">
        <v>17</v>
      </c>
      <c r="K1803" s="553">
        <v>22</v>
      </c>
      <c r="L1803" s="553">
        <v>3</v>
      </c>
      <c r="M1803" s="505" t="s">
        <v>137</v>
      </c>
      <c r="N1803" s="500">
        <v>43013539430000</v>
      </c>
      <c r="O1803" s="553" t="s">
        <v>2459</v>
      </c>
      <c r="P1803" s="650" t="s">
        <v>2468</v>
      </c>
      <c r="Q1803" s="564" t="s">
        <v>583</v>
      </c>
      <c r="R1803" s="564">
        <v>1</v>
      </c>
    </row>
    <row r="1804" spans="1:18" ht="15" customHeight="1" x14ac:dyDescent="0.25">
      <c r="A1804" s="553">
        <v>19</v>
      </c>
      <c r="B1804" s="553">
        <v>2</v>
      </c>
      <c r="C1804" s="553">
        <v>2</v>
      </c>
      <c r="D1804" s="553">
        <v>3</v>
      </c>
      <c r="E1804" s="553">
        <v>2</v>
      </c>
      <c r="F1804" s="553">
        <v>2</v>
      </c>
      <c r="G1804" s="502" t="s">
        <v>477</v>
      </c>
      <c r="H1804" s="553">
        <v>1300.9949999999999</v>
      </c>
      <c r="I1804" s="553">
        <v>88</v>
      </c>
      <c r="J1804" s="553">
        <v>17</v>
      </c>
      <c r="K1804" s="553">
        <v>22</v>
      </c>
      <c r="L1804" s="553">
        <v>3</v>
      </c>
      <c r="M1804" s="505" t="s">
        <v>137</v>
      </c>
      <c r="N1804" s="500">
        <v>43013539430000</v>
      </c>
      <c r="O1804" s="553" t="s">
        <v>2459</v>
      </c>
      <c r="P1804" s="650" t="s">
        <v>2469</v>
      </c>
      <c r="Q1804" s="564" t="s">
        <v>583</v>
      </c>
      <c r="R1804" s="564">
        <v>1</v>
      </c>
    </row>
    <row r="1805" spans="1:18" ht="15" customHeight="1" x14ac:dyDescent="0.25">
      <c r="A1805" s="553">
        <v>19</v>
      </c>
      <c r="B1805" s="553">
        <v>2</v>
      </c>
      <c r="C1805" s="553">
        <v>2</v>
      </c>
      <c r="D1805" s="553">
        <v>3</v>
      </c>
      <c r="E1805" s="553">
        <v>2</v>
      </c>
      <c r="F1805" s="553">
        <v>2</v>
      </c>
      <c r="G1805" s="553" t="s">
        <v>479</v>
      </c>
      <c r="H1805" s="553">
        <v>1300.9949999999999</v>
      </c>
      <c r="I1805" s="553">
        <v>88</v>
      </c>
      <c r="J1805" s="553">
        <v>17</v>
      </c>
      <c r="K1805" s="553">
        <v>22</v>
      </c>
      <c r="L1805" s="553">
        <v>3</v>
      </c>
      <c r="M1805" s="505" t="s">
        <v>137</v>
      </c>
      <c r="N1805" s="500">
        <v>43013539430000</v>
      </c>
      <c r="O1805" s="553" t="s">
        <v>2459</v>
      </c>
      <c r="P1805" s="650" t="s">
        <v>2470</v>
      </c>
      <c r="Q1805" s="564" t="s">
        <v>583</v>
      </c>
      <c r="R1805" s="564">
        <v>1</v>
      </c>
    </row>
    <row r="1806" spans="1:18" ht="15" customHeight="1" x14ac:dyDescent="0.25">
      <c r="A1806" s="553">
        <v>19</v>
      </c>
      <c r="B1806" s="553">
        <v>2</v>
      </c>
      <c r="C1806" s="553">
        <v>2</v>
      </c>
      <c r="D1806" s="553">
        <v>3</v>
      </c>
      <c r="E1806" s="553">
        <v>2</v>
      </c>
      <c r="F1806" s="553">
        <v>2</v>
      </c>
      <c r="G1806" s="553" t="s">
        <v>485</v>
      </c>
      <c r="H1806" s="553">
        <v>1300.9949999999999</v>
      </c>
      <c r="I1806" s="553">
        <v>88</v>
      </c>
      <c r="J1806" s="553">
        <v>17</v>
      </c>
      <c r="K1806" s="553">
        <v>22</v>
      </c>
      <c r="L1806" s="553">
        <v>3</v>
      </c>
      <c r="M1806" s="505" t="s">
        <v>137</v>
      </c>
      <c r="N1806" s="500">
        <v>43013539430000</v>
      </c>
      <c r="O1806" s="553" t="s">
        <v>2459</v>
      </c>
      <c r="P1806" s="650" t="s">
        <v>2471</v>
      </c>
      <c r="Q1806" s="564" t="s">
        <v>583</v>
      </c>
      <c r="R1806" s="564">
        <v>1</v>
      </c>
    </row>
    <row r="1807" spans="1:18" ht="15" customHeight="1" x14ac:dyDescent="0.25">
      <c r="A1807" s="553">
        <v>19</v>
      </c>
      <c r="B1807" s="553">
        <v>2</v>
      </c>
      <c r="C1807" s="553">
        <v>2</v>
      </c>
      <c r="D1807" s="553">
        <v>3</v>
      </c>
      <c r="E1807" s="553">
        <v>2</v>
      </c>
      <c r="F1807" s="553">
        <v>2</v>
      </c>
      <c r="G1807" s="553" t="s">
        <v>487</v>
      </c>
      <c r="H1807" s="553">
        <v>1305.3900000000001</v>
      </c>
      <c r="I1807" s="553">
        <v>87</v>
      </c>
      <c r="J1807" s="553">
        <v>28</v>
      </c>
      <c r="K1807" s="553">
        <v>47</v>
      </c>
      <c r="L1807" s="553">
        <v>3</v>
      </c>
      <c r="M1807" s="505" t="s">
        <v>137</v>
      </c>
      <c r="N1807" s="500">
        <v>43013539430000</v>
      </c>
      <c r="O1807" s="553" t="s">
        <v>2459</v>
      </c>
      <c r="P1807" s="650" t="s">
        <v>2472</v>
      </c>
      <c r="Q1807" s="564" t="s">
        <v>583</v>
      </c>
      <c r="R1807" s="564">
        <v>1</v>
      </c>
    </row>
    <row r="1808" spans="1:18" ht="15" customHeight="1" x14ac:dyDescent="0.25">
      <c r="A1808" s="553">
        <v>19</v>
      </c>
      <c r="B1808" s="553">
        <v>2</v>
      </c>
      <c r="C1808" s="553">
        <v>2</v>
      </c>
      <c r="D1808" s="553">
        <v>3</v>
      </c>
      <c r="E1808" s="553">
        <v>2</v>
      </c>
      <c r="F1808" s="553">
        <v>2</v>
      </c>
      <c r="G1808" s="502" t="s">
        <v>489</v>
      </c>
      <c r="H1808" s="553">
        <v>1305.3900000000001</v>
      </c>
      <c r="I1808" s="553">
        <v>87</v>
      </c>
      <c r="J1808" s="553">
        <v>28</v>
      </c>
      <c r="K1808" s="553">
        <v>47</v>
      </c>
      <c r="L1808" s="553">
        <v>3</v>
      </c>
      <c r="M1808" s="505" t="s">
        <v>137</v>
      </c>
      <c r="N1808" s="500">
        <v>43013539430000</v>
      </c>
      <c r="O1808" s="553" t="s">
        <v>2459</v>
      </c>
      <c r="P1808" s="650" t="s">
        <v>2473</v>
      </c>
      <c r="Q1808" s="564" t="s">
        <v>583</v>
      </c>
      <c r="R1808" s="564">
        <v>1</v>
      </c>
    </row>
    <row r="1809" spans="1:18" ht="15" customHeight="1" x14ac:dyDescent="0.25">
      <c r="A1809" s="553">
        <v>19</v>
      </c>
      <c r="B1809" s="553">
        <v>2</v>
      </c>
      <c r="C1809" s="553">
        <v>2</v>
      </c>
      <c r="D1809" s="553">
        <v>3</v>
      </c>
      <c r="E1809" s="553">
        <v>2</v>
      </c>
      <c r="F1809" s="553">
        <v>2</v>
      </c>
      <c r="G1809" s="553" t="s">
        <v>491</v>
      </c>
      <c r="H1809" s="553">
        <v>1305.3900000000001</v>
      </c>
      <c r="I1809" s="553">
        <v>87</v>
      </c>
      <c r="J1809" s="553">
        <v>28</v>
      </c>
      <c r="K1809" s="553">
        <v>47</v>
      </c>
      <c r="L1809" s="553">
        <v>3</v>
      </c>
      <c r="M1809" s="505" t="s">
        <v>137</v>
      </c>
      <c r="N1809" s="500">
        <v>43013539430000</v>
      </c>
      <c r="O1809" s="553" t="s">
        <v>2459</v>
      </c>
      <c r="P1809" s="650" t="s">
        <v>2474</v>
      </c>
      <c r="Q1809" s="564" t="s">
        <v>583</v>
      </c>
      <c r="R1809" s="564">
        <v>1</v>
      </c>
    </row>
    <row r="1810" spans="1:18" ht="15" customHeight="1" x14ac:dyDescent="0.25">
      <c r="A1810" s="553">
        <v>19</v>
      </c>
      <c r="B1810" s="553">
        <v>2</v>
      </c>
      <c r="C1810" s="553">
        <v>2</v>
      </c>
      <c r="D1810" s="553">
        <v>3</v>
      </c>
      <c r="E1810" s="553">
        <v>2</v>
      </c>
      <c r="F1810" s="553">
        <v>2</v>
      </c>
      <c r="G1810" s="553" t="s">
        <v>494</v>
      </c>
      <c r="H1810" s="553">
        <v>1305.3900000000001</v>
      </c>
      <c r="I1810" s="553">
        <v>87</v>
      </c>
      <c r="J1810" s="553">
        <v>28</v>
      </c>
      <c r="K1810" s="553">
        <v>47</v>
      </c>
      <c r="L1810" s="553">
        <v>3</v>
      </c>
      <c r="M1810" s="505" t="s">
        <v>137</v>
      </c>
      <c r="N1810" s="500">
        <v>43013539430000</v>
      </c>
      <c r="O1810" s="553" t="s">
        <v>2459</v>
      </c>
      <c r="P1810" s="650" t="s">
        <v>2475</v>
      </c>
      <c r="Q1810" s="564" t="s">
        <v>583</v>
      </c>
      <c r="R1810" s="564">
        <v>1</v>
      </c>
    </row>
    <row r="1811" spans="1:18" ht="15" customHeight="1" x14ac:dyDescent="0.25">
      <c r="A1811" s="553">
        <v>19</v>
      </c>
      <c r="B1811" s="553">
        <v>3</v>
      </c>
      <c r="C1811" s="553">
        <v>2</v>
      </c>
      <c r="D1811" s="553">
        <v>1</v>
      </c>
      <c r="E1811" s="553">
        <v>1</v>
      </c>
      <c r="F1811" s="553">
        <v>2</v>
      </c>
      <c r="G1811" s="553" t="s">
        <v>473</v>
      </c>
      <c r="H1811" s="553">
        <v>0</v>
      </c>
      <c r="I1811" s="553">
        <v>0</v>
      </c>
      <c r="J1811" s="553">
        <v>0</v>
      </c>
      <c r="K1811" s="553">
        <v>0</v>
      </c>
      <c r="L1811" s="553">
        <v>0</v>
      </c>
      <c r="M1811" s="505" t="s">
        <v>137</v>
      </c>
      <c r="N1811" s="500">
        <v>43047567140000</v>
      </c>
      <c r="O1811" s="553" t="s">
        <v>4442</v>
      </c>
      <c r="P1811" s="650" t="s">
        <v>2476</v>
      </c>
      <c r="Q1811" s="564" t="s">
        <v>4440</v>
      </c>
      <c r="R1811" s="564">
        <v>2</v>
      </c>
    </row>
    <row r="1812" spans="1:18" ht="15" customHeight="1" x14ac:dyDescent="0.25">
      <c r="A1812" s="553">
        <v>19</v>
      </c>
      <c r="B1812" s="553">
        <v>3</v>
      </c>
      <c r="C1812" s="553">
        <v>2</v>
      </c>
      <c r="D1812" s="553">
        <v>1</v>
      </c>
      <c r="E1812" s="553">
        <v>1</v>
      </c>
      <c r="F1812" s="553">
        <v>2</v>
      </c>
      <c r="G1812" s="502" t="s">
        <v>476</v>
      </c>
      <c r="H1812" s="553">
        <v>2463.69</v>
      </c>
      <c r="I1812" s="553">
        <v>0</v>
      </c>
      <c r="J1812" s="553">
        <v>29</v>
      </c>
      <c r="K1812" s="553">
        <v>5</v>
      </c>
      <c r="L1812" s="553">
        <v>2</v>
      </c>
      <c r="M1812" s="505" t="s">
        <v>137</v>
      </c>
      <c r="N1812" s="500">
        <v>43047567140000</v>
      </c>
      <c r="O1812" s="553" t="s">
        <v>4442</v>
      </c>
      <c r="P1812" s="650" t="s">
        <v>2477</v>
      </c>
      <c r="Q1812" s="564" t="s">
        <v>4440</v>
      </c>
      <c r="R1812" s="564">
        <v>2</v>
      </c>
    </row>
    <row r="1813" spans="1:18" ht="15" customHeight="1" x14ac:dyDescent="0.25">
      <c r="A1813" s="553">
        <v>19</v>
      </c>
      <c r="B1813" s="553">
        <v>3</v>
      </c>
      <c r="C1813" s="553">
        <v>2</v>
      </c>
      <c r="D1813" s="553">
        <v>1</v>
      </c>
      <c r="E1813" s="553">
        <v>1</v>
      </c>
      <c r="F1813" s="553">
        <v>2</v>
      </c>
      <c r="G1813" s="553" t="s">
        <v>478</v>
      </c>
      <c r="H1813" s="553">
        <v>2636.89</v>
      </c>
      <c r="I1813" s="553">
        <v>0</v>
      </c>
      <c r="J1813" s="553">
        <v>35</v>
      </c>
      <c r="K1813" s="553">
        <v>37</v>
      </c>
      <c r="L1813" s="553">
        <v>2</v>
      </c>
      <c r="M1813" s="505" t="s">
        <v>137</v>
      </c>
      <c r="N1813" s="500">
        <v>43047567140000</v>
      </c>
      <c r="O1813" s="553" t="s">
        <v>4442</v>
      </c>
      <c r="P1813" s="650" t="s">
        <v>2478</v>
      </c>
      <c r="Q1813" s="564" t="s">
        <v>4440</v>
      </c>
      <c r="R1813" s="564">
        <v>2</v>
      </c>
    </row>
    <row r="1814" spans="1:18" ht="15" customHeight="1" x14ac:dyDescent="0.25">
      <c r="A1814" s="553">
        <v>19</v>
      </c>
      <c r="B1814" s="553">
        <v>3</v>
      </c>
      <c r="C1814" s="553">
        <v>2</v>
      </c>
      <c r="D1814" s="553">
        <v>1</v>
      </c>
      <c r="E1814" s="553">
        <v>1</v>
      </c>
      <c r="F1814" s="553">
        <v>2</v>
      </c>
      <c r="G1814" s="553" t="s">
        <v>484</v>
      </c>
      <c r="H1814" s="553">
        <v>231.26</v>
      </c>
      <c r="I1814" s="553">
        <v>0</v>
      </c>
      <c r="J1814" s="553">
        <v>28</v>
      </c>
      <c r="K1814" s="553">
        <v>12</v>
      </c>
      <c r="L1814" s="553">
        <v>2</v>
      </c>
      <c r="M1814" s="505" t="s">
        <v>137</v>
      </c>
      <c r="N1814" s="500">
        <v>43047567140000</v>
      </c>
      <c r="O1814" s="553" t="s">
        <v>4442</v>
      </c>
      <c r="P1814" s="650" t="s">
        <v>2479</v>
      </c>
      <c r="Q1814" s="564" t="s">
        <v>4440</v>
      </c>
      <c r="R1814" s="564">
        <v>2</v>
      </c>
    </row>
    <row r="1815" spans="1:18" ht="15" customHeight="1" x14ac:dyDescent="0.25">
      <c r="A1815" s="553">
        <v>19</v>
      </c>
      <c r="B1815" s="553">
        <v>3</v>
      </c>
      <c r="C1815" s="553">
        <v>2</v>
      </c>
      <c r="D1815" s="553">
        <v>1</v>
      </c>
      <c r="E1815" s="553">
        <v>1</v>
      </c>
      <c r="F1815" s="553">
        <v>2</v>
      </c>
      <c r="G1815" s="553" t="s">
        <v>486</v>
      </c>
      <c r="H1815" s="553">
        <v>0</v>
      </c>
      <c r="I1815" s="553">
        <v>0</v>
      </c>
      <c r="J1815" s="553">
        <v>0</v>
      </c>
      <c r="K1815" s="553">
        <v>0</v>
      </c>
      <c r="L1815" s="553">
        <v>0</v>
      </c>
      <c r="M1815" s="505" t="s">
        <v>137</v>
      </c>
      <c r="N1815" s="500">
        <v>43047567140000</v>
      </c>
      <c r="O1815" s="553" t="s">
        <v>4442</v>
      </c>
      <c r="P1815" s="650" t="s">
        <v>2480</v>
      </c>
      <c r="Q1815" s="564" t="s">
        <v>4440</v>
      </c>
      <c r="R1815" s="564">
        <v>2</v>
      </c>
    </row>
    <row r="1816" spans="1:18" ht="15" customHeight="1" x14ac:dyDescent="0.25">
      <c r="A1816" s="553">
        <v>19</v>
      </c>
      <c r="B1816" s="553">
        <v>3</v>
      </c>
      <c r="C1816" s="553">
        <v>2</v>
      </c>
      <c r="D1816" s="553">
        <v>1</v>
      </c>
      <c r="E1816" s="553">
        <v>1</v>
      </c>
      <c r="F1816" s="553">
        <v>2</v>
      </c>
      <c r="G1816" s="502" t="s">
        <v>488</v>
      </c>
      <c r="H1816" s="553">
        <v>2631.31</v>
      </c>
      <c r="I1816" s="553">
        <v>0</v>
      </c>
      <c r="J1816" s="553">
        <v>1</v>
      </c>
      <c r="K1816" s="553">
        <v>1</v>
      </c>
      <c r="L1816" s="553">
        <v>2</v>
      </c>
      <c r="M1816" s="505" t="s">
        <v>137</v>
      </c>
      <c r="N1816" s="500">
        <v>43047567140000</v>
      </c>
      <c r="O1816" s="553" t="s">
        <v>4442</v>
      </c>
      <c r="P1816" s="650" t="s">
        <v>2481</v>
      </c>
      <c r="Q1816" s="564" t="s">
        <v>4440</v>
      </c>
      <c r="R1816" s="564">
        <v>2</v>
      </c>
    </row>
    <row r="1817" spans="1:18" ht="15" customHeight="1" x14ac:dyDescent="0.25">
      <c r="A1817" s="553">
        <v>19</v>
      </c>
      <c r="B1817" s="553">
        <v>3</v>
      </c>
      <c r="C1817" s="553">
        <v>2</v>
      </c>
      <c r="D1817" s="553">
        <v>1</v>
      </c>
      <c r="E1817" s="553">
        <v>1</v>
      </c>
      <c r="F1817" s="553">
        <v>2</v>
      </c>
      <c r="G1817" s="553" t="s">
        <v>490</v>
      </c>
      <c r="H1817" s="553">
        <v>2709.46</v>
      </c>
      <c r="I1817" s="553">
        <v>0</v>
      </c>
      <c r="J1817" s="553">
        <v>6</v>
      </c>
      <c r="K1817" s="553">
        <v>11</v>
      </c>
      <c r="L1817" s="553">
        <v>2</v>
      </c>
      <c r="M1817" s="505" t="s">
        <v>137</v>
      </c>
      <c r="N1817" s="500">
        <v>43047567140000</v>
      </c>
      <c r="O1817" s="553" t="s">
        <v>4442</v>
      </c>
      <c r="P1817" s="650" t="s">
        <v>2482</v>
      </c>
      <c r="Q1817" s="564" t="s">
        <v>4440</v>
      </c>
      <c r="R1817" s="564">
        <v>2</v>
      </c>
    </row>
    <row r="1818" spans="1:18" ht="15" customHeight="1" x14ac:dyDescent="0.25">
      <c r="A1818" s="553">
        <v>19</v>
      </c>
      <c r="B1818" s="553">
        <v>3</v>
      </c>
      <c r="C1818" s="553">
        <v>2</v>
      </c>
      <c r="D1818" s="553">
        <v>1</v>
      </c>
      <c r="E1818" s="553">
        <v>1</v>
      </c>
      <c r="F1818" s="553">
        <v>2</v>
      </c>
      <c r="G1818" s="553" t="s">
        <v>493</v>
      </c>
      <c r="H1818" s="553">
        <v>0</v>
      </c>
      <c r="I1818" s="553">
        <v>0</v>
      </c>
      <c r="J1818" s="553">
        <v>0</v>
      </c>
      <c r="K1818" s="553">
        <v>0</v>
      </c>
      <c r="L1818" s="553">
        <v>0</v>
      </c>
      <c r="M1818" s="505" t="s">
        <v>137</v>
      </c>
      <c r="N1818" s="500">
        <v>43047567140000</v>
      </c>
      <c r="O1818" s="553" t="s">
        <v>4442</v>
      </c>
      <c r="P1818" s="650" t="s">
        <v>2483</v>
      </c>
      <c r="Q1818" s="564" t="s">
        <v>4440</v>
      </c>
      <c r="R1818" s="564">
        <v>2</v>
      </c>
    </row>
    <row r="1819" spans="1:18" ht="15" customHeight="1" x14ac:dyDescent="0.25">
      <c r="A1819" s="553">
        <v>19</v>
      </c>
      <c r="B1819" s="553">
        <v>3</v>
      </c>
      <c r="C1819" s="553">
        <v>2</v>
      </c>
      <c r="D1819" s="553">
        <v>1</v>
      </c>
      <c r="E1819" s="553">
        <v>1</v>
      </c>
      <c r="F1819" s="553">
        <v>2</v>
      </c>
      <c r="G1819" s="553" t="s">
        <v>474</v>
      </c>
      <c r="H1819" s="553">
        <v>0</v>
      </c>
      <c r="I1819" s="553">
        <v>0</v>
      </c>
      <c r="J1819" s="553">
        <v>0</v>
      </c>
      <c r="K1819" s="553">
        <v>0</v>
      </c>
      <c r="L1819" s="553">
        <v>0</v>
      </c>
      <c r="M1819" s="505" t="s">
        <v>137</v>
      </c>
      <c r="N1819" s="500">
        <v>43047567140000</v>
      </c>
      <c r="O1819" s="553" t="s">
        <v>4442</v>
      </c>
      <c r="P1819" s="650" t="s">
        <v>2484</v>
      </c>
      <c r="Q1819" s="564" t="s">
        <v>4440</v>
      </c>
      <c r="R1819" s="564">
        <v>2</v>
      </c>
    </row>
    <row r="1820" spans="1:18" ht="15" customHeight="1" x14ac:dyDescent="0.25">
      <c r="A1820" s="553">
        <v>19</v>
      </c>
      <c r="B1820" s="553">
        <v>3</v>
      </c>
      <c r="C1820" s="553">
        <v>2</v>
      </c>
      <c r="D1820" s="553">
        <v>1</v>
      </c>
      <c r="E1820" s="553">
        <v>1</v>
      </c>
      <c r="F1820" s="553">
        <v>2</v>
      </c>
      <c r="G1820" s="502" t="s">
        <v>477</v>
      </c>
      <c r="H1820" s="553">
        <v>2591.73</v>
      </c>
      <c r="I1820" s="553">
        <v>89</v>
      </c>
      <c r="J1820" s="553">
        <v>46</v>
      </c>
      <c r="K1820" s="553">
        <v>52</v>
      </c>
      <c r="L1820" s="553">
        <v>3</v>
      </c>
      <c r="M1820" s="505" t="s">
        <v>137</v>
      </c>
      <c r="N1820" s="500">
        <v>43047567140000</v>
      </c>
      <c r="O1820" s="553" t="s">
        <v>4442</v>
      </c>
      <c r="P1820" s="650" t="s">
        <v>2485</v>
      </c>
      <c r="Q1820" s="564" t="s">
        <v>4440</v>
      </c>
      <c r="R1820" s="564">
        <v>2</v>
      </c>
    </row>
    <row r="1821" spans="1:18" ht="15" customHeight="1" x14ac:dyDescent="0.25">
      <c r="A1821" s="553">
        <v>19</v>
      </c>
      <c r="B1821" s="553">
        <v>3</v>
      </c>
      <c r="C1821" s="553">
        <v>2</v>
      </c>
      <c r="D1821" s="553">
        <v>1</v>
      </c>
      <c r="E1821" s="553">
        <v>1</v>
      </c>
      <c r="F1821" s="553">
        <v>2</v>
      </c>
      <c r="G1821" s="553" t="s">
        <v>479</v>
      </c>
      <c r="H1821" s="553">
        <v>2643.4</v>
      </c>
      <c r="I1821" s="553">
        <v>89</v>
      </c>
      <c r="J1821" s="553">
        <v>53</v>
      </c>
      <c r="K1821" s="553">
        <v>4</v>
      </c>
      <c r="L1821" s="553">
        <v>3</v>
      </c>
      <c r="M1821" s="505" t="s">
        <v>137</v>
      </c>
      <c r="N1821" s="500">
        <v>43047567140000</v>
      </c>
      <c r="O1821" s="553" t="s">
        <v>4442</v>
      </c>
      <c r="P1821" s="650" t="s">
        <v>2486</v>
      </c>
      <c r="Q1821" s="564" t="s">
        <v>4440</v>
      </c>
      <c r="R1821" s="564">
        <v>2</v>
      </c>
    </row>
    <row r="1822" spans="1:18" ht="15" customHeight="1" x14ac:dyDescent="0.25">
      <c r="A1822" s="553">
        <v>19</v>
      </c>
      <c r="B1822" s="553">
        <v>3</v>
      </c>
      <c r="C1822" s="553">
        <v>2</v>
      </c>
      <c r="D1822" s="553">
        <v>1</v>
      </c>
      <c r="E1822" s="553">
        <v>1</v>
      </c>
      <c r="F1822" s="553">
        <v>2</v>
      </c>
      <c r="G1822" s="553" t="s">
        <v>485</v>
      </c>
      <c r="H1822" s="553">
        <v>0</v>
      </c>
      <c r="I1822" s="553">
        <v>0</v>
      </c>
      <c r="J1822" s="553">
        <v>0</v>
      </c>
      <c r="K1822" s="553">
        <v>0</v>
      </c>
      <c r="L1822" s="553">
        <v>0</v>
      </c>
      <c r="M1822" s="505" t="s">
        <v>137</v>
      </c>
      <c r="N1822" s="500">
        <v>43047567140000</v>
      </c>
      <c r="O1822" s="553" t="s">
        <v>4442</v>
      </c>
      <c r="P1822" s="650" t="s">
        <v>2487</v>
      </c>
      <c r="Q1822" s="564" t="s">
        <v>4440</v>
      </c>
      <c r="R1822" s="564">
        <v>2</v>
      </c>
    </row>
    <row r="1823" spans="1:18" ht="15" customHeight="1" x14ac:dyDescent="0.25">
      <c r="A1823" s="553">
        <v>19</v>
      </c>
      <c r="B1823" s="553">
        <v>3</v>
      </c>
      <c r="C1823" s="553">
        <v>2</v>
      </c>
      <c r="D1823" s="553">
        <v>1</v>
      </c>
      <c r="E1823" s="553">
        <v>1</v>
      </c>
      <c r="F1823" s="553">
        <v>2</v>
      </c>
      <c r="G1823" s="553" t="s">
        <v>487</v>
      </c>
      <c r="H1823" s="553">
        <v>0</v>
      </c>
      <c r="I1823" s="553">
        <v>0</v>
      </c>
      <c r="J1823" s="553">
        <v>0</v>
      </c>
      <c r="K1823" s="553">
        <v>0</v>
      </c>
      <c r="L1823" s="553">
        <v>0</v>
      </c>
      <c r="M1823" s="505" t="s">
        <v>137</v>
      </c>
      <c r="N1823" s="500">
        <v>43047567140000</v>
      </c>
      <c r="O1823" s="553" t="s">
        <v>4442</v>
      </c>
      <c r="P1823" s="650" t="s">
        <v>2488</v>
      </c>
      <c r="Q1823" s="564" t="s">
        <v>4440</v>
      </c>
      <c r="R1823" s="564">
        <v>2</v>
      </c>
    </row>
    <row r="1824" spans="1:18" ht="15" customHeight="1" x14ac:dyDescent="0.25">
      <c r="A1824" s="553">
        <v>19</v>
      </c>
      <c r="B1824" s="553">
        <v>3</v>
      </c>
      <c r="C1824" s="553">
        <v>2</v>
      </c>
      <c r="D1824" s="553">
        <v>1</v>
      </c>
      <c r="E1824" s="553">
        <v>1</v>
      </c>
      <c r="F1824" s="553">
        <v>2</v>
      </c>
      <c r="G1824" s="502" t="s">
        <v>489</v>
      </c>
      <c r="H1824" s="650">
        <v>2642.23</v>
      </c>
      <c r="I1824" s="650">
        <v>89</v>
      </c>
      <c r="J1824" s="650">
        <v>48</v>
      </c>
      <c r="K1824" s="650">
        <v>27</v>
      </c>
      <c r="L1824" s="650">
        <v>3</v>
      </c>
      <c r="M1824" s="505" t="s">
        <v>137</v>
      </c>
      <c r="N1824" s="500">
        <v>43047567140000</v>
      </c>
      <c r="O1824" s="553" t="s">
        <v>4442</v>
      </c>
      <c r="P1824" s="650" t="s">
        <v>2489</v>
      </c>
      <c r="Q1824" s="564" t="s">
        <v>4440</v>
      </c>
      <c r="R1824" s="564">
        <v>2</v>
      </c>
    </row>
    <row r="1825" spans="1:18" ht="15" customHeight="1" x14ac:dyDescent="0.25">
      <c r="A1825" s="553">
        <v>19</v>
      </c>
      <c r="B1825" s="553">
        <v>3</v>
      </c>
      <c r="C1825" s="553">
        <v>2</v>
      </c>
      <c r="D1825" s="553">
        <v>1</v>
      </c>
      <c r="E1825" s="553">
        <v>1</v>
      </c>
      <c r="F1825" s="553">
        <v>2</v>
      </c>
      <c r="G1825" s="553" t="s">
        <v>491</v>
      </c>
      <c r="H1825" s="650">
        <v>2623.43</v>
      </c>
      <c r="I1825" s="553">
        <v>89</v>
      </c>
      <c r="J1825" s="553">
        <v>55</v>
      </c>
      <c r="K1825" s="553">
        <v>38</v>
      </c>
      <c r="L1825" s="650">
        <v>3</v>
      </c>
      <c r="M1825" s="505" t="s">
        <v>137</v>
      </c>
      <c r="N1825" s="500">
        <v>43047567140000</v>
      </c>
      <c r="O1825" s="553" t="s">
        <v>4442</v>
      </c>
      <c r="P1825" s="650" t="s">
        <v>2490</v>
      </c>
      <c r="Q1825" s="564" t="s">
        <v>4440</v>
      </c>
      <c r="R1825" s="564">
        <v>2</v>
      </c>
    </row>
    <row r="1826" spans="1:18" ht="15" customHeight="1" x14ac:dyDescent="0.25">
      <c r="A1826" s="553">
        <v>19</v>
      </c>
      <c r="B1826" s="553">
        <v>3</v>
      </c>
      <c r="C1826" s="553">
        <v>2</v>
      </c>
      <c r="D1826" s="553">
        <v>1</v>
      </c>
      <c r="E1826" s="553">
        <v>1</v>
      </c>
      <c r="F1826" s="553">
        <v>2</v>
      </c>
      <c r="G1826" s="553" t="s">
        <v>494</v>
      </c>
      <c r="H1826" s="553">
        <v>0</v>
      </c>
      <c r="I1826" s="553">
        <v>0</v>
      </c>
      <c r="J1826" s="553">
        <v>0</v>
      </c>
      <c r="K1826" s="553">
        <v>0</v>
      </c>
      <c r="L1826" s="553">
        <v>0</v>
      </c>
      <c r="M1826" s="505" t="s">
        <v>137</v>
      </c>
      <c r="N1826" s="500">
        <v>43047567140000</v>
      </c>
      <c r="O1826" s="553" t="s">
        <v>4442</v>
      </c>
      <c r="P1826" s="650" t="s">
        <v>2491</v>
      </c>
      <c r="Q1826" s="564" t="s">
        <v>4440</v>
      </c>
      <c r="R1826" s="564">
        <v>2</v>
      </c>
    </row>
    <row r="1827" spans="1:18" ht="15" customHeight="1" x14ac:dyDescent="0.25">
      <c r="A1827" s="553">
        <v>19</v>
      </c>
      <c r="B1827" s="553">
        <v>3</v>
      </c>
      <c r="C1827" s="553">
        <v>2</v>
      </c>
      <c r="D1827" s="553">
        <v>2</v>
      </c>
      <c r="E1827" s="553">
        <v>1</v>
      </c>
      <c r="F1827" s="553">
        <v>2</v>
      </c>
      <c r="G1827" s="553" t="s">
        <v>473</v>
      </c>
      <c r="H1827" s="650">
        <v>1305.4100000000001</v>
      </c>
      <c r="I1827" s="650">
        <v>0</v>
      </c>
      <c r="J1827" s="650">
        <v>5</v>
      </c>
      <c r="K1827" s="650">
        <v>10</v>
      </c>
      <c r="L1827" s="650">
        <v>4</v>
      </c>
      <c r="M1827" s="654" t="s">
        <v>137</v>
      </c>
      <c r="N1827" s="655">
        <v>43047564460000</v>
      </c>
      <c r="O1827" s="650" t="s">
        <v>2492</v>
      </c>
      <c r="P1827" s="650" t="s">
        <v>2493</v>
      </c>
      <c r="Q1827" s="564" t="s">
        <v>583</v>
      </c>
      <c r="R1827" s="564">
        <v>1</v>
      </c>
    </row>
    <row r="1828" spans="1:18" ht="15" customHeight="1" x14ac:dyDescent="0.25">
      <c r="A1828" s="553">
        <v>19</v>
      </c>
      <c r="B1828" s="553">
        <v>3</v>
      </c>
      <c r="C1828" s="553">
        <v>2</v>
      </c>
      <c r="D1828" s="553">
        <v>2</v>
      </c>
      <c r="E1828" s="553">
        <v>1</v>
      </c>
      <c r="F1828" s="553">
        <v>2</v>
      </c>
      <c r="G1828" s="502" t="s">
        <v>476</v>
      </c>
      <c r="H1828" s="650">
        <v>1305.4100000000001</v>
      </c>
      <c r="I1828" s="650">
        <v>0</v>
      </c>
      <c r="J1828" s="650">
        <v>5</v>
      </c>
      <c r="K1828" s="650">
        <v>10</v>
      </c>
      <c r="L1828" s="650">
        <v>4</v>
      </c>
      <c r="M1828" s="654" t="s">
        <v>137</v>
      </c>
      <c r="N1828" s="655">
        <v>43047564460000</v>
      </c>
      <c r="O1828" s="650" t="s">
        <v>2492</v>
      </c>
      <c r="P1828" s="650" t="s">
        <v>2494</v>
      </c>
      <c r="Q1828" s="564" t="s">
        <v>583</v>
      </c>
      <c r="R1828" s="564">
        <v>1</v>
      </c>
    </row>
    <row r="1829" spans="1:18" ht="15" customHeight="1" x14ac:dyDescent="0.25">
      <c r="A1829" s="553">
        <v>19</v>
      </c>
      <c r="B1829" s="553">
        <v>3</v>
      </c>
      <c r="C1829" s="553">
        <v>2</v>
      </c>
      <c r="D1829" s="553">
        <v>2</v>
      </c>
      <c r="E1829" s="553">
        <v>1</v>
      </c>
      <c r="F1829" s="553">
        <v>2</v>
      </c>
      <c r="G1829" s="553" t="s">
        <v>478</v>
      </c>
      <c r="H1829" s="650">
        <v>1305.4100000000001</v>
      </c>
      <c r="I1829" s="650">
        <v>0</v>
      </c>
      <c r="J1829" s="650">
        <v>5</v>
      </c>
      <c r="K1829" s="650">
        <v>10</v>
      </c>
      <c r="L1829" s="650">
        <v>4</v>
      </c>
      <c r="M1829" s="654" t="s">
        <v>137</v>
      </c>
      <c r="N1829" s="655">
        <v>43047564460000</v>
      </c>
      <c r="O1829" s="650" t="s">
        <v>2492</v>
      </c>
      <c r="P1829" s="650" t="s">
        <v>2495</v>
      </c>
      <c r="Q1829" s="564" t="s">
        <v>583</v>
      </c>
      <c r="R1829" s="564">
        <v>1</v>
      </c>
    </row>
    <row r="1830" spans="1:18" ht="15" customHeight="1" x14ac:dyDescent="0.25">
      <c r="A1830" s="553">
        <v>19</v>
      </c>
      <c r="B1830" s="553">
        <v>3</v>
      </c>
      <c r="C1830" s="553">
        <v>2</v>
      </c>
      <c r="D1830" s="553">
        <v>2</v>
      </c>
      <c r="E1830" s="553">
        <v>1</v>
      </c>
      <c r="F1830" s="553">
        <v>2</v>
      </c>
      <c r="G1830" s="553" t="s">
        <v>484</v>
      </c>
      <c r="H1830" s="650">
        <v>1388.92</v>
      </c>
      <c r="I1830" s="650">
        <v>1</v>
      </c>
      <c r="J1830" s="650">
        <v>37</v>
      </c>
      <c r="K1830" s="650">
        <v>59</v>
      </c>
      <c r="L1830" s="650">
        <v>2</v>
      </c>
      <c r="M1830" s="654" t="s">
        <v>137</v>
      </c>
      <c r="N1830" s="655">
        <v>43047564460000</v>
      </c>
      <c r="O1830" s="650" t="s">
        <v>2492</v>
      </c>
      <c r="P1830" s="650" t="s">
        <v>2496</v>
      </c>
      <c r="Q1830" s="564" t="s">
        <v>583</v>
      </c>
      <c r="R1830" s="564">
        <v>1</v>
      </c>
    </row>
    <row r="1831" spans="1:18" ht="15" customHeight="1" x14ac:dyDescent="0.25">
      <c r="A1831" s="553">
        <v>19</v>
      </c>
      <c r="B1831" s="553">
        <v>3</v>
      </c>
      <c r="C1831" s="553">
        <v>2</v>
      </c>
      <c r="D1831" s="553">
        <v>2</v>
      </c>
      <c r="E1831" s="553">
        <v>1</v>
      </c>
      <c r="F1831" s="553">
        <v>2</v>
      </c>
      <c r="G1831" s="553" t="s">
        <v>486</v>
      </c>
      <c r="H1831" s="650">
        <v>1328.71</v>
      </c>
      <c r="I1831" s="650">
        <v>0</v>
      </c>
      <c r="J1831" s="650">
        <v>15</v>
      </c>
      <c r="K1831" s="650">
        <v>21</v>
      </c>
      <c r="L1831" s="650">
        <v>2</v>
      </c>
      <c r="M1831" s="654" t="s">
        <v>137</v>
      </c>
      <c r="N1831" s="655">
        <v>43047564460000</v>
      </c>
      <c r="O1831" s="650" t="s">
        <v>2492</v>
      </c>
      <c r="P1831" s="650" t="s">
        <v>2497</v>
      </c>
      <c r="Q1831" s="564" t="s">
        <v>583</v>
      </c>
      <c r="R1831" s="564">
        <v>1</v>
      </c>
    </row>
    <row r="1832" spans="1:18" ht="15" customHeight="1" x14ac:dyDescent="0.25">
      <c r="A1832" s="553">
        <v>19</v>
      </c>
      <c r="B1832" s="553">
        <v>3</v>
      </c>
      <c r="C1832" s="553">
        <v>2</v>
      </c>
      <c r="D1832" s="553">
        <v>2</v>
      </c>
      <c r="E1832" s="553">
        <v>1</v>
      </c>
      <c r="F1832" s="553">
        <v>2</v>
      </c>
      <c r="G1832" s="502" t="s">
        <v>488</v>
      </c>
      <c r="H1832" s="650">
        <v>1328.71</v>
      </c>
      <c r="I1832" s="650">
        <v>0</v>
      </c>
      <c r="J1832" s="650">
        <v>15</v>
      </c>
      <c r="K1832" s="650">
        <v>21</v>
      </c>
      <c r="L1832" s="650">
        <v>2</v>
      </c>
      <c r="M1832" s="654" t="s">
        <v>137</v>
      </c>
      <c r="N1832" s="655">
        <v>43047564460000</v>
      </c>
      <c r="O1832" s="650" t="s">
        <v>2492</v>
      </c>
      <c r="P1832" s="650" t="s">
        <v>2498</v>
      </c>
      <c r="Q1832" s="564" t="s">
        <v>583</v>
      </c>
      <c r="R1832" s="564">
        <v>1</v>
      </c>
    </row>
    <row r="1833" spans="1:18" ht="15" customHeight="1" x14ac:dyDescent="0.25">
      <c r="A1833" s="553">
        <v>19</v>
      </c>
      <c r="B1833" s="553">
        <v>3</v>
      </c>
      <c r="C1833" s="553">
        <v>2</v>
      </c>
      <c r="D1833" s="553">
        <v>2</v>
      </c>
      <c r="E1833" s="553">
        <v>1</v>
      </c>
      <c r="F1833" s="553">
        <v>2</v>
      </c>
      <c r="G1833" s="553" t="s">
        <v>490</v>
      </c>
      <c r="H1833" s="650">
        <v>1326.91</v>
      </c>
      <c r="I1833" s="650">
        <v>0</v>
      </c>
      <c r="J1833" s="650">
        <v>15</v>
      </c>
      <c r="K1833" s="650">
        <v>21</v>
      </c>
      <c r="L1833" s="650">
        <v>2</v>
      </c>
      <c r="M1833" s="654" t="s">
        <v>137</v>
      </c>
      <c r="N1833" s="655">
        <v>43047564460000</v>
      </c>
      <c r="O1833" s="650" t="s">
        <v>2492</v>
      </c>
      <c r="P1833" s="650" t="s">
        <v>2499</v>
      </c>
      <c r="Q1833" s="564" t="s">
        <v>583</v>
      </c>
      <c r="R1833" s="564">
        <v>1</v>
      </c>
    </row>
    <row r="1834" spans="1:18" ht="15" customHeight="1" x14ac:dyDescent="0.25">
      <c r="A1834" s="553">
        <v>19</v>
      </c>
      <c r="B1834" s="553">
        <v>3</v>
      </c>
      <c r="C1834" s="553">
        <v>2</v>
      </c>
      <c r="D1834" s="553">
        <v>2</v>
      </c>
      <c r="E1834" s="553">
        <v>1</v>
      </c>
      <c r="F1834" s="553">
        <v>2</v>
      </c>
      <c r="G1834" s="553" t="s">
        <v>493</v>
      </c>
      <c r="H1834" s="650">
        <v>1330.51</v>
      </c>
      <c r="I1834" s="650">
        <v>0</v>
      </c>
      <c r="J1834" s="650">
        <v>15</v>
      </c>
      <c r="K1834" s="650">
        <v>21</v>
      </c>
      <c r="L1834" s="650">
        <v>2</v>
      </c>
      <c r="M1834" s="654" t="s">
        <v>137</v>
      </c>
      <c r="N1834" s="655">
        <v>43047564460000</v>
      </c>
      <c r="O1834" s="650" t="s">
        <v>2492</v>
      </c>
      <c r="P1834" s="650" t="s">
        <v>2500</v>
      </c>
      <c r="Q1834" s="564" t="s">
        <v>583</v>
      </c>
      <c r="R1834" s="564">
        <v>1</v>
      </c>
    </row>
    <row r="1835" spans="1:18" ht="15" customHeight="1" x14ac:dyDescent="0.25">
      <c r="A1835" s="553">
        <v>19</v>
      </c>
      <c r="B1835" s="553">
        <v>3</v>
      </c>
      <c r="C1835" s="553">
        <v>2</v>
      </c>
      <c r="D1835" s="553">
        <v>2</v>
      </c>
      <c r="E1835" s="553">
        <v>1</v>
      </c>
      <c r="F1835" s="553">
        <v>2</v>
      </c>
      <c r="G1835" s="553" t="s">
        <v>474</v>
      </c>
      <c r="H1835" s="650">
        <v>1342.25</v>
      </c>
      <c r="I1835" s="650">
        <v>89</v>
      </c>
      <c r="J1835" s="650">
        <v>0</v>
      </c>
      <c r="K1835" s="650">
        <v>40</v>
      </c>
      <c r="L1835" s="650">
        <v>4</v>
      </c>
      <c r="M1835" s="654" t="s">
        <v>137</v>
      </c>
      <c r="N1835" s="655">
        <v>43047564460000</v>
      </c>
      <c r="O1835" s="650" t="s">
        <v>2492</v>
      </c>
      <c r="P1835" s="650" t="s">
        <v>2501</v>
      </c>
      <c r="Q1835" s="564" t="s">
        <v>583</v>
      </c>
      <c r="R1835" s="564">
        <v>1</v>
      </c>
    </row>
    <row r="1836" spans="1:18" ht="15" customHeight="1" x14ac:dyDescent="0.25">
      <c r="A1836" s="553">
        <v>19</v>
      </c>
      <c r="B1836" s="553">
        <v>3</v>
      </c>
      <c r="C1836" s="553">
        <v>2</v>
      </c>
      <c r="D1836" s="553">
        <v>2</v>
      </c>
      <c r="E1836" s="553">
        <v>1</v>
      </c>
      <c r="F1836" s="553">
        <v>2</v>
      </c>
      <c r="G1836" s="502" t="s">
        <v>477</v>
      </c>
      <c r="H1836" s="650">
        <v>1318.49</v>
      </c>
      <c r="I1836" s="650">
        <v>89</v>
      </c>
      <c r="J1836" s="650">
        <v>0</v>
      </c>
      <c r="K1836" s="650">
        <v>40</v>
      </c>
      <c r="L1836" s="650">
        <v>4</v>
      </c>
      <c r="M1836" s="654" t="s">
        <v>137</v>
      </c>
      <c r="N1836" s="655">
        <v>43047564460000</v>
      </c>
      <c r="O1836" s="650" t="s">
        <v>2492</v>
      </c>
      <c r="P1836" s="650" t="s">
        <v>2502</v>
      </c>
      <c r="Q1836" s="564" t="s">
        <v>583</v>
      </c>
      <c r="R1836" s="564">
        <v>1</v>
      </c>
    </row>
    <row r="1837" spans="1:18" ht="15" customHeight="1" x14ac:dyDescent="0.25">
      <c r="A1837" s="553">
        <v>19</v>
      </c>
      <c r="B1837" s="553">
        <v>3</v>
      </c>
      <c r="C1837" s="553">
        <v>2</v>
      </c>
      <c r="D1837" s="553">
        <v>2</v>
      </c>
      <c r="E1837" s="553">
        <v>1</v>
      </c>
      <c r="F1837" s="553">
        <v>2</v>
      </c>
      <c r="G1837" s="553" t="s">
        <v>479</v>
      </c>
      <c r="H1837" s="650">
        <v>1318.5</v>
      </c>
      <c r="I1837" s="650">
        <v>89</v>
      </c>
      <c r="J1837" s="650">
        <v>1</v>
      </c>
      <c r="K1837" s="650">
        <v>6</v>
      </c>
      <c r="L1837" s="650">
        <v>4</v>
      </c>
      <c r="M1837" s="654" t="s">
        <v>137</v>
      </c>
      <c r="N1837" s="655">
        <v>43047564460000</v>
      </c>
      <c r="O1837" s="650" t="s">
        <v>2492</v>
      </c>
      <c r="P1837" s="650" t="s">
        <v>2503</v>
      </c>
      <c r="Q1837" s="564" t="s">
        <v>583</v>
      </c>
      <c r="R1837" s="564">
        <v>1</v>
      </c>
    </row>
    <row r="1838" spans="1:18" ht="15" customHeight="1" x14ac:dyDescent="0.25">
      <c r="A1838" s="553">
        <v>19</v>
      </c>
      <c r="B1838" s="553">
        <v>3</v>
      </c>
      <c r="C1838" s="553">
        <v>2</v>
      </c>
      <c r="D1838" s="553">
        <v>2</v>
      </c>
      <c r="E1838" s="553">
        <v>1</v>
      </c>
      <c r="F1838" s="553">
        <v>2</v>
      </c>
      <c r="G1838" s="553" t="s">
        <v>485</v>
      </c>
      <c r="H1838" s="650">
        <v>1318.5</v>
      </c>
      <c r="I1838" s="650">
        <v>89</v>
      </c>
      <c r="J1838" s="650">
        <v>1</v>
      </c>
      <c r="K1838" s="650">
        <v>6</v>
      </c>
      <c r="L1838" s="650">
        <v>4</v>
      </c>
      <c r="M1838" s="654" t="s">
        <v>137</v>
      </c>
      <c r="N1838" s="655">
        <v>43047564460000</v>
      </c>
      <c r="O1838" s="650" t="s">
        <v>2492</v>
      </c>
      <c r="P1838" s="650" t="s">
        <v>2504</v>
      </c>
      <c r="Q1838" s="564" t="s">
        <v>583</v>
      </c>
      <c r="R1838" s="564">
        <v>1</v>
      </c>
    </row>
    <row r="1839" spans="1:18" ht="15" customHeight="1" x14ac:dyDescent="0.25">
      <c r="A1839" s="553">
        <v>19</v>
      </c>
      <c r="B1839" s="553">
        <v>3</v>
      </c>
      <c r="C1839" s="553">
        <v>2</v>
      </c>
      <c r="D1839" s="553">
        <v>2</v>
      </c>
      <c r="E1839" s="553">
        <v>1</v>
      </c>
      <c r="F1839" s="553">
        <v>2</v>
      </c>
      <c r="G1839" s="553" t="s">
        <v>487</v>
      </c>
      <c r="H1839" s="650">
        <v>1336.38</v>
      </c>
      <c r="I1839" s="650">
        <v>89</v>
      </c>
      <c r="J1839" s="650">
        <v>22</v>
      </c>
      <c r="K1839" s="650">
        <v>29</v>
      </c>
      <c r="L1839" s="650">
        <v>4</v>
      </c>
      <c r="M1839" s="654" t="s">
        <v>137</v>
      </c>
      <c r="N1839" s="655">
        <v>43047564460000</v>
      </c>
      <c r="O1839" s="650" t="s">
        <v>2492</v>
      </c>
      <c r="P1839" s="650" t="s">
        <v>2505</v>
      </c>
      <c r="Q1839" s="564" t="s">
        <v>583</v>
      </c>
      <c r="R1839" s="564">
        <v>1</v>
      </c>
    </row>
    <row r="1840" spans="1:18" ht="15" customHeight="1" x14ac:dyDescent="0.25">
      <c r="A1840" s="553">
        <v>19</v>
      </c>
      <c r="B1840" s="553">
        <v>3</v>
      </c>
      <c r="C1840" s="553">
        <v>2</v>
      </c>
      <c r="D1840" s="553">
        <v>2</v>
      </c>
      <c r="E1840" s="553">
        <v>1</v>
      </c>
      <c r="F1840" s="553">
        <v>2</v>
      </c>
      <c r="G1840" s="502" t="s">
        <v>489</v>
      </c>
      <c r="H1840" s="553">
        <v>1323.15</v>
      </c>
      <c r="I1840" s="553">
        <v>89</v>
      </c>
      <c r="J1840" s="553">
        <v>22</v>
      </c>
      <c r="K1840" s="553">
        <v>29</v>
      </c>
      <c r="L1840" s="553">
        <v>4</v>
      </c>
      <c r="M1840" s="505" t="s">
        <v>137</v>
      </c>
      <c r="N1840" s="500">
        <v>43047564460000</v>
      </c>
      <c r="O1840" s="553" t="s">
        <v>2492</v>
      </c>
      <c r="P1840" s="650" t="s">
        <v>2506</v>
      </c>
      <c r="Q1840" s="564" t="s">
        <v>583</v>
      </c>
      <c r="R1840" s="564">
        <v>1</v>
      </c>
    </row>
    <row r="1841" spans="1:18" ht="15" customHeight="1" x14ac:dyDescent="0.25">
      <c r="A1841" s="553">
        <v>19</v>
      </c>
      <c r="B1841" s="553">
        <v>3</v>
      </c>
      <c r="C1841" s="553">
        <v>2</v>
      </c>
      <c r="D1841" s="553">
        <v>2</v>
      </c>
      <c r="E1841" s="553">
        <v>1</v>
      </c>
      <c r="F1841" s="553">
        <v>2</v>
      </c>
      <c r="G1841" s="553" t="s">
        <v>491</v>
      </c>
      <c r="H1841" s="553">
        <v>1324.8</v>
      </c>
      <c r="I1841" s="553">
        <v>89</v>
      </c>
      <c r="J1841" s="553">
        <v>39</v>
      </c>
      <c r="K1841" s="553">
        <v>34</v>
      </c>
      <c r="L1841" s="553">
        <v>4</v>
      </c>
      <c r="M1841" s="505" t="s">
        <v>137</v>
      </c>
      <c r="N1841" s="500">
        <v>43047564460000</v>
      </c>
      <c r="O1841" s="553" t="s">
        <v>2492</v>
      </c>
      <c r="P1841" s="650" t="s">
        <v>2507</v>
      </c>
      <c r="Q1841" s="564" t="s">
        <v>583</v>
      </c>
      <c r="R1841" s="564">
        <v>1</v>
      </c>
    </row>
    <row r="1842" spans="1:18" ht="15" customHeight="1" x14ac:dyDescent="0.25">
      <c r="A1842" s="553">
        <v>19</v>
      </c>
      <c r="B1842" s="553">
        <v>3</v>
      </c>
      <c r="C1842" s="553">
        <v>2</v>
      </c>
      <c r="D1842" s="553">
        <v>2</v>
      </c>
      <c r="E1842" s="553">
        <v>1</v>
      </c>
      <c r="F1842" s="553">
        <v>2</v>
      </c>
      <c r="G1842" s="553" t="s">
        <v>494</v>
      </c>
      <c r="H1842" s="553">
        <v>1324.34</v>
      </c>
      <c r="I1842" s="553">
        <v>87</v>
      </c>
      <c r="J1842" s="553">
        <v>12</v>
      </c>
      <c r="K1842" s="553">
        <v>44</v>
      </c>
      <c r="L1842" s="553">
        <v>4</v>
      </c>
      <c r="M1842" s="505" t="s">
        <v>137</v>
      </c>
      <c r="N1842" s="500">
        <v>43047564460000</v>
      </c>
      <c r="O1842" s="553" t="s">
        <v>2492</v>
      </c>
      <c r="P1842" s="650" t="s">
        <v>2508</v>
      </c>
      <c r="Q1842" s="564" t="s">
        <v>583</v>
      </c>
      <c r="R1842" s="564">
        <v>1</v>
      </c>
    </row>
    <row r="1843" spans="1:18" ht="15" customHeight="1" x14ac:dyDescent="0.25">
      <c r="A1843" s="553">
        <v>19</v>
      </c>
      <c r="B1843" s="553">
        <v>3</v>
      </c>
      <c r="C1843" s="553">
        <v>2</v>
      </c>
      <c r="D1843" s="553">
        <v>1</v>
      </c>
      <c r="E1843" s="553">
        <v>2</v>
      </c>
      <c r="F1843" s="553">
        <v>2</v>
      </c>
      <c r="G1843" s="553" t="s">
        <v>473</v>
      </c>
      <c r="H1843" s="553">
        <v>1322.7075</v>
      </c>
      <c r="I1843" s="553">
        <v>0</v>
      </c>
      <c r="J1843" s="553">
        <v>44</v>
      </c>
      <c r="K1843" s="553">
        <v>25</v>
      </c>
      <c r="L1843" s="553">
        <v>4</v>
      </c>
      <c r="M1843" s="505" t="s">
        <v>137</v>
      </c>
      <c r="N1843" s="500">
        <v>43013504250000</v>
      </c>
      <c r="O1843" s="553" t="s">
        <v>2509</v>
      </c>
      <c r="P1843" s="650" t="s">
        <v>2510</v>
      </c>
      <c r="Q1843" s="564" t="s">
        <v>583</v>
      </c>
      <c r="R1843" s="564">
        <v>2</v>
      </c>
    </row>
    <row r="1844" spans="1:18" ht="15" customHeight="1" x14ac:dyDescent="0.25">
      <c r="A1844" s="553">
        <v>19</v>
      </c>
      <c r="B1844" s="553">
        <v>3</v>
      </c>
      <c r="C1844" s="553">
        <v>2</v>
      </c>
      <c r="D1844" s="553">
        <v>1</v>
      </c>
      <c r="E1844" s="553">
        <v>2</v>
      </c>
      <c r="F1844" s="553">
        <v>2</v>
      </c>
      <c r="G1844" s="502" t="s">
        <v>476</v>
      </c>
      <c r="H1844" s="553">
        <v>1322.7075</v>
      </c>
      <c r="I1844" s="553">
        <v>0</v>
      </c>
      <c r="J1844" s="553">
        <v>44</v>
      </c>
      <c r="K1844" s="553">
        <v>25</v>
      </c>
      <c r="L1844" s="553">
        <v>4</v>
      </c>
      <c r="M1844" s="505" t="s">
        <v>137</v>
      </c>
      <c r="N1844" s="500">
        <v>43013504250000</v>
      </c>
      <c r="O1844" s="553" t="s">
        <v>2509</v>
      </c>
      <c r="P1844" s="650" t="s">
        <v>2511</v>
      </c>
      <c r="Q1844" s="564" t="s">
        <v>583</v>
      </c>
      <c r="R1844" s="564">
        <v>2</v>
      </c>
    </row>
    <row r="1845" spans="1:18" ht="15" customHeight="1" x14ac:dyDescent="0.25">
      <c r="A1845" s="553">
        <v>19</v>
      </c>
      <c r="B1845" s="553">
        <v>3</v>
      </c>
      <c r="C1845" s="553">
        <v>2</v>
      </c>
      <c r="D1845" s="553">
        <v>1</v>
      </c>
      <c r="E1845" s="553">
        <v>2</v>
      </c>
      <c r="F1845" s="553">
        <v>2</v>
      </c>
      <c r="G1845" s="553" t="s">
        <v>478</v>
      </c>
      <c r="H1845" s="553">
        <v>1322.7075</v>
      </c>
      <c r="I1845" s="553">
        <v>0</v>
      </c>
      <c r="J1845" s="553">
        <v>44</v>
      </c>
      <c r="K1845" s="553">
        <v>25</v>
      </c>
      <c r="L1845" s="553">
        <v>4</v>
      </c>
      <c r="M1845" s="505" t="s">
        <v>137</v>
      </c>
      <c r="N1845" s="500">
        <v>43013504250000</v>
      </c>
      <c r="O1845" s="553" t="s">
        <v>2509</v>
      </c>
      <c r="P1845" s="650" t="s">
        <v>2512</v>
      </c>
      <c r="Q1845" s="564" t="s">
        <v>583</v>
      </c>
      <c r="R1845" s="564">
        <v>2</v>
      </c>
    </row>
    <row r="1846" spans="1:18" ht="15" customHeight="1" x14ac:dyDescent="0.25">
      <c r="A1846" s="553">
        <v>19</v>
      </c>
      <c r="B1846" s="553">
        <v>3</v>
      </c>
      <c r="C1846" s="553">
        <v>2</v>
      </c>
      <c r="D1846" s="553">
        <v>1</v>
      </c>
      <c r="E1846" s="553">
        <v>2</v>
      </c>
      <c r="F1846" s="553">
        <v>2</v>
      </c>
      <c r="G1846" s="553" t="s">
        <v>484</v>
      </c>
      <c r="H1846" s="553">
        <v>1322.7075</v>
      </c>
      <c r="I1846" s="553">
        <v>0</v>
      </c>
      <c r="J1846" s="553">
        <v>44</v>
      </c>
      <c r="K1846" s="553">
        <v>25</v>
      </c>
      <c r="L1846" s="553">
        <v>4</v>
      </c>
      <c r="M1846" s="505" t="s">
        <v>137</v>
      </c>
      <c r="N1846" s="500">
        <v>43013504250000</v>
      </c>
      <c r="O1846" s="553" t="s">
        <v>2509</v>
      </c>
      <c r="P1846" s="650" t="s">
        <v>2513</v>
      </c>
      <c r="Q1846" s="564" t="s">
        <v>583</v>
      </c>
      <c r="R1846" s="564">
        <v>2</v>
      </c>
    </row>
    <row r="1847" spans="1:18" ht="15" customHeight="1" x14ac:dyDescent="0.25">
      <c r="A1847" s="553">
        <v>19</v>
      </c>
      <c r="B1847" s="553">
        <v>3</v>
      </c>
      <c r="C1847" s="553">
        <v>2</v>
      </c>
      <c r="D1847" s="553">
        <v>1</v>
      </c>
      <c r="E1847" s="553">
        <v>2</v>
      </c>
      <c r="F1847" s="553">
        <v>2</v>
      </c>
      <c r="G1847" s="553" t="s">
        <v>486</v>
      </c>
      <c r="H1847" s="553">
        <v>1319.8150000000001</v>
      </c>
      <c r="I1847" s="553">
        <v>0</v>
      </c>
      <c r="J1847" s="553">
        <v>20</v>
      </c>
      <c r="K1847" s="553">
        <v>4</v>
      </c>
      <c r="L1847" s="553">
        <v>4</v>
      </c>
      <c r="M1847" s="505" t="s">
        <v>137</v>
      </c>
      <c r="N1847" s="500">
        <v>43013504250000</v>
      </c>
      <c r="O1847" s="553" t="s">
        <v>2509</v>
      </c>
      <c r="P1847" s="650" t="s">
        <v>2514</v>
      </c>
      <c r="Q1847" s="564" t="s">
        <v>583</v>
      </c>
      <c r="R1847" s="564">
        <v>2</v>
      </c>
    </row>
    <row r="1848" spans="1:18" ht="15" customHeight="1" x14ac:dyDescent="0.25">
      <c r="A1848" s="553">
        <v>19</v>
      </c>
      <c r="B1848" s="553">
        <v>3</v>
      </c>
      <c r="C1848" s="553">
        <v>2</v>
      </c>
      <c r="D1848" s="553">
        <v>1</v>
      </c>
      <c r="E1848" s="553">
        <v>2</v>
      </c>
      <c r="F1848" s="553">
        <v>2</v>
      </c>
      <c r="G1848" s="502" t="s">
        <v>488</v>
      </c>
      <c r="H1848" s="553">
        <v>1319.8150000000001</v>
      </c>
      <c r="I1848" s="553">
        <v>0</v>
      </c>
      <c r="J1848" s="553">
        <v>20</v>
      </c>
      <c r="K1848" s="553">
        <v>4</v>
      </c>
      <c r="L1848" s="553">
        <v>4</v>
      </c>
      <c r="M1848" s="505" t="s">
        <v>137</v>
      </c>
      <c r="N1848" s="500">
        <v>43013504250000</v>
      </c>
      <c r="O1848" s="553" t="s">
        <v>2509</v>
      </c>
      <c r="P1848" s="650" t="s">
        <v>2515</v>
      </c>
      <c r="Q1848" s="564" t="s">
        <v>583</v>
      </c>
      <c r="R1848" s="564">
        <v>2</v>
      </c>
    </row>
    <row r="1849" spans="1:18" ht="15" customHeight="1" x14ac:dyDescent="0.25">
      <c r="A1849" s="553">
        <v>19</v>
      </c>
      <c r="B1849" s="553">
        <v>3</v>
      </c>
      <c r="C1849" s="553">
        <v>2</v>
      </c>
      <c r="D1849" s="553">
        <v>1</v>
      </c>
      <c r="E1849" s="553">
        <v>2</v>
      </c>
      <c r="F1849" s="553">
        <v>2</v>
      </c>
      <c r="G1849" s="553" t="s">
        <v>490</v>
      </c>
      <c r="H1849" s="553">
        <v>1318.13</v>
      </c>
      <c r="I1849" s="553">
        <v>0</v>
      </c>
      <c r="J1849" s="553">
        <v>17</v>
      </c>
      <c r="K1849" s="553">
        <v>53</v>
      </c>
      <c r="L1849" s="553">
        <v>4</v>
      </c>
      <c r="M1849" s="505" t="s">
        <v>137</v>
      </c>
      <c r="N1849" s="500">
        <v>43013504250000</v>
      </c>
      <c r="O1849" s="553" t="s">
        <v>2509</v>
      </c>
      <c r="P1849" s="650" t="s">
        <v>2516</v>
      </c>
      <c r="Q1849" s="564" t="s">
        <v>583</v>
      </c>
      <c r="R1849" s="564">
        <v>2</v>
      </c>
    </row>
    <row r="1850" spans="1:18" ht="15" customHeight="1" x14ac:dyDescent="0.25">
      <c r="A1850" s="553">
        <v>19</v>
      </c>
      <c r="B1850" s="553">
        <v>3</v>
      </c>
      <c r="C1850" s="553">
        <v>2</v>
      </c>
      <c r="D1850" s="553">
        <v>1</v>
      </c>
      <c r="E1850" s="553">
        <v>2</v>
      </c>
      <c r="F1850" s="553">
        <v>2</v>
      </c>
      <c r="G1850" s="553" t="s">
        <v>493</v>
      </c>
      <c r="H1850" s="553">
        <v>1318.13</v>
      </c>
      <c r="I1850" s="553">
        <v>0</v>
      </c>
      <c r="J1850" s="553">
        <v>17</v>
      </c>
      <c r="K1850" s="553">
        <v>53</v>
      </c>
      <c r="L1850" s="553">
        <v>4</v>
      </c>
      <c r="M1850" s="505" t="s">
        <v>137</v>
      </c>
      <c r="N1850" s="500">
        <v>43013504250000</v>
      </c>
      <c r="O1850" s="553" t="s">
        <v>2509</v>
      </c>
      <c r="P1850" s="650" t="s">
        <v>2517</v>
      </c>
      <c r="Q1850" s="564" t="s">
        <v>583</v>
      </c>
      <c r="R1850" s="564">
        <v>2</v>
      </c>
    </row>
    <row r="1851" spans="1:18" ht="15" customHeight="1" x14ac:dyDescent="0.25">
      <c r="A1851" s="553">
        <v>19</v>
      </c>
      <c r="B1851" s="553">
        <v>3</v>
      </c>
      <c r="C1851" s="553">
        <v>2</v>
      </c>
      <c r="D1851" s="553">
        <v>1</v>
      </c>
      <c r="E1851" s="553">
        <v>2</v>
      </c>
      <c r="F1851" s="553">
        <v>2</v>
      </c>
      <c r="G1851" s="553" t="s">
        <v>474</v>
      </c>
      <c r="H1851" s="553">
        <v>1317.4575</v>
      </c>
      <c r="I1851" s="553">
        <v>89</v>
      </c>
      <c r="J1851" s="553">
        <v>27</v>
      </c>
      <c r="K1851" s="553">
        <v>1</v>
      </c>
      <c r="L1851" s="553">
        <v>3</v>
      </c>
      <c r="M1851" s="505" t="s">
        <v>137</v>
      </c>
      <c r="N1851" s="500">
        <v>43013504250000</v>
      </c>
      <c r="O1851" s="553" t="s">
        <v>2509</v>
      </c>
      <c r="P1851" s="650" t="s">
        <v>2518</v>
      </c>
      <c r="Q1851" s="564" t="s">
        <v>583</v>
      </c>
      <c r="R1851" s="564">
        <v>2</v>
      </c>
    </row>
    <row r="1852" spans="1:18" ht="15" customHeight="1" x14ac:dyDescent="0.25">
      <c r="A1852" s="553">
        <v>19</v>
      </c>
      <c r="B1852" s="553">
        <v>3</v>
      </c>
      <c r="C1852" s="553">
        <v>2</v>
      </c>
      <c r="D1852" s="553">
        <v>1</v>
      </c>
      <c r="E1852" s="553">
        <v>2</v>
      </c>
      <c r="F1852" s="553">
        <v>2</v>
      </c>
      <c r="G1852" s="502" t="s">
        <v>477</v>
      </c>
      <c r="H1852" s="553">
        <v>1317.4575</v>
      </c>
      <c r="I1852" s="553">
        <v>89</v>
      </c>
      <c r="J1852" s="553">
        <v>27</v>
      </c>
      <c r="K1852" s="553">
        <v>1</v>
      </c>
      <c r="L1852" s="553">
        <v>3</v>
      </c>
      <c r="M1852" s="505" t="s">
        <v>137</v>
      </c>
      <c r="N1852" s="500">
        <v>43013504250000</v>
      </c>
      <c r="O1852" s="553" t="s">
        <v>2509</v>
      </c>
      <c r="P1852" s="650" t="s">
        <v>2519</v>
      </c>
      <c r="Q1852" s="564" t="s">
        <v>583</v>
      </c>
      <c r="R1852" s="564">
        <v>2</v>
      </c>
    </row>
    <row r="1853" spans="1:18" ht="15" customHeight="1" x14ac:dyDescent="0.25">
      <c r="A1853" s="553">
        <v>19</v>
      </c>
      <c r="B1853" s="553">
        <v>3</v>
      </c>
      <c r="C1853" s="553">
        <v>2</v>
      </c>
      <c r="D1853" s="553">
        <v>1</v>
      </c>
      <c r="E1853" s="553">
        <v>2</v>
      </c>
      <c r="F1853" s="553">
        <v>2</v>
      </c>
      <c r="G1853" s="553" t="s">
        <v>479</v>
      </c>
      <c r="H1853" s="553">
        <v>1317.4575</v>
      </c>
      <c r="I1853" s="553">
        <v>89</v>
      </c>
      <c r="J1853" s="553">
        <v>27</v>
      </c>
      <c r="K1853" s="553">
        <v>1</v>
      </c>
      <c r="L1853" s="553">
        <v>3</v>
      </c>
      <c r="M1853" s="505" t="s">
        <v>137</v>
      </c>
      <c r="N1853" s="500">
        <v>43013504250000</v>
      </c>
      <c r="O1853" s="553" t="s">
        <v>2509</v>
      </c>
      <c r="P1853" s="650" t="s">
        <v>2520</v>
      </c>
      <c r="Q1853" s="564" t="s">
        <v>583</v>
      </c>
      <c r="R1853" s="564">
        <v>2</v>
      </c>
    </row>
    <row r="1854" spans="1:18" ht="15" customHeight="1" x14ac:dyDescent="0.25">
      <c r="A1854" s="553">
        <v>19</v>
      </c>
      <c r="B1854" s="553">
        <v>3</v>
      </c>
      <c r="C1854" s="553">
        <v>2</v>
      </c>
      <c r="D1854" s="553">
        <v>1</v>
      </c>
      <c r="E1854" s="553">
        <v>2</v>
      </c>
      <c r="F1854" s="553">
        <v>2</v>
      </c>
      <c r="G1854" s="553" t="s">
        <v>485</v>
      </c>
      <c r="H1854" s="553">
        <v>1317.4575</v>
      </c>
      <c r="I1854" s="553">
        <v>89</v>
      </c>
      <c r="J1854" s="553">
        <v>27</v>
      </c>
      <c r="K1854" s="553">
        <v>1</v>
      </c>
      <c r="L1854" s="553">
        <v>3</v>
      </c>
      <c r="M1854" s="505" t="s">
        <v>137</v>
      </c>
      <c r="N1854" s="500">
        <v>43013504250000</v>
      </c>
      <c r="O1854" s="553" t="s">
        <v>2509</v>
      </c>
      <c r="P1854" s="650" t="s">
        <v>2521</v>
      </c>
      <c r="Q1854" s="564" t="s">
        <v>583</v>
      </c>
      <c r="R1854" s="564">
        <v>2</v>
      </c>
    </row>
    <row r="1855" spans="1:18" ht="15" customHeight="1" x14ac:dyDescent="0.25">
      <c r="A1855" s="553">
        <v>19</v>
      </c>
      <c r="B1855" s="553">
        <v>3</v>
      </c>
      <c r="C1855" s="553">
        <v>2</v>
      </c>
      <c r="D1855" s="553">
        <v>1</v>
      </c>
      <c r="E1855" s="553">
        <v>2</v>
      </c>
      <c r="F1855" s="553">
        <v>2</v>
      </c>
      <c r="G1855" s="553" t="s">
        <v>487</v>
      </c>
      <c r="H1855" s="553">
        <v>1016.73</v>
      </c>
      <c r="I1855" s="553">
        <v>90</v>
      </c>
      <c r="J1855" s="553">
        <v>0</v>
      </c>
      <c r="K1855" s="553">
        <v>0</v>
      </c>
      <c r="L1855" s="553">
        <v>4</v>
      </c>
      <c r="M1855" s="505" t="s">
        <v>137</v>
      </c>
      <c r="N1855" s="500">
        <v>43013504250000</v>
      </c>
      <c r="O1855" s="553" t="s">
        <v>2509</v>
      </c>
      <c r="P1855" s="650" t="s">
        <v>2522</v>
      </c>
      <c r="Q1855" s="564" t="s">
        <v>583</v>
      </c>
      <c r="R1855" s="564">
        <v>2</v>
      </c>
    </row>
    <row r="1856" spans="1:18" ht="15" customHeight="1" x14ac:dyDescent="0.25">
      <c r="A1856" s="553">
        <v>19</v>
      </c>
      <c r="B1856" s="553">
        <v>3</v>
      </c>
      <c r="C1856" s="553">
        <v>2</v>
      </c>
      <c r="D1856" s="553">
        <v>1</v>
      </c>
      <c r="E1856" s="553">
        <v>2</v>
      </c>
      <c r="F1856" s="553">
        <v>2</v>
      </c>
      <c r="G1856" s="502" t="s">
        <v>489</v>
      </c>
      <c r="H1856" s="553">
        <v>1016.73</v>
      </c>
      <c r="I1856" s="553">
        <v>90</v>
      </c>
      <c r="J1856" s="553">
        <v>0</v>
      </c>
      <c r="K1856" s="553">
        <v>0</v>
      </c>
      <c r="L1856" s="553">
        <v>4</v>
      </c>
      <c r="M1856" s="505" t="s">
        <v>137</v>
      </c>
      <c r="N1856" s="500">
        <v>43013504250000</v>
      </c>
      <c r="O1856" s="553" t="s">
        <v>2509</v>
      </c>
      <c r="P1856" s="650" t="s">
        <v>2523</v>
      </c>
      <c r="Q1856" s="564" t="s">
        <v>583</v>
      </c>
      <c r="R1856" s="564">
        <v>2</v>
      </c>
    </row>
    <row r="1857" spans="1:18" ht="15" customHeight="1" x14ac:dyDescent="0.25">
      <c r="A1857" s="553">
        <v>19</v>
      </c>
      <c r="B1857" s="553">
        <v>3</v>
      </c>
      <c r="C1857" s="553">
        <v>2</v>
      </c>
      <c r="D1857" s="553">
        <v>1</v>
      </c>
      <c r="E1857" s="553">
        <v>2</v>
      </c>
      <c r="F1857" s="553">
        <v>2</v>
      </c>
      <c r="G1857" s="553" t="s">
        <v>491</v>
      </c>
      <c r="H1857" s="553">
        <v>1595.55</v>
      </c>
      <c r="I1857" s="553">
        <v>89</v>
      </c>
      <c r="J1857" s="553">
        <v>39</v>
      </c>
      <c r="K1857" s="553">
        <v>0</v>
      </c>
      <c r="L1857" s="553">
        <v>4</v>
      </c>
      <c r="M1857" s="505" t="s">
        <v>137</v>
      </c>
      <c r="N1857" s="500">
        <v>43013504250000</v>
      </c>
      <c r="O1857" s="553" t="s">
        <v>2509</v>
      </c>
      <c r="P1857" s="650" t="s">
        <v>2524</v>
      </c>
      <c r="Q1857" s="564" t="s">
        <v>583</v>
      </c>
      <c r="R1857" s="564">
        <v>2</v>
      </c>
    </row>
    <row r="1858" spans="1:18" ht="15" customHeight="1" x14ac:dyDescent="0.25">
      <c r="A1858" s="553">
        <v>19</v>
      </c>
      <c r="B1858" s="553">
        <v>3</v>
      </c>
      <c r="C1858" s="553">
        <v>2</v>
      </c>
      <c r="D1858" s="553">
        <v>1</v>
      </c>
      <c r="E1858" s="553">
        <v>2</v>
      </c>
      <c r="F1858" s="553">
        <v>2</v>
      </c>
      <c r="G1858" s="553" t="s">
        <v>494</v>
      </c>
      <c r="H1858" s="553">
        <v>1595.55</v>
      </c>
      <c r="I1858" s="553">
        <v>89</v>
      </c>
      <c r="J1858" s="553">
        <v>39</v>
      </c>
      <c r="K1858" s="553">
        <v>0</v>
      </c>
      <c r="L1858" s="553">
        <v>4</v>
      </c>
      <c r="M1858" s="505" t="s">
        <v>137</v>
      </c>
      <c r="N1858" s="500">
        <v>43013504250000</v>
      </c>
      <c r="O1858" s="553" t="s">
        <v>2509</v>
      </c>
      <c r="P1858" s="650" t="s">
        <v>2525</v>
      </c>
      <c r="Q1858" s="564" t="s">
        <v>583</v>
      </c>
      <c r="R1858" s="564">
        <v>2</v>
      </c>
    </row>
    <row r="1859" spans="1:18" ht="15" customHeight="1" x14ac:dyDescent="0.25">
      <c r="A1859" s="553">
        <v>19</v>
      </c>
      <c r="B1859" s="553">
        <v>2</v>
      </c>
      <c r="C1859" s="553">
        <v>2</v>
      </c>
      <c r="D1859" s="553">
        <v>2</v>
      </c>
      <c r="E1859" s="553">
        <v>2</v>
      </c>
      <c r="F1859" s="553">
        <v>2</v>
      </c>
      <c r="G1859" s="553" t="s">
        <v>473</v>
      </c>
      <c r="H1859" s="564">
        <v>1321.33</v>
      </c>
      <c r="I1859" s="564">
        <v>0</v>
      </c>
      <c r="J1859" s="564">
        <v>16</v>
      </c>
      <c r="K1859" s="564">
        <v>17</v>
      </c>
      <c r="L1859" s="564">
        <v>2</v>
      </c>
      <c r="M1859" s="562" t="s">
        <v>137</v>
      </c>
      <c r="N1859" s="563">
        <v>4301353746</v>
      </c>
      <c r="O1859" s="522" t="s">
        <v>2378</v>
      </c>
      <c r="P1859" s="522" t="s">
        <v>2526</v>
      </c>
      <c r="Q1859" s="564"/>
      <c r="R1859" s="564">
        <v>1</v>
      </c>
    </row>
    <row r="1860" spans="1:18" ht="15" customHeight="1" x14ac:dyDescent="0.25">
      <c r="A1860" s="553">
        <v>19</v>
      </c>
      <c r="B1860" s="553">
        <v>2</v>
      </c>
      <c r="C1860" s="553">
        <v>2</v>
      </c>
      <c r="D1860" s="553">
        <v>2</v>
      </c>
      <c r="E1860" s="553">
        <v>2</v>
      </c>
      <c r="F1860" s="553">
        <v>2</v>
      </c>
      <c r="G1860" s="502" t="s">
        <v>476</v>
      </c>
      <c r="H1860" s="564">
        <v>1321.33</v>
      </c>
      <c r="I1860" s="564">
        <v>0</v>
      </c>
      <c r="J1860" s="564">
        <v>16</v>
      </c>
      <c r="K1860" s="564">
        <v>17</v>
      </c>
      <c r="L1860" s="564">
        <v>2</v>
      </c>
      <c r="M1860" s="562" t="s">
        <v>137</v>
      </c>
      <c r="N1860" s="563">
        <v>4301353747</v>
      </c>
      <c r="O1860" s="522" t="s">
        <v>2380</v>
      </c>
      <c r="P1860" s="522" t="s">
        <v>2527</v>
      </c>
      <c r="Q1860" s="564"/>
      <c r="R1860" s="564">
        <v>1</v>
      </c>
    </row>
    <row r="1861" spans="1:18" ht="15" customHeight="1" x14ac:dyDescent="0.25">
      <c r="A1861" s="553">
        <v>19</v>
      </c>
      <c r="B1861" s="553">
        <v>2</v>
      </c>
      <c r="C1861" s="553">
        <v>2</v>
      </c>
      <c r="D1861" s="553">
        <v>2</v>
      </c>
      <c r="E1861" s="553">
        <v>2</v>
      </c>
      <c r="F1861" s="553">
        <v>2</v>
      </c>
      <c r="G1861" s="553" t="s">
        <v>478</v>
      </c>
      <c r="H1861" s="564">
        <v>1321.31</v>
      </c>
      <c r="I1861" s="564">
        <v>0</v>
      </c>
      <c r="J1861" s="564">
        <v>2</v>
      </c>
      <c r="K1861" s="564">
        <v>32</v>
      </c>
      <c r="L1861" s="564">
        <v>2</v>
      </c>
      <c r="M1861" s="562" t="s">
        <v>137</v>
      </c>
      <c r="N1861" s="563">
        <v>4301353748</v>
      </c>
      <c r="O1861" s="522" t="s">
        <v>2382</v>
      </c>
      <c r="P1861" s="522" t="s">
        <v>2528</v>
      </c>
      <c r="Q1861" s="564"/>
      <c r="R1861" s="564">
        <v>1</v>
      </c>
    </row>
    <row r="1862" spans="1:18" ht="15" customHeight="1" x14ac:dyDescent="0.25">
      <c r="A1862" s="553">
        <v>19</v>
      </c>
      <c r="B1862" s="553">
        <v>2</v>
      </c>
      <c r="C1862" s="553">
        <v>2</v>
      </c>
      <c r="D1862" s="553">
        <v>2</v>
      </c>
      <c r="E1862" s="553">
        <v>2</v>
      </c>
      <c r="F1862" s="553">
        <v>2</v>
      </c>
      <c r="G1862" s="553" t="s">
        <v>484</v>
      </c>
      <c r="H1862" s="564">
        <v>1321.31</v>
      </c>
      <c r="I1862" s="564">
        <v>0</v>
      </c>
      <c r="J1862" s="564">
        <v>2</v>
      </c>
      <c r="K1862" s="564">
        <v>32</v>
      </c>
      <c r="L1862" s="564">
        <v>2</v>
      </c>
      <c r="M1862" s="562" t="s">
        <v>137</v>
      </c>
      <c r="N1862" s="563">
        <v>4301353749</v>
      </c>
      <c r="O1862" s="522" t="s">
        <v>2384</v>
      </c>
      <c r="P1862" s="522" t="s">
        <v>2529</v>
      </c>
      <c r="Q1862" s="564"/>
      <c r="R1862" s="564">
        <v>1</v>
      </c>
    </row>
    <row r="1863" spans="1:18" ht="15" customHeight="1" x14ac:dyDescent="0.25">
      <c r="A1863" s="553">
        <v>19</v>
      </c>
      <c r="B1863" s="553">
        <v>2</v>
      </c>
      <c r="C1863" s="553">
        <v>2</v>
      </c>
      <c r="D1863" s="553">
        <v>2</v>
      </c>
      <c r="E1863" s="553">
        <v>2</v>
      </c>
      <c r="F1863" s="553">
        <v>2</v>
      </c>
      <c r="G1863" s="553" t="s">
        <v>486</v>
      </c>
      <c r="H1863" s="564">
        <v>1317.09</v>
      </c>
      <c r="I1863" s="564">
        <v>0</v>
      </c>
      <c r="J1863" s="564">
        <v>16</v>
      </c>
      <c r="K1863" s="564">
        <v>54</v>
      </c>
      <c r="L1863" s="564">
        <v>2</v>
      </c>
      <c r="M1863" s="562" t="s">
        <v>137</v>
      </c>
      <c r="N1863" s="563">
        <v>4301353750</v>
      </c>
      <c r="O1863" s="522" t="s">
        <v>2386</v>
      </c>
      <c r="P1863" s="522" t="s">
        <v>2530</v>
      </c>
      <c r="Q1863" s="564"/>
      <c r="R1863" s="564">
        <v>1</v>
      </c>
    </row>
    <row r="1864" spans="1:18" ht="15" customHeight="1" x14ac:dyDescent="0.25">
      <c r="A1864" s="553">
        <v>19</v>
      </c>
      <c r="B1864" s="553">
        <v>2</v>
      </c>
      <c r="C1864" s="553">
        <v>2</v>
      </c>
      <c r="D1864" s="553">
        <v>2</v>
      </c>
      <c r="E1864" s="553">
        <v>2</v>
      </c>
      <c r="F1864" s="553">
        <v>2</v>
      </c>
      <c r="G1864" s="502" t="s">
        <v>488</v>
      </c>
      <c r="H1864" s="564">
        <v>1317.09</v>
      </c>
      <c r="I1864" s="564">
        <v>0</v>
      </c>
      <c r="J1864" s="564">
        <v>16</v>
      </c>
      <c r="K1864" s="564">
        <v>54</v>
      </c>
      <c r="L1864" s="564">
        <v>2</v>
      </c>
      <c r="M1864" s="562" t="s">
        <v>137</v>
      </c>
      <c r="N1864" s="563">
        <v>4301353751</v>
      </c>
      <c r="O1864" s="522" t="s">
        <v>2388</v>
      </c>
      <c r="P1864" s="522" t="s">
        <v>2531</v>
      </c>
      <c r="Q1864" s="564"/>
      <c r="R1864" s="564">
        <v>1</v>
      </c>
    </row>
    <row r="1865" spans="1:18" ht="15" customHeight="1" x14ac:dyDescent="0.25">
      <c r="A1865" s="553">
        <v>19</v>
      </c>
      <c r="B1865" s="553">
        <v>2</v>
      </c>
      <c r="C1865" s="553">
        <v>2</v>
      </c>
      <c r="D1865" s="553">
        <v>2</v>
      </c>
      <c r="E1865" s="553">
        <v>2</v>
      </c>
      <c r="F1865" s="553">
        <v>2</v>
      </c>
      <c r="G1865" s="553" t="s">
        <v>490</v>
      </c>
      <c r="H1865" s="564">
        <v>1315.385</v>
      </c>
      <c r="I1865" s="564">
        <v>0</v>
      </c>
      <c r="J1865" s="564">
        <v>8</v>
      </c>
      <c r="K1865" s="564">
        <v>20</v>
      </c>
      <c r="L1865" s="564">
        <v>2</v>
      </c>
      <c r="M1865" s="562" t="s">
        <v>137</v>
      </c>
      <c r="N1865" s="563">
        <v>4301353752</v>
      </c>
      <c r="O1865" s="522" t="s">
        <v>2390</v>
      </c>
      <c r="P1865" s="522" t="s">
        <v>2532</v>
      </c>
      <c r="Q1865" s="564"/>
      <c r="R1865" s="564">
        <v>1</v>
      </c>
    </row>
    <row r="1866" spans="1:18" ht="15" customHeight="1" x14ac:dyDescent="0.25">
      <c r="A1866" s="553">
        <v>19</v>
      </c>
      <c r="B1866" s="553">
        <v>2</v>
      </c>
      <c r="C1866" s="553">
        <v>2</v>
      </c>
      <c r="D1866" s="553">
        <v>2</v>
      </c>
      <c r="E1866" s="553">
        <v>2</v>
      </c>
      <c r="F1866" s="553">
        <v>2</v>
      </c>
      <c r="G1866" s="553" t="s">
        <v>493</v>
      </c>
      <c r="H1866" s="564">
        <v>1315.385</v>
      </c>
      <c r="I1866" s="564">
        <v>0</v>
      </c>
      <c r="J1866" s="564">
        <v>8</v>
      </c>
      <c r="K1866" s="564">
        <v>20</v>
      </c>
      <c r="L1866" s="564">
        <v>2</v>
      </c>
      <c r="M1866" s="562" t="s">
        <v>137</v>
      </c>
      <c r="N1866" s="563">
        <v>4301353753</v>
      </c>
      <c r="O1866" s="522" t="s">
        <v>2392</v>
      </c>
      <c r="P1866" s="522" t="s">
        <v>2533</v>
      </c>
      <c r="Q1866" s="564"/>
      <c r="R1866" s="564">
        <v>1</v>
      </c>
    </row>
    <row r="1867" spans="1:18" ht="15" customHeight="1" x14ac:dyDescent="0.25">
      <c r="A1867" s="553">
        <v>19</v>
      </c>
      <c r="B1867" s="553">
        <v>2</v>
      </c>
      <c r="C1867" s="553">
        <v>2</v>
      </c>
      <c r="D1867" s="553">
        <v>2</v>
      </c>
      <c r="E1867" s="553">
        <v>2</v>
      </c>
      <c r="F1867" s="553">
        <v>2</v>
      </c>
      <c r="G1867" s="553" t="s">
        <v>474</v>
      </c>
      <c r="H1867" s="564">
        <v>1271.6949999999999</v>
      </c>
      <c r="I1867" s="564">
        <v>89</v>
      </c>
      <c r="J1867" s="564">
        <v>56</v>
      </c>
      <c r="K1867" s="564">
        <v>37</v>
      </c>
      <c r="L1867" s="564">
        <v>4</v>
      </c>
      <c r="M1867" s="562" t="s">
        <v>137</v>
      </c>
      <c r="N1867" s="563">
        <v>4301353754</v>
      </c>
      <c r="O1867" s="522" t="s">
        <v>2394</v>
      </c>
      <c r="P1867" s="522" t="s">
        <v>2534</v>
      </c>
      <c r="Q1867" s="564"/>
      <c r="R1867" s="564">
        <v>1</v>
      </c>
    </row>
    <row r="1868" spans="1:18" ht="15" customHeight="1" x14ac:dyDescent="0.25">
      <c r="A1868" s="553">
        <v>19</v>
      </c>
      <c r="B1868" s="553">
        <v>2</v>
      </c>
      <c r="C1868" s="553">
        <v>2</v>
      </c>
      <c r="D1868" s="553">
        <v>2</v>
      </c>
      <c r="E1868" s="553">
        <v>2</v>
      </c>
      <c r="F1868" s="553">
        <v>2</v>
      </c>
      <c r="G1868" s="502" t="s">
        <v>477</v>
      </c>
      <c r="H1868" s="522">
        <v>1271.6949999999999</v>
      </c>
      <c r="I1868" s="522">
        <v>89</v>
      </c>
      <c r="J1868" s="522">
        <v>56</v>
      </c>
      <c r="K1868" s="522">
        <v>37</v>
      </c>
      <c r="L1868" s="522">
        <v>4</v>
      </c>
      <c r="M1868" s="562" t="s">
        <v>137</v>
      </c>
      <c r="N1868" s="563">
        <v>4301353755</v>
      </c>
      <c r="O1868" s="522" t="s">
        <v>2396</v>
      </c>
      <c r="P1868" s="522" t="s">
        <v>2535</v>
      </c>
      <c r="Q1868" s="564"/>
      <c r="R1868" s="564">
        <v>1</v>
      </c>
    </row>
    <row r="1869" spans="1:18" ht="15" customHeight="1" x14ac:dyDescent="0.25">
      <c r="A1869" s="553">
        <v>19</v>
      </c>
      <c r="B1869" s="553">
        <v>2</v>
      </c>
      <c r="C1869" s="553">
        <v>2</v>
      </c>
      <c r="D1869" s="553">
        <v>2</v>
      </c>
      <c r="E1869" s="553">
        <v>2</v>
      </c>
      <c r="F1869" s="553">
        <v>2</v>
      </c>
      <c r="G1869" s="553" t="s">
        <v>479</v>
      </c>
      <c r="H1869" s="522">
        <v>1323.415</v>
      </c>
      <c r="I1869" s="522">
        <v>89</v>
      </c>
      <c r="J1869" s="522">
        <v>50</v>
      </c>
      <c r="K1869" s="522">
        <v>16</v>
      </c>
      <c r="L1869" s="522">
        <v>3</v>
      </c>
      <c r="M1869" s="562" t="s">
        <v>137</v>
      </c>
      <c r="N1869" s="563">
        <v>4301353756</v>
      </c>
      <c r="O1869" s="522" t="s">
        <v>2398</v>
      </c>
      <c r="P1869" s="522" t="s">
        <v>2536</v>
      </c>
      <c r="Q1869" s="564"/>
      <c r="R1869" s="564">
        <v>1</v>
      </c>
    </row>
    <row r="1870" spans="1:18" ht="15" customHeight="1" x14ac:dyDescent="0.25">
      <c r="A1870" s="553">
        <v>19</v>
      </c>
      <c r="B1870" s="553">
        <v>2</v>
      </c>
      <c r="C1870" s="553">
        <v>2</v>
      </c>
      <c r="D1870" s="553">
        <v>2</v>
      </c>
      <c r="E1870" s="553">
        <v>2</v>
      </c>
      <c r="F1870" s="553">
        <v>2</v>
      </c>
      <c r="G1870" s="553" t="s">
        <v>485</v>
      </c>
      <c r="H1870" s="564">
        <v>1323.415</v>
      </c>
      <c r="I1870" s="564">
        <v>89</v>
      </c>
      <c r="J1870" s="564">
        <v>50</v>
      </c>
      <c r="K1870" s="564">
        <v>16</v>
      </c>
      <c r="L1870" s="564">
        <v>3</v>
      </c>
      <c r="M1870" s="562" t="s">
        <v>137</v>
      </c>
      <c r="N1870" s="563">
        <v>4301353757</v>
      </c>
      <c r="O1870" s="522" t="s">
        <v>2400</v>
      </c>
      <c r="P1870" s="522" t="s">
        <v>2537</v>
      </c>
      <c r="Q1870" s="564"/>
      <c r="R1870" s="564">
        <v>1</v>
      </c>
    </row>
    <row r="1871" spans="1:18" ht="15" customHeight="1" x14ac:dyDescent="0.25">
      <c r="A1871" s="553">
        <v>19</v>
      </c>
      <c r="B1871" s="553">
        <v>2</v>
      </c>
      <c r="C1871" s="553">
        <v>2</v>
      </c>
      <c r="D1871" s="553">
        <v>2</v>
      </c>
      <c r="E1871" s="553">
        <v>2</v>
      </c>
      <c r="F1871" s="553">
        <v>2</v>
      </c>
      <c r="G1871" s="553" t="s">
        <v>487</v>
      </c>
      <c r="H1871" s="564">
        <v>1296.3575000000001</v>
      </c>
      <c r="I1871" s="564">
        <v>89</v>
      </c>
      <c r="J1871" s="564">
        <v>43</v>
      </c>
      <c r="K1871" s="564">
        <v>16</v>
      </c>
      <c r="L1871" s="564">
        <v>3</v>
      </c>
      <c r="M1871" s="562" t="s">
        <v>137</v>
      </c>
      <c r="N1871" s="563">
        <v>4301353758</v>
      </c>
      <c r="O1871" s="522" t="s">
        <v>2402</v>
      </c>
      <c r="P1871" s="522" t="s">
        <v>2538</v>
      </c>
      <c r="Q1871" s="564"/>
      <c r="R1871" s="564">
        <v>1</v>
      </c>
    </row>
    <row r="1872" spans="1:18" ht="15" customHeight="1" x14ac:dyDescent="0.25">
      <c r="A1872" s="553">
        <v>19</v>
      </c>
      <c r="B1872" s="553">
        <v>2</v>
      </c>
      <c r="C1872" s="553">
        <v>2</v>
      </c>
      <c r="D1872" s="553">
        <v>2</v>
      </c>
      <c r="E1872" s="553">
        <v>2</v>
      </c>
      <c r="F1872" s="553">
        <v>2</v>
      </c>
      <c r="G1872" s="502" t="s">
        <v>489</v>
      </c>
      <c r="H1872" s="564">
        <v>1296.3575000000001</v>
      </c>
      <c r="I1872" s="564">
        <v>89</v>
      </c>
      <c r="J1872" s="564">
        <v>43</v>
      </c>
      <c r="K1872" s="564">
        <v>16</v>
      </c>
      <c r="L1872" s="564">
        <v>3</v>
      </c>
      <c r="M1872" s="562" t="s">
        <v>137</v>
      </c>
      <c r="N1872" s="563">
        <v>4301353759</v>
      </c>
      <c r="O1872" s="522" t="s">
        <v>2404</v>
      </c>
      <c r="P1872" s="522" t="s">
        <v>2539</v>
      </c>
      <c r="Q1872" s="564"/>
      <c r="R1872" s="564">
        <v>1</v>
      </c>
    </row>
    <row r="1873" spans="1:18" ht="15" customHeight="1" x14ac:dyDescent="0.25">
      <c r="A1873" s="553">
        <v>19</v>
      </c>
      <c r="B1873" s="553">
        <v>2</v>
      </c>
      <c r="C1873" s="553">
        <v>2</v>
      </c>
      <c r="D1873" s="553">
        <v>2</v>
      </c>
      <c r="E1873" s="553">
        <v>2</v>
      </c>
      <c r="F1873" s="553">
        <v>2</v>
      </c>
      <c r="G1873" s="553" t="s">
        <v>491</v>
      </c>
      <c r="H1873" s="564">
        <v>1296.3575000000001</v>
      </c>
      <c r="I1873" s="564">
        <v>89</v>
      </c>
      <c r="J1873" s="564">
        <v>43</v>
      </c>
      <c r="K1873" s="564">
        <v>16</v>
      </c>
      <c r="L1873" s="564">
        <v>3</v>
      </c>
      <c r="M1873" s="562" t="s">
        <v>137</v>
      </c>
      <c r="N1873" s="563">
        <v>4301353760</v>
      </c>
      <c r="O1873" s="522" t="s">
        <v>2406</v>
      </c>
      <c r="P1873" s="522" t="s">
        <v>2540</v>
      </c>
      <c r="Q1873" s="564"/>
      <c r="R1873" s="564">
        <v>1</v>
      </c>
    </row>
    <row r="1874" spans="1:18" ht="15" customHeight="1" x14ac:dyDescent="0.25">
      <c r="A1874" s="553">
        <v>19</v>
      </c>
      <c r="B1874" s="553">
        <v>2</v>
      </c>
      <c r="C1874" s="553">
        <v>2</v>
      </c>
      <c r="D1874" s="553">
        <v>2</v>
      </c>
      <c r="E1874" s="553">
        <v>2</v>
      </c>
      <c r="F1874" s="553">
        <v>2</v>
      </c>
      <c r="G1874" s="553" t="s">
        <v>494</v>
      </c>
      <c r="H1874" s="564">
        <v>1296.3575000000001</v>
      </c>
      <c r="I1874" s="564">
        <v>89</v>
      </c>
      <c r="J1874" s="564">
        <v>43</v>
      </c>
      <c r="K1874" s="564">
        <v>16</v>
      </c>
      <c r="L1874" s="564">
        <v>3</v>
      </c>
      <c r="M1874" s="562" t="s">
        <v>137</v>
      </c>
      <c r="N1874" s="563">
        <v>4301353761</v>
      </c>
      <c r="O1874" s="522" t="s">
        <v>2408</v>
      </c>
      <c r="P1874" s="522" t="s">
        <v>2541</v>
      </c>
      <c r="Q1874" s="564"/>
      <c r="R1874" s="564">
        <v>1</v>
      </c>
    </row>
    <row r="1875" spans="1:18" ht="15" customHeight="1" x14ac:dyDescent="0.25">
      <c r="A1875" s="564">
        <v>19</v>
      </c>
      <c r="B1875" s="564">
        <v>3</v>
      </c>
      <c r="C1875" s="564">
        <v>2</v>
      </c>
      <c r="D1875" s="564">
        <v>4</v>
      </c>
      <c r="E1875" s="564">
        <v>2</v>
      </c>
      <c r="F1875" s="564">
        <v>2</v>
      </c>
      <c r="G1875" s="564" t="s">
        <v>473</v>
      </c>
      <c r="H1875" s="564">
        <v>1320.31</v>
      </c>
      <c r="I1875" s="564">
        <v>0</v>
      </c>
      <c r="J1875" s="564">
        <v>1</v>
      </c>
      <c r="K1875" s="564">
        <v>28</v>
      </c>
      <c r="L1875" s="564">
        <v>2</v>
      </c>
      <c r="M1875" s="561" t="s">
        <v>137</v>
      </c>
      <c r="N1875" s="651">
        <v>4301352843</v>
      </c>
      <c r="O1875" s="564" t="s">
        <v>2542</v>
      </c>
      <c r="P1875" s="564" t="s">
        <v>2543</v>
      </c>
      <c r="Q1875" s="564"/>
      <c r="R1875" s="564">
        <v>2</v>
      </c>
    </row>
    <row r="1876" spans="1:18" ht="15" customHeight="1" x14ac:dyDescent="0.25">
      <c r="A1876" s="564">
        <v>19</v>
      </c>
      <c r="B1876" s="564">
        <v>3</v>
      </c>
      <c r="C1876" s="564">
        <v>2</v>
      </c>
      <c r="D1876" s="564">
        <v>4</v>
      </c>
      <c r="E1876" s="564">
        <v>2</v>
      </c>
      <c r="F1876" s="564">
        <v>2</v>
      </c>
      <c r="G1876" s="523" t="s">
        <v>476</v>
      </c>
      <c r="H1876" s="564">
        <v>1320.31</v>
      </c>
      <c r="I1876" s="564">
        <v>0</v>
      </c>
      <c r="J1876" s="564">
        <v>1</v>
      </c>
      <c r="K1876" s="564">
        <v>28</v>
      </c>
      <c r="L1876" s="564">
        <v>2</v>
      </c>
      <c r="M1876" s="561" t="s">
        <v>137</v>
      </c>
      <c r="N1876" s="651">
        <v>4301352843</v>
      </c>
      <c r="O1876" s="564" t="s">
        <v>2542</v>
      </c>
      <c r="P1876" s="564" t="s">
        <v>2544</v>
      </c>
      <c r="Q1876" s="564"/>
      <c r="R1876" s="564">
        <v>2</v>
      </c>
    </row>
    <row r="1877" spans="1:18" ht="15" customHeight="1" x14ac:dyDescent="0.25">
      <c r="A1877" s="564">
        <v>19</v>
      </c>
      <c r="B1877" s="564">
        <v>3</v>
      </c>
      <c r="C1877" s="564">
        <v>2</v>
      </c>
      <c r="D1877" s="564">
        <v>4</v>
      </c>
      <c r="E1877" s="564">
        <v>2</v>
      </c>
      <c r="F1877" s="564">
        <v>2</v>
      </c>
      <c r="G1877" s="564" t="s">
        <v>478</v>
      </c>
      <c r="H1877" s="564">
        <v>1320.31</v>
      </c>
      <c r="I1877" s="564">
        <v>0</v>
      </c>
      <c r="J1877" s="564">
        <v>1</v>
      </c>
      <c r="K1877" s="564">
        <v>28</v>
      </c>
      <c r="L1877" s="564">
        <v>2</v>
      </c>
      <c r="M1877" s="561" t="s">
        <v>137</v>
      </c>
      <c r="N1877" s="651">
        <v>4301352843</v>
      </c>
      <c r="O1877" s="564" t="s">
        <v>2542</v>
      </c>
      <c r="P1877" s="564" t="s">
        <v>2545</v>
      </c>
      <c r="Q1877" s="564"/>
      <c r="R1877" s="564">
        <v>2</v>
      </c>
    </row>
    <row r="1878" spans="1:18" ht="15" customHeight="1" x14ac:dyDescent="0.25">
      <c r="A1878" s="564">
        <v>19</v>
      </c>
      <c r="B1878" s="564">
        <v>3</v>
      </c>
      <c r="C1878" s="564">
        <v>2</v>
      </c>
      <c r="D1878" s="564">
        <v>4</v>
      </c>
      <c r="E1878" s="564">
        <v>2</v>
      </c>
      <c r="F1878" s="564">
        <v>2</v>
      </c>
      <c r="G1878" s="564" t="s">
        <v>484</v>
      </c>
      <c r="H1878" s="564">
        <v>1320.31</v>
      </c>
      <c r="I1878" s="564">
        <v>0</v>
      </c>
      <c r="J1878" s="564">
        <v>1</v>
      </c>
      <c r="K1878" s="564">
        <v>28</v>
      </c>
      <c r="L1878" s="564">
        <v>2</v>
      </c>
      <c r="M1878" s="561" t="s">
        <v>137</v>
      </c>
      <c r="N1878" s="651">
        <v>4301352843</v>
      </c>
      <c r="O1878" s="564" t="s">
        <v>2542</v>
      </c>
      <c r="P1878" s="564" t="s">
        <v>2546</v>
      </c>
      <c r="Q1878" s="564"/>
      <c r="R1878" s="564">
        <v>2</v>
      </c>
    </row>
    <row r="1879" spans="1:18" ht="15" customHeight="1" x14ac:dyDescent="0.25">
      <c r="A1879" s="564">
        <v>19</v>
      </c>
      <c r="B1879" s="564">
        <v>3</v>
      </c>
      <c r="C1879" s="564">
        <v>2</v>
      </c>
      <c r="D1879" s="564">
        <v>4</v>
      </c>
      <c r="E1879" s="564">
        <v>2</v>
      </c>
      <c r="F1879" s="564">
        <v>2</v>
      </c>
      <c r="G1879" s="564" t="s">
        <v>486</v>
      </c>
      <c r="H1879" s="564">
        <v>1315.7850000000001</v>
      </c>
      <c r="I1879" s="564">
        <v>0</v>
      </c>
      <c r="J1879" s="564">
        <v>2</v>
      </c>
      <c r="K1879" s="564">
        <v>20</v>
      </c>
      <c r="L1879" s="564">
        <v>4</v>
      </c>
      <c r="M1879" s="561" t="s">
        <v>137</v>
      </c>
      <c r="N1879" s="651">
        <v>4301352843</v>
      </c>
      <c r="O1879" s="564" t="s">
        <v>2542</v>
      </c>
      <c r="P1879" s="564" t="s">
        <v>2547</v>
      </c>
      <c r="Q1879" s="564"/>
      <c r="R1879" s="564">
        <v>2</v>
      </c>
    </row>
    <row r="1880" spans="1:18" ht="15" customHeight="1" x14ac:dyDescent="0.25">
      <c r="A1880" s="564">
        <v>19</v>
      </c>
      <c r="B1880" s="564">
        <v>3</v>
      </c>
      <c r="C1880" s="564">
        <v>2</v>
      </c>
      <c r="D1880" s="564">
        <v>4</v>
      </c>
      <c r="E1880" s="564">
        <v>2</v>
      </c>
      <c r="F1880" s="564">
        <v>2</v>
      </c>
      <c r="G1880" s="523" t="s">
        <v>488</v>
      </c>
      <c r="H1880" s="564">
        <v>1315.7850000000001</v>
      </c>
      <c r="I1880" s="564">
        <v>0</v>
      </c>
      <c r="J1880" s="564">
        <v>2</v>
      </c>
      <c r="K1880" s="564">
        <v>20</v>
      </c>
      <c r="L1880" s="564">
        <v>4</v>
      </c>
      <c r="M1880" s="561" t="s">
        <v>137</v>
      </c>
      <c r="N1880" s="651">
        <v>4301352843</v>
      </c>
      <c r="O1880" s="564" t="s">
        <v>2542</v>
      </c>
      <c r="P1880" s="564" t="s">
        <v>2548</v>
      </c>
      <c r="Q1880" s="564"/>
      <c r="R1880" s="564">
        <v>2</v>
      </c>
    </row>
    <row r="1881" spans="1:18" ht="15" customHeight="1" x14ac:dyDescent="0.25">
      <c r="A1881" s="564">
        <v>19</v>
      </c>
      <c r="B1881" s="564">
        <v>3</v>
      </c>
      <c r="C1881" s="564">
        <v>2</v>
      </c>
      <c r="D1881" s="564">
        <v>4</v>
      </c>
      <c r="E1881" s="564">
        <v>2</v>
      </c>
      <c r="F1881" s="564">
        <v>2</v>
      </c>
      <c r="G1881" s="564" t="s">
        <v>490</v>
      </c>
      <c r="H1881" s="564">
        <v>1316.11</v>
      </c>
      <c r="I1881" s="564">
        <v>0</v>
      </c>
      <c r="J1881" s="564">
        <v>2</v>
      </c>
      <c r="K1881" s="564">
        <v>14</v>
      </c>
      <c r="L1881" s="564">
        <v>4</v>
      </c>
      <c r="M1881" s="561" t="s">
        <v>137</v>
      </c>
      <c r="N1881" s="651">
        <v>4301352843</v>
      </c>
      <c r="O1881" s="564" t="s">
        <v>2542</v>
      </c>
      <c r="P1881" s="564" t="s">
        <v>2549</v>
      </c>
      <c r="Q1881" s="564"/>
      <c r="R1881" s="564">
        <v>2</v>
      </c>
    </row>
    <row r="1882" spans="1:18" ht="15" customHeight="1" x14ac:dyDescent="0.25">
      <c r="A1882" s="564">
        <v>19</v>
      </c>
      <c r="B1882" s="564">
        <v>3</v>
      </c>
      <c r="C1882" s="564">
        <v>2</v>
      </c>
      <c r="D1882" s="564">
        <v>4</v>
      </c>
      <c r="E1882" s="564">
        <v>2</v>
      </c>
      <c r="F1882" s="564">
        <v>2</v>
      </c>
      <c r="G1882" s="564" t="s">
        <v>493</v>
      </c>
      <c r="H1882" s="564">
        <v>1316.11</v>
      </c>
      <c r="I1882" s="564">
        <v>0</v>
      </c>
      <c r="J1882" s="564">
        <v>2</v>
      </c>
      <c r="K1882" s="564">
        <v>14</v>
      </c>
      <c r="L1882" s="564">
        <v>4</v>
      </c>
      <c r="M1882" s="561" t="s">
        <v>137</v>
      </c>
      <c r="N1882" s="651">
        <v>4301352843</v>
      </c>
      <c r="O1882" s="564" t="s">
        <v>2542</v>
      </c>
      <c r="P1882" s="564" t="s">
        <v>2550</v>
      </c>
      <c r="Q1882" s="564"/>
      <c r="R1882" s="564">
        <v>2</v>
      </c>
    </row>
    <row r="1883" spans="1:18" ht="15" customHeight="1" x14ac:dyDescent="0.25">
      <c r="A1883" s="564">
        <v>19</v>
      </c>
      <c r="B1883" s="564">
        <v>3</v>
      </c>
      <c r="C1883" s="564">
        <v>2</v>
      </c>
      <c r="D1883" s="564">
        <v>4</v>
      </c>
      <c r="E1883" s="564">
        <v>2</v>
      </c>
      <c r="F1883" s="564">
        <v>2</v>
      </c>
      <c r="G1883" s="564" t="s">
        <v>474</v>
      </c>
      <c r="H1883" s="564">
        <v>1352.845</v>
      </c>
      <c r="I1883" s="564">
        <v>89</v>
      </c>
      <c r="J1883" s="564">
        <v>40</v>
      </c>
      <c r="K1883" s="564">
        <v>51</v>
      </c>
      <c r="L1883" s="564">
        <v>3</v>
      </c>
      <c r="M1883" s="561" t="s">
        <v>137</v>
      </c>
      <c r="N1883" s="651">
        <v>4301352843</v>
      </c>
      <c r="O1883" s="564" t="s">
        <v>2542</v>
      </c>
      <c r="P1883" s="564" t="s">
        <v>2551</v>
      </c>
      <c r="Q1883" s="564"/>
      <c r="R1883" s="564">
        <v>2</v>
      </c>
    </row>
    <row r="1884" spans="1:18" ht="15" customHeight="1" x14ac:dyDescent="0.25">
      <c r="A1884" s="564">
        <v>19</v>
      </c>
      <c r="B1884" s="564">
        <v>3</v>
      </c>
      <c r="C1884" s="564">
        <v>2</v>
      </c>
      <c r="D1884" s="564">
        <v>4</v>
      </c>
      <c r="E1884" s="564">
        <v>2</v>
      </c>
      <c r="F1884" s="564">
        <v>2</v>
      </c>
      <c r="G1884" s="521" t="s">
        <v>477</v>
      </c>
      <c r="H1884" s="564">
        <v>1352.845</v>
      </c>
      <c r="I1884" s="564">
        <v>89</v>
      </c>
      <c r="J1884" s="564">
        <v>40</v>
      </c>
      <c r="K1884" s="564">
        <v>51</v>
      </c>
      <c r="L1884" s="564">
        <v>3</v>
      </c>
      <c r="M1884" s="561" t="s">
        <v>137</v>
      </c>
      <c r="N1884" s="651">
        <v>4301352843</v>
      </c>
      <c r="O1884" s="564" t="s">
        <v>2542</v>
      </c>
      <c r="P1884" s="564" t="s">
        <v>2552</v>
      </c>
      <c r="Q1884" s="564"/>
      <c r="R1884" s="564">
        <v>2</v>
      </c>
    </row>
    <row r="1885" spans="1:18" ht="15" customHeight="1" x14ac:dyDescent="0.25">
      <c r="A1885" s="564">
        <v>19</v>
      </c>
      <c r="B1885" s="564">
        <v>3</v>
      </c>
      <c r="C1885" s="564">
        <v>2</v>
      </c>
      <c r="D1885" s="564">
        <v>4</v>
      </c>
      <c r="E1885" s="564">
        <v>2</v>
      </c>
      <c r="F1885" s="564">
        <v>2</v>
      </c>
      <c r="G1885" s="564" t="s">
        <v>479</v>
      </c>
      <c r="H1885" s="564">
        <v>1327.7750000000001</v>
      </c>
      <c r="I1885" s="564">
        <v>89</v>
      </c>
      <c r="J1885" s="564">
        <v>40</v>
      </c>
      <c r="K1885" s="564">
        <v>50</v>
      </c>
      <c r="L1885" s="564">
        <v>3</v>
      </c>
      <c r="M1885" s="561" t="s">
        <v>137</v>
      </c>
      <c r="N1885" s="651">
        <v>4301352843</v>
      </c>
      <c r="O1885" s="564" t="s">
        <v>2542</v>
      </c>
      <c r="P1885" s="564" t="s">
        <v>2553</v>
      </c>
      <c r="Q1885" s="564"/>
      <c r="R1885" s="564">
        <v>2</v>
      </c>
    </row>
    <row r="1886" spans="1:18" ht="15" customHeight="1" x14ac:dyDescent="0.25">
      <c r="A1886" s="564">
        <v>19</v>
      </c>
      <c r="B1886" s="564">
        <v>3</v>
      </c>
      <c r="C1886" s="564">
        <v>2</v>
      </c>
      <c r="D1886" s="564">
        <v>4</v>
      </c>
      <c r="E1886" s="564">
        <v>2</v>
      </c>
      <c r="F1886" s="564">
        <v>2</v>
      </c>
      <c r="G1886" s="564" t="s">
        <v>485</v>
      </c>
      <c r="H1886" s="564">
        <v>1327.7750000000001</v>
      </c>
      <c r="I1886" s="564">
        <v>89</v>
      </c>
      <c r="J1886" s="564">
        <v>40</v>
      </c>
      <c r="K1886" s="564">
        <v>50</v>
      </c>
      <c r="L1886" s="564">
        <v>3</v>
      </c>
      <c r="M1886" s="561" t="s">
        <v>137</v>
      </c>
      <c r="N1886" s="651">
        <v>4301352843</v>
      </c>
      <c r="O1886" s="564" t="s">
        <v>2542</v>
      </c>
      <c r="P1886" s="564" t="s">
        <v>2554</v>
      </c>
      <c r="Q1886" s="564"/>
      <c r="R1886" s="564">
        <v>2</v>
      </c>
    </row>
    <row r="1887" spans="1:18" ht="15" customHeight="1" x14ac:dyDescent="0.25">
      <c r="A1887" s="564">
        <v>19</v>
      </c>
      <c r="B1887" s="564">
        <v>3</v>
      </c>
      <c r="C1887" s="564">
        <v>2</v>
      </c>
      <c r="D1887" s="564">
        <v>4</v>
      </c>
      <c r="E1887" s="564">
        <v>2</v>
      </c>
      <c r="F1887" s="564">
        <v>2</v>
      </c>
      <c r="G1887" s="564" t="s">
        <v>487</v>
      </c>
      <c r="H1887" s="564">
        <v>1358.27</v>
      </c>
      <c r="I1887" s="564">
        <v>89</v>
      </c>
      <c r="J1887" s="564">
        <v>29</v>
      </c>
      <c r="K1887" s="564">
        <v>9</v>
      </c>
      <c r="L1887" s="564">
        <v>3</v>
      </c>
      <c r="M1887" s="561" t="s">
        <v>137</v>
      </c>
      <c r="N1887" s="651">
        <v>4301352843</v>
      </c>
      <c r="O1887" s="564" t="s">
        <v>2542</v>
      </c>
      <c r="P1887" s="564" t="s">
        <v>2555</v>
      </c>
      <c r="Q1887" s="564"/>
      <c r="R1887" s="564">
        <v>2</v>
      </c>
    </row>
    <row r="1888" spans="1:18" ht="15" customHeight="1" x14ac:dyDescent="0.25">
      <c r="A1888" s="564">
        <v>19</v>
      </c>
      <c r="B1888" s="564">
        <v>3</v>
      </c>
      <c r="C1888" s="564">
        <v>2</v>
      </c>
      <c r="D1888" s="564">
        <v>4</v>
      </c>
      <c r="E1888" s="564">
        <v>2</v>
      </c>
      <c r="F1888" s="564">
        <v>2</v>
      </c>
      <c r="G1888" s="521" t="s">
        <v>489</v>
      </c>
      <c r="H1888" s="564">
        <v>1358.27</v>
      </c>
      <c r="I1888" s="564">
        <v>89</v>
      </c>
      <c r="J1888" s="564">
        <v>29</v>
      </c>
      <c r="K1888" s="564">
        <v>9</v>
      </c>
      <c r="L1888" s="564">
        <v>3</v>
      </c>
      <c r="M1888" s="561" t="s">
        <v>137</v>
      </c>
      <c r="N1888" s="651">
        <v>4301352843</v>
      </c>
      <c r="O1888" s="564" t="s">
        <v>2542</v>
      </c>
      <c r="P1888" s="564" t="s">
        <v>2556</v>
      </c>
      <c r="Q1888" s="564"/>
      <c r="R1888" s="564">
        <v>2</v>
      </c>
    </row>
    <row r="1889" spans="1:18" ht="15" customHeight="1" x14ac:dyDescent="0.25">
      <c r="A1889" s="564">
        <v>19</v>
      </c>
      <c r="B1889" s="564">
        <v>3</v>
      </c>
      <c r="C1889" s="564">
        <v>2</v>
      </c>
      <c r="D1889" s="564">
        <v>4</v>
      </c>
      <c r="E1889" s="564">
        <v>2</v>
      </c>
      <c r="F1889" s="564">
        <v>2</v>
      </c>
      <c r="G1889" s="564" t="s">
        <v>491</v>
      </c>
      <c r="H1889" s="564">
        <v>1324.7349999999999</v>
      </c>
      <c r="I1889" s="564">
        <v>89</v>
      </c>
      <c r="J1889" s="564">
        <v>29</v>
      </c>
      <c r="K1889" s="564">
        <v>58</v>
      </c>
      <c r="L1889" s="564">
        <v>3</v>
      </c>
      <c r="M1889" s="561" t="s">
        <v>137</v>
      </c>
      <c r="N1889" s="651">
        <v>4301352843</v>
      </c>
      <c r="O1889" s="564" t="s">
        <v>2542</v>
      </c>
      <c r="P1889" s="564" t="s">
        <v>2557</v>
      </c>
      <c r="Q1889" s="564"/>
      <c r="R1889" s="564">
        <v>2</v>
      </c>
    </row>
    <row r="1890" spans="1:18" ht="15" customHeight="1" x14ac:dyDescent="0.25">
      <c r="A1890" s="564">
        <v>19</v>
      </c>
      <c r="B1890" s="564">
        <v>3</v>
      </c>
      <c r="C1890" s="564">
        <v>2</v>
      </c>
      <c r="D1890" s="564">
        <v>4</v>
      </c>
      <c r="E1890" s="564">
        <v>2</v>
      </c>
      <c r="F1890" s="564">
        <v>2</v>
      </c>
      <c r="G1890" s="564" t="s">
        <v>494</v>
      </c>
      <c r="H1890" s="564">
        <v>1324.7349999999999</v>
      </c>
      <c r="I1890" s="564">
        <v>89</v>
      </c>
      <c r="J1890" s="564">
        <v>29</v>
      </c>
      <c r="K1890" s="564">
        <v>58</v>
      </c>
      <c r="L1890" s="564">
        <v>3</v>
      </c>
      <c r="M1890" s="561" t="s">
        <v>137</v>
      </c>
      <c r="N1890" s="651">
        <v>4301352843</v>
      </c>
      <c r="O1890" s="564" t="s">
        <v>2542</v>
      </c>
      <c r="P1890" s="564" t="s">
        <v>2557</v>
      </c>
      <c r="Q1890" s="564"/>
      <c r="R1890" s="564">
        <v>2</v>
      </c>
    </row>
    <row r="1891" spans="1:18" ht="15" customHeight="1" x14ac:dyDescent="0.25">
      <c r="A1891" s="553">
        <v>20</v>
      </c>
      <c r="B1891" s="553">
        <v>7</v>
      </c>
      <c r="C1891" s="553">
        <v>2</v>
      </c>
      <c r="D1891" s="553">
        <v>20</v>
      </c>
      <c r="E1891" s="553">
        <v>1</v>
      </c>
      <c r="F1891" s="553">
        <v>1</v>
      </c>
      <c r="G1891" s="553" t="s">
        <v>473</v>
      </c>
      <c r="H1891" s="553">
        <v>1343.2850000000001</v>
      </c>
      <c r="I1891" s="553">
        <v>2</v>
      </c>
      <c r="J1891" s="553">
        <v>10</v>
      </c>
      <c r="K1891" s="553">
        <v>12</v>
      </c>
      <c r="L1891" s="553">
        <v>4</v>
      </c>
      <c r="M1891" s="505"/>
      <c r="N1891" s="500"/>
      <c r="O1891" s="553"/>
      <c r="P1891" s="650" t="s">
        <v>2558</v>
      </c>
      <c r="Q1891" s="564" t="s">
        <v>583</v>
      </c>
      <c r="R1891" s="564">
        <v>1</v>
      </c>
    </row>
    <row r="1892" spans="1:18" ht="15" customHeight="1" x14ac:dyDescent="0.25">
      <c r="A1892" s="553">
        <v>20</v>
      </c>
      <c r="B1892" s="553">
        <v>7</v>
      </c>
      <c r="C1892" s="553">
        <v>2</v>
      </c>
      <c r="D1892" s="553">
        <v>20</v>
      </c>
      <c r="E1892" s="553">
        <v>1</v>
      </c>
      <c r="F1892" s="553">
        <v>1</v>
      </c>
      <c r="G1892" s="502" t="s">
        <v>476</v>
      </c>
      <c r="H1892" s="553">
        <v>1343.2850000000001</v>
      </c>
      <c r="I1892" s="553">
        <v>2</v>
      </c>
      <c r="J1892" s="553">
        <v>10</v>
      </c>
      <c r="K1892" s="553">
        <v>12</v>
      </c>
      <c r="L1892" s="553">
        <v>4</v>
      </c>
      <c r="M1892" s="505"/>
      <c r="N1892" s="500"/>
      <c r="O1892" s="553"/>
      <c r="P1892" s="650" t="s">
        <v>2559</v>
      </c>
      <c r="Q1892" s="564" t="s">
        <v>583</v>
      </c>
      <c r="R1892" s="564">
        <v>1</v>
      </c>
    </row>
    <row r="1893" spans="1:18" ht="15" customHeight="1" x14ac:dyDescent="0.25">
      <c r="A1893" s="553">
        <v>20</v>
      </c>
      <c r="B1893" s="553">
        <v>7</v>
      </c>
      <c r="C1893" s="553">
        <v>2</v>
      </c>
      <c r="D1893" s="553">
        <v>20</v>
      </c>
      <c r="E1893" s="553">
        <v>1</v>
      </c>
      <c r="F1893" s="553">
        <v>1</v>
      </c>
      <c r="G1893" s="553" t="s">
        <v>478</v>
      </c>
      <c r="H1893" s="553">
        <v>1343.9449999999999</v>
      </c>
      <c r="I1893" s="553">
        <v>1</v>
      </c>
      <c r="J1893" s="553">
        <v>58</v>
      </c>
      <c r="K1893" s="553">
        <v>12</v>
      </c>
      <c r="L1893" s="553">
        <v>4</v>
      </c>
      <c r="M1893" s="505"/>
      <c r="N1893" s="500"/>
      <c r="O1893" s="553"/>
      <c r="P1893" s="650" t="s">
        <v>2560</v>
      </c>
      <c r="Q1893" s="564" t="s">
        <v>583</v>
      </c>
      <c r="R1893" s="564">
        <v>1</v>
      </c>
    </row>
    <row r="1894" spans="1:18" ht="15" customHeight="1" x14ac:dyDescent="0.25">
      <c r="A1894" s="553">
        <v>20</v>
      </c>
      <c r="B1894" s="553">
        <v>7</v>
      </c>
      <c r="C1894" s="553">
        <v>2</v>
      </c>
      <c r="D1894" s="553">
        <v>20</v>
      </c>
      <c r="E1894" s="553">
        <v>1</v>
      </c>
      <c r="F1894" s="553">
        <v>1</v>
      </c>
      <c r="G1894" s="553" t="s">
        <v>484</v>
      </c>
      <c r="H1894" s="553">
        <v>1343.9449999999999</v>
      </c>
      <c r="I1894" s="553">
        <v>1</v>
      </c>
      <c r="J1894" s="553">
        <v>58</v>
      </c>
      <c r="K1894" s="553">
        <v>12</v>
      </c>
      <c r="L1894" s="553">
        <v>4</v>
      </c>
      <c r="M1894" s="505"/>
      <c r="N1894" s="500"/>
      <c r="O1894" s="553"/>
      <c r="P1894" s="650" t="s">
        <v>2561</v>
      </c>
      <c r="Q1894" s="564" t="s">
        <v>583</v>
      </c>
      <c r="R1894" s="564">
        <v>1</v>
      </c>
    </row>
    <row r="1895" spans="1:18" ht="15" customHeight="1" x14ac:dyDescent="0.25">
      <c r="A1895" s="553">
        <v>20</v>
      </c>
      <c r="B1895" s="553">
        <v>7</v>
      </c>
      <c r="C1895" s="553">
        <v>2</v>
      </c>
      <c r="D1895" s="553">
        <v>20</v>
      </c>
      <c r="E1895" s="553">
        <v>1</v>
      </c>
      <c r="F1895" s="553">
        <v>1</v>
      </c>
      <c r="G1895" s="553" t="s">
        <v>486</v>
      </c>
      <c r="H1895" s="553">
        <v>1346.08</v>
      </c>
      <c r="I1895" s="553">
        <v>1</v>
      </c>
      <c r="J1895" s="553">
        <v>57</v>
      </c>
      <c r="K1895" s="553">
        <v>57</v>
      </c>
      <c r="L1895" s="553">
        <v>4</v>
      </c>
      <c r="M1895" s="505"/>
      <c r="N1895" s="500"/>
      <c r="O1895" s="553"/>
      <c r="P1895" s="650" t="s">
        <v>2562</v>
      </c>
      <c r="Q1895" s="564" t="s">
        <v>583</v>
      </c>
      <c r="R1895" s="564">
        <v>1</v>
      </c>
    </row>
    <row r="1896" spans="1:18" ht="15" customHeight="1" x14ac:dyDescent="0.25">
      <c r="A1896" s="553">
        <v>20</v>
      </c>
      <c r="B1896" s="553">
        <v>7</v>
      </c>
      <c r="C1896" s="553">
        <v>2</v>
      </c>
      <c r="D1896" s="553">
        <v>20</v>
      </c>
      <c r="E1896" s="553">
        <v>1</v>
      </c>
      <c r="F1896" s="553">
        <v>1</v>
      </c>
      <c r="G1896" s="502" t="s">
        <v>488</v>
      </c>
      <c r="H1896" s="553">
        <v>1346.08</v>
      </c>
      <c r="I1896" s="553">
        <v>1</v>
      </c>
      <c r="J1896" s="553">
        <v>57</v>
      </c>
      <c r="K1896" s="553">
        <v>57</v>
      </c>
      <c r="L1896" s="553">
        <v>4</v>
      </c>
      <c r="M1896" s="505"/>
      <c r="N1896" s="500"/>
      <c r="O1896" s="553"/>
      <c r="P1896" s="650" t="s">
        <v>2563</v>
      </c>
      <c r="Q1896" s="564" t="s">
        <v>583</v>
      </c>
      <c r="R1896" s="564">
        <v>1</v>
      </c>
    </row>
    <row r="1897" spans="1:18" ht="15" customHeight="1" x14ac:dyDescent="0.25">
      <c r="A1897" s="553">
        <v>20</v>
      </c>
      <c r="B1897" s="553">
        <v>7</v>
      </c>
      <c r="C1897" s="553">
        <v>2</v>
      </c>
      <c r="D1897" s="553">
        <v>20</v>
      </c>
      <c r="E1897" s="553">
        <v>1</v>
      </c>
      <c r="F1897" s="553">
        <v>1</v>
      </c>
      <c r="G1897" s="553" t="s">
        <v>490</v>
      </c>
      <c r="H1897" s="553">
        <v>1346.74</v>
      </c>
      <c r="I1897" s="553">
        <v>2</v>
      </c>
      <c r="J1897" s="553">
        <v>24</v>
      </c>
      <c r="K1897" s="553">
        <v>57</v>
      </c>
      <c r="L1897" s="553">
        <v>4</v>
      </c>
      <c r="M1897" s="505"/>
      <c r="N1897" s="500"/>
      <c r="O1897" s="553"/>
      <c r="P1897" s="650" t="s">
        <v>2564</v>
      </c>
      <c r="Q1897" s="564" t="s">
        <v>583</v>
      </c>
      <c r="R1897" s="564">
        <v>1</v>
      </c>
    </row>
    <row r="1898" spans="1:18" ht="15" customHeight="1" x14ac:dyDescent="0.25">
      <c r="A1898" s="553">
        <v>20</v>
      </c>
      <c r="B1898" s="553">
        <v>7</v>
      </c>
      <c r="C1898" s="553">
        <v>2</v>
      </c>
      <c r="D1898" s="553">
        <v>20</v>
      </c>
      <c r="E1898" s="553">
        <v>1</v>
      </c>
      <c r="F1898" s="553">
        <v>1</v>
      </c>
      <c r="G1898" s="553" t="s">
        <v>493</v>
      </c>
      <c r="H1898" s="553">
        <v>1346.74</v>
      </c>
      <c r="I1898" s="553">
        <v>2</v>
      </c>
      <c r="J1898" s="553">
        <v>24</v>
      </c>
      <c r="K1898" s="553">
        <v>57</v>
      </c>
      <c r="L1898" s="553">
        <v>4</v>
      </c>
      <c r="M1898" s="505"/>
      <c r="N1898" s="500"/>
      <c r="O1898" s="553"/>
      <c r="P1898" s="650" t="s">
        <v>2565</v>
      </c>
      <c r="Q1898" s="564" t="s">
        <v>583</v>
      </c>
      <c r="R1898" s="564">
        <v>1</v>
      </c>
    </row>
    <row r="1899" spans="1:18" ht="15" customHeight="1" x14ac:dyDescent="0.25">
      <c r="A1899" s="553">
        <v>20</v>
      </c>
      <c r="B1899" s="553">
        <v>7</v>
      </c>
      <c r="C1899" s="553">
        <v>2</v>
      </c>
      <c r="D1899" s="553">
        <v>20</v>
      </c>
      <c r="E1899" s="553">
        <v>1</v>
      </c>
      <c r="F1899" s="553">
        <v>1</v>
      </c>
      <c r="G1899" s="553" t="s">
        <v>474</v>
      </c>
      <c r="H1899" s="553">
        <v>1324.0350000000001</v>
      </c>
      <c r="I1899" s="553">
        <v>88</v>
      </c>
      <c r="J1899" s="553">
        <v>5</v>
      </c>
      <c r="K1899" s="553">
        <v>44</v>
      </c>
      <c r="L1899" s="553">
        <v>3</v>
      </c>
      <c r="M1899" s="505"/>
      <c r="N1899" s="500"/>
      <c r="O1899" s="553"/>
      <c r="P1899" s="650" t="s">
        <v>2566</v>
      </c>
      <c r="Q1899" s="564" t="s">
        <v>583</v>
      </c>
      <c r="R1899" s="564">
        <v>1</v>
      </c>
    </row>
    <row r="1900" spans="1:18" ht="15" customHeight="1" x14ac:dyDescent="0.25">
      <c r="A1900" s="553">
        <v>20</v>
      </c>
      <c r="B1900" s="553">
        <v>7</v>
      </c>
      <c r="C1900" s="553">
        <v>2</v>
      </c>
      <c r="D1900" s="553">
        <v>20</v>
      </c>
      <c r="E1900" s="553">
        <v>1</v>
      </c>
      <c r="F1900" s="553">
        <v>1</v>
      </c>
      <c r="G1900" s="502" t="s">
        <v>477</v>
      </c>
      <c r="H1900" s="553">
        <v>1324.0350000000001</v>
      </c>
      <c r="I1900" s="553">
        <v>88</v>
      </c>
      <c r="J1900" s="553">
        <v>5</v>
      </c>
      <c r="K1900" s="553">
        <v>44</v>
      </c>
      <c r="L1900" s="553">
        <v>3</v>
      </c>
      <c r="M1900" s="505"/>
      <c r="N1900" s="500"/>
      <c r="O1900" s="553"/>
      <c r="P1900" s="650" t="s">
        <v>2567</v>
      </c>
      <c r="Q1900" s="564" t="s">
        <v>583</v>
      </c>
      <c r="R1900" s="564">
        <v>1</v>
      </c>
    </row>
    <row r="1901" spans="1:18" ht="15" customHeight="1" x14ac:dyDescent="0.25">
      <c r="A1901" s="553">
        <v>20</v>
      </c>
      <c r="B1901" s="553">
        <v>7</v>
      </c>
      <c r="C1901" s="553">
        <v>2</v>
      </c>
      <c r="D1901" s="553">
        <v>20</v>
      </c>
      <c r="E1901" s="553">
        <v>1</v>
      </c>
      <c r="F1901" s="553">
        <v>1</v>
      </c>
      <c r="G1901" s="553" t="s">
        <v>479</v>
      </c>
      <c r="H1901" s="553">
        <v>1320.645</v>
      </c>
      <c r="I1901" s="553">
        <v>88</v>
      </c>
      <c r="J1901" s="553">
        <v>2</v>
      </c>
      <c r="K1901" s="553">
        <v>51</v>
      </c>
      <c r="L1901" s="553">
        <v>3</v>
      </c>
      <c r="M1901" s="505"/>
      <c r="N1901" s="500"/>
      <c r="O1901" s="553"/>
      <c r="P1901" s="650" t="s">
        <v>2568</v>
      </c>
      <c r="Q1901" s="564" t="s">
        <v>583</v>
      </c>
      <c r="R1901" s="564">
        <v>1</v>
      </c>
    </row>
    <row r="1902" spans="1:18" ht="15" customHeight="1" x14ac:dyDescent="0.25">
      <c r="A1902" s="553">
        <v>20</v>
      </c>
      <c r="B1902" s="553">
        <v>7</v>
      </c>
      <c r="C1902" s="553">
        <v>2</v>
      </c>
      <c r="D1902" s="553">
        <v>20</v>
      </c>
      <c r="E1902" s="553">
        <v>1</v>
      </c>
      <c r="F1902" s="553">
        <v>1</v>
      </c>
      <c r="G1902" s="553" t="s">
        <v>485</v>
      </c>
      <c r="H1902" s="553">
        <v>1320.645</v>
      </c>
      <c r="I1902" s="553">
        <v>88</v>
      </c>
      <c r="J1902" s="553">
        <v>2</v>
      </c>
      <c r="K1902" s="553">
        <v>51</v>
      </c>
      <c r="L1902" s="553">
        <v>3</v>
      </c>
      <c r="M1902" s="505"/>
      <c r="N1902" s="500"/>
      <c r="O1902" s="553"/>
      <c r="P1902" s="650" t="s">
        <v>2569</v>
      </c>
      <c r="Q1902" s="564" t="s">
        <v>583</v>
      </c>
      <c r="R1902" s="564">
        <v>1</v>
      </c>
    </row>
    <row r="1903" spans="1:18" ht="15" customHeight="1" x14ac:dyDescent="0.25">
      <c r="A1903" s="553">
        <v>20</v>
      </c>
      <c r="B1903" s="553">
        <v>7</v>
      </c>
      <c r="C1903" s="553">
        <v>2</v>
      </c>
      <c r="D1903" s="553">
        <v>20</v>
      </c>
      <c r="E1903" s="553">
        <v>1</v>
      </c>
      <c r="F1903" s="553">
        <v>1</v>
      </c>
      <c r="G1903" s="553" t="s">
        <v>487</v>
      </c>
      <c r="H1903" s="553">
        <v>1325.02</v>
      </c>
      <c r="I1903" s="553">
        <v>88</v>
      </c>
      <c r="J1903" s="553">
        <v>20</v>
      </c>
      <c r="K1903" s="553">
        <v>52</v>
      </c>
      <c r="L1903" s="553">
        <v>3</v>
      </c>
      <c r="M1903" s="505"/>
      <c r="N1903" s="500"/>
      <c r="O1903" s="553"/>
      <c r="P1903" s="650" t="s">
        <v>2570</v>
      </c>
      <c r="Q1903" s="564" t="s">
        <v>583</v>
      </c>
      <c r="R1903" s="564">
        <v>1</v>
      </c>
    </row>
    <row r="1904" spans="1:18" ht="15" customHeight="1" x14ac:dyDescent="0.25">
      <c r="A1904" s="553">
        <v>20</v>
      </c>
      <c r="B1904" s="553">
        <v>7</v>
      </c>
      <c r="C1904" s="553">
        <v>2</v>
      </c>
      <c r="D1904" s="553">
        <v>20</v>
      </c>
      <c r="E1904" s="553">
        <v>1</v>
      </c>
      <c r="F1904" s="553">
        <v>1</v>
      </c>
      <c r="G1904" s="502" t="s">
        <v>489</v>
      </c>
      <c r="H1904" s="553">
        <v>1325.02</v>
      </c>
      <c r="I1904" s="553">
        <v>88</v>
      </c>
      <c r="J1904" s="553">
        <v>20</v>
      </c>
      <c r="K1904" s="553">
        <v>52</v>
      </c>
      <c r="L1904" s="553">
        <v>3</v>
      </c>
      <c r="M1904" s="505"/>
      <c r="N1904" s="500"/>
      <c r="O1904" s="553"/>
      <c r="P1904" s="650" t="s">
        <v>2571</v>
      </c>
      <c r="Q1904" s="564" t="s">
        <v>583</v>
      </c>
      <c r="R1904" s="564">
        <v>1</v>
      </c>
    </row>
    <row r="1905" spans="1:18" ht="15" customHeight="1" x14ac:dyDescent="0.25">
      <c r="A1905" s="553">
        <v>20</v>
      </c>
      <c r="B1905" s="553">
        <v>7</v>
      </c>
      <c r="C1905" s="553">
        <v>2</v>
      </c>
      <c r="D1905" s="553">
        <v>20</v>
      </c>
      <c r="E1905" s="553">
        <v>1</v>
      </c>
      <c r="F1905" s="553">
        <v>1</v>
      </c>
      <c r="G1905" s="553" t="s">
        <v>491</v>
      </c>
      <c r="H1905" s="553">
        <v>1325.365</v>
      </c>
      <c r="I1905" s="553">
        <v>88</v>
      </c>
      <c r="J1905" s="553">
        <v>2</v>
      </c>
      <c r="K1905" s="553">
        <v>7</v>
      </c>
      <c r="L1905" s="553">
        <v>3</v>
      </c>
      <c r="M1905" s="505"/>
      <c r="N1905" s="500"/>
      <c r="O1905" s="553"/>
      <c r="P1905" s="650" t="s">
        <v>2572</v>
      </c>
      <c r="Q1905" s="564" t="s">
        <v>583</v>
      </c>
      <c r="R1905" s="564">
        <v>1</v>
      </c>
    </row>
    <row r="1906" spans="1:18" ht="15" customHeight="1" x14ac:dyDescent="0.25">
      <c r="A1906" s="553">
        <v>20</v>
      </c>
      <c r="B1906" s="553">
        <v>7</v>
      </c>
      <c r="C1906" s="553">
        <v>2</v>
      </c>
      <c r="D1906" s="553">
        <v>20</v>
      </c>
      <c r="E1906" s="553">
        <v>1</v>
      </c>
      <c r="F1906" s="553">
        <v>1</v>
      </c>
      <c r="G1906" s="553" t="s">
        <v>494</v>
      </c>
      <c r="H1906" s="553">
        <v>1325.365</v>
      </c>
      <c r="I1906" s="553">
        <v>88</v>
      </c>
      <c r="J1906" s="553">
        <v>2</v>
      </c>
      <c r="K1906" s="553">
        <v>7</v>
      </c>
      <c r="L1906" s="553">
        <v>3</v>
      </c>
      <c r="M1906" s="505"/>
      <c r="N1906" s="500"/>
      <c r="O1906" s="553"/>
      <c r="P1906" s="650" t="s">
        <v>2573</v>
      </c>
      <c r="Q1906" s="564" t="s">
        <v>583</v>
      </c>
      <c r="R1906" s="564">
        <v>1</v>
      </c>
    </row>
    <row r="1907" spans="1:18" ht="15" customHeight="1" x14ac:dyDescent="0.25">
      <c r="A1907" s="553">
        <v>20</v>
      </c>
      <c r="B1907" s="553">
        <v>2</v>
      </c>
      <c r="C1907" s="553">
        <v>2</v>
      </c>
      <c r="D1907" s="553">
        <v>3</v>
      </c>
      <c r="E1907" s="553">
        <v>2</v>
      </c>
      <c r="F1907" s="553">
        <v>2</v>
      </c>
      <c r="G1907" s="553" t="s">
        <v>473</v>
      </c>
      <c r="H1907" s="553">
        <v>1324.675</v>
      </c>
      <c r="I1907" s="553">
        <v>0</v>
      </c>
      <c r="J1907" s="553">
        <v>2</v>
      </c>
      <c r="K1907" s="553">
        <v>47</v>
      </c>
      <c r="L1907" s="553">
        <v>4</v>
      </c>
      <c r="M1907" s="505" t="s">
        <v>137</v>
      </c>
      <c r="N1907" s="500">
        <v>43013539430000</v>
      </c>
      <c r="O1907" s="553" t="s">
        <v>2459</v>
      </c>
      <c r="P1907" s="650" t="s">
        <v>2574</v>
      </c>
      <c r="Q1907" s="564" t="s">
        <v>583</v>
      </c>
      <c r="R1907" s="564">
        <v>2</v>
      </c>
    </row>
    <row r="1908" spans="1:18" ht="15" customHeight="1" x14ac:dyDescent="0.25">
      <c r="A1908" s="553">
        <v>20</v>
      </c>
      <c r="B1908" s="553">
        <v>2</v>
      </c>
      <c r="C1908" s="553">
        <v>2</v>
      </c>
      <c r="D1908" s="553">
        <v>3</v>
      </c>
      <c r="E1908" s="553">
        <v>2</v>
      </c>
      <c r="F1908" s="553">
        <v>2</v>
      </c>
      <c r="G1908" s="502" t="s">
        <v>476</v>
      </c>
      <c r="H1908" s="553">
        <v>1324.675</v>
      </c>
      <c r="I1908" s="553">
        <v>0</v>
      </c>
      <c r="J1908" s="553">
        <v>2</v>
      </c>
      <c r="K1908" s="553">
        <v>47</v>
      </c>
      <c r="L1908" s="553">
        <v>4</v>
      </c>
      <c r="M1908" s="505" t="s">
        <v>137</v>
      </c>
      <c r="N1908" s="500">
        <v>43013539430000</v>
      </c>
      <c r="O1908" s="553" t="s">
        <v>2459</v>
      </c>
      <c r="P1908" s="650" t="s">
        <v>2575</v>
      </c>
      <c r="Q1908" s="564" t="s">
        <v>583</v>
      </c>
      <c r="R1908" s="564">
        <v>2</v>
      </c>
    </row>
    <row r="1909" spans="1:18" ht="15" customHeight="1" x14ac:dyDescent="0.25">
      <c r="A1909" s="553">
        <v>20</v>
      </c>
      <c r="B1909" s="553">
        <v>2</v>
      </c>
      <c r="C1909" s="553">
        <v>2</v>
      </c>
      <c r="D1909" s="553">
        <v>3</v>
      </c>
      <c r="E1909" s="553">
        <v>2</v>
      </c>
      <c r="F1909" s="553">
        <v>2</v>
      </c>
      <c r="G1909" s="553" t="s">
        <v>478</v>
      </c>
      <c r="H1909" s="553">
        <v>1324.675</v>
      </c>
      <c r="I1909" s="553">
        <v>0</v>
      </c>
      <c r="J1909" s="553">
        <v>2</v>
      </c>
      <c r="K1909" s="553">
        <v>47</v>
      </c>
      <c r="L1909" s="553">
        <v>4</v>
      </c>
      <c r="M1909" s="505" t="s">
        <v>137</v>
      </c>
      <c r="N1909" s="500">
        <v>43013539430000</v>
      </c>
      <c r="O1909" s="553" t="s">
        <v>2459</v>
      </c>
      <c r="P1909" s="650" t="s">
        <v>2576</v>
      </c>
      <c r="Q1909" s="564" t="s">
        <v>583</v>
      </c>
      <c r="R1909" s="564">
        <v>2</v>
      </c>
    </row>
    <row r="1910" spans="1:18" ht="15" customHeight="1" x14ac:dyDescent="0.25">
      <c r="A1910" s="553">
        <v>20</v>
      </c>
      <c r="B1910" s="553">
        <v>2</v>
      </c>
      <c r="C1910" s="553">
        <v>2</v>
      </c>
      <c r="D1910" s="553">
        <v>3</v>
      </c>
      <c r="E1910" s="553">
        <v>2</v>
      </c>
      <c r="F1910" s="553">
        <v>2</v>
      </c>
      <c r="G1910" s="553" t="s">
        <v>484</v>
      </c>
      <c r="H1910" s="553">
        <v>1324.675</v>
      </c>
      <c r="I1910" s="553">
        <v>0</v>
      </c>
      <c r="J1910" s="553">
        <v>2</v>
      </c>
      <c r="K1910" s="553">
        <v>47</v>
      </c>
      <c r="L1910" s="553">
        <v>4</v>
      </c>
      <c r="M1910" s="505" t="s">
        <v>137</v>
      </c>
      <c r="N1910" s="500">
        <v>43013539430000</v>
      </c>
      <c r="O1910" s="553" t="s">
        <v>2459</v>
      </c>
      <c r="P1910" s="650" t="s">
        <v>2577</v>
      </c>
      <c r="Q1910" s="564" t="s">
        <v>583</v>
      </c>
      <c r="R1910" s="564">
        <v>2</v>
      </c>
    </row>
    <row r="1911" spans="1:18" ht="15" customHeight="1" x14ac:dyDescent="0.25">
      <c r="A1911" s="553">
        <v>20</v>
      </c>
      <c r="B1911" s="553">
        <v>2</v>
      </c>
      <c r="C1911" s="553">
        <v>2</v>
      </c>
      <c r="D1911" s="553">
        <v>3</v>
      </c>
      <c r="E1911" s="553">
        <v>2</v>
      </c>
      <c r="F1911" s="553">
        <v>2</v>
      </c>
      <c r="G1911" s="553" t="s">
        <v>486</v>
      </c>
      <c r="H1911" s="553">
        <v>1322.2125000000001</v>
      </c>
      <c r="I1911" s="553">
        <v>0</v>
      </c>
      <c r="J1911" s="553">
        <v>17</v>
      </c>
      <c r="K1911" s="553">
        <v>38</v>
      </c>
      <c r="L1911" s="553">
        <v>2</v>
      </c>
      <c r="M1911" s="505" t="s">
        <v>137</v>
      </c>
      <c r="N1911" s="500">
        <v>43013539430000</v>
      </c>
      <c r="O1911" s="553" t="s">
        <v>2459</v>
      </c>
      <c r="P1911" s="650" t="s">
        <v>2578</v>
      </c>
      <c r="Q1911" s="564" t="s">
        <v>583</v>
      </c>
      <c r="R1911" s="564">
        <v>2</v>
      </c>
    </row>
    <row r="1912" spans="1:18" ht="15" customHeight="1" x14ac:dyDescent="0.25">
      <c r="A1912" s="553">
        <v>20</v>
      </c>
      <c r="B1912" s="553">
        <v>2</v>
      </c>
      <c r="C1912" s="553">
        <v>2</v>
      </c>
      <c r="D1912" s="553">
        <v>3</v>
      </c>
      <c r="E1912" s="553">
        <v>2</v>
      </c>
      <c r="F1912" s="553">
        <v>2</v>
      </c>
      <c r="G1912" s="502" t="s">
        <v>488</v>
      </c>
      <c r="H1912" s="553">
        <v>1322.2125000000001</v>
      </c>
      <c r="I1912" s="553">
        <v>0</v>
      </c>
      <c r="J1912" s="553">
        <v>17</v>
      </c>
      <c r="K1912" s="553">
        <v>38</v>
      </c>
      <c r="L1912" s="553">
        <v>2</v>
      </c>
      <c r="M1912" s="505" t="s">
        <v>137</v>
      </c>
      <c r="N1912" s="500">
        <v>43013539430000</v>
      </c>
      <c r="O1912" s="553" t="s">
        <v>2459</v>
      </c>
      <c r="P1912" s="650" t="s">
        <v>2579</v>
      </c>
      <c r="Q1912" s="564" t="s">
        <v>583</v>
      </c>
      <c r="R1912" s="564">
        <v>2</v>
      </c>
    </row>
    <row r="1913" spans="1:18" ht="15" customHeight="1" x14ac:dyDescent="0.25">
      <c r="A1913" s="553">
        <v>20</v>
      </c>
      <c r="B1913" s="553">
        <v>2</v>
      </c>
      <c r="C1913" s="553">
        <v>2</v>
      </c>
      <c r="D1913" s="553">
        <v>3</v>
      </c>
      <c r="E1913" s="553">
        <v>2</v>
      </c>
      <c r="F1913" s="553">
        <v>2</v>
      </c>
      <c r="G1913" s="553" t="s">
        <v>490</v>
      </c>
      <c r="H1913" s="553">
        <v>1322.2125000000001</v>
      </c>
      <c r="I1913" s="553">
        <v>0</v>
      </c>
      <c r="J1913" s="553">
        <v>17</v>
      </c>
      <c r="K1913" s="553">
        <v>38</v>
      </c>
      <c r="L1913" s="553">
        <v>2</v>
      </c>
      <c r="M1913" s="505" t="s">
        <v>137</v>
      </c>
      <c r="N1913" s="500">
        <v>43013539430000</v>
      </c>
      <c r="O1913" s="553" t="s">
        <v>2459</v>
      </c>
      <c r="P1913" s="650" t="s">
        <v>2580</v>
      </c>
      <c r="Q1913" s="564" t="s">
        <v>583</v>
      </c>
      <c r="R1913" s="564">
        <v>2</v>
      </c>
    </row>
    <row r="1914" spans="1:18" ht="15" customHeight="1" x14ac:dyDescent="0.25">
      <c r="A1914" s="553">
        <v>20</v>
      </c>
      <c r="B1914" s="553">
        <v>2</v>
      </c>
      <c r="C1914" s="553">
        <v>2</v>
      </c>
      <c r="D1914" s="553">
        <v>3</v>
      </c>
      <c r="E1914" s="553">
        <v>2</v>
      </c>
      <c r="F1914" s="553">
        <v>2</v>
      </c>
      <c r="G1914" s="553" t="s">
        <v>493</v>
      </c>
      <c r="H1914" s="553">
        <v>1322.2125000000001</v>
      </c>
      <c r="I1914" s="553">
        <v>0</v>
      </c>
      <c r="J1914" s="553">
        <v>17</v>
      </c>
      <c r="K1914" s="553">
        <v>38</v>
      </c>
      <c r="L1914" s="553">
        <v>2</v>
      </c>
      <c r="M1914" s="505" t="s">
        <v>137</v>
      </c>
      <c r="N1914" s="500">
        <v>43013539430000</v>
      </c>
      <c r="O1914" s="553" t="s">
        <v>2459</v>
      </c>
      <c r="P1914" s="650" t="s">
        <v>2581</v>
      </c>
      <c r="Q1914" s="564" t="s">
        <v>583</v>
      </c>
      <c r="R1914" s="564">
        <v>2</v>
      </c>
    </row>
    <row r="1915" spans="1:18" ht="15" customHeight="1" x14ac:dyDescent="0.25">
      <c r="A1915" s="553">
        <v>20</v>
      </c>
      <c r="B1915" s="553">
        <v>2</v>
      </c>
      <c r="C1915" s="553">
        <v>2</v>
      </c>
      <c r="D1915" s="553">
        <v>3</v>
      </c>
      <c r="E1915" s="553">
        <v>2</v>
      </c>
      <c r="F1915" s="553">
        <v>2</v>
      </c>
      <c r="G1915" s="553" t="s">
        <v>474</v>
      </c>
      <c r="H1915" s="553">
        <v>1317.8525</v>
      </c>
      <c r="I1915" s="553">
        <v>89</v>
      </c>
      <c r="J1915" s="553">
        <v>54</v>
      </c>
      <c r="K1915" s="553">
        <v>37</v>
      </c>
      <c r="L1915" s="553">
        <v>4</v>
      </c>
      <c r="M1915" s="505" t="s">
        <v>137</v>
      </c>
      <c r="N1915" s="500">
        <v>43013539430000</v>
      </c>
      <c r="O1915" s="553" t="s">
        <v>2459</v>
      </c>
      <c r="P1915" s="650" t="s">
        <v>2582</v>
      </c>
      <c r="Q1915" s="564" t="s">
        <v>583</v>
      </c>
      <c r="R1915" s="564">
        <v>2</v>
      </c>
    </row>
    <row r="1916" spans="1:18" ht="15" customHeight="1" x14ac:dyDescent="0.25">
      <c r="A1916" s="553">
        <v>20</v>
      </c>
      <c r="B1916" s="553">
        <v>2</v>
      </c>
      <c r="C1916" s="553">
        <v>2</v>
      </c>
      <c r="D1916" s="553">
        <v>3</v>
      </c>
      <c r="E1916" s="553">
        <v>2</v>
      </c>
      <c r="F1916" s="553">
        <v>2</v>
      </c>
      <c r="G1916" s="502" t="s">
        <v>477</v>
      </c>
      <c r="H1916" s="553">
        <v>1317.8525</v>
      </c>
      <c r="I1916" s="553">
        <v>89</v>
      </c>
      <c r="J1916" s="553">
        <v>54</v>
      </c>
      <c r="K1916" s="553">
        <v>37</v>
      </c>
      <c r="L1916" s="553">
        <v>4</v>
      </c>
      <c r="M1916" s="505" t="s">
        <v>137</v>
      </c>
      <c r="N1916" s="500">
        <v>43013539430000</v>
      </c>
      <c r="O1916" s="553" t="s">
        <v>2459</v>
      </c>
      <c r="P1916" s="650" t="s">
        <v>2583</v>
      </c>
      <c r="Q1916" s="564" t="s">
        <v>583</v>
      </c>
      <c r="R1916" s="564">
        <v>2</v>
      </c>
    </row>
    <row r="1917" spans="1:18" ht="15" customHeight="1" x14ac:dyDescent="0.25">
      <c r="A1917" s="553">
        <v>20</v>
      </c>
      <c r="B1917" s="553">
        <v>2</v>
      </c>
      <c r="C1917" s="553">
        <v>2</v>
      </c>
      <c r="D1917" s="553">
        <v>3</v>
      </c>
      <c r="E1917" s="553">
        <v>2</v>
      </c>
      <c r="F1917" s="553">
        <v>2</v>
      </c>
      <c r="G1917" s="553" t="s">
        <v>479</v>
      </c>
      <c r="H1917" s="553">
        <v>1317.8525</v>
      </c>
      <c r="I1917" s="553">
        <v>89</v>
      </c>
      <c r="J1917" s="553">
        <v>54</v>
      </c>
      <c r="K1917" s="553">
        <v>37</v>
      </c>
      <c r="L1917" s="553">
        <v>4</v>
      </c>
      <c r="M1917" s="505" t="s">
        <v>137</v>
      </c>
      <c r="N1917" s="500">
        <v>43013539430000</v>
      </c>
      <c r="O1917" s="553" t="s">
        <v>2459</v>
      </c>
      <c r="P1917" s="650" t="s">
        <v>2584</v>
      </c>
      <c r="Q1917" s="564" t="s">
        <v>583</v>
      </c>
      <c r="R1917" s="564">
        <v>2</v>
      </c>
    </row>
    <row r="1918" spans="1:18" ht="15" customHeight="1" x14ac:dyDescent="0.25">
      <c r="A1918" s="553">
        <v>20</v>
      </c>
      <c r="B1918" s="553">
        <v>2</v>
      </c>
      <c r="C1918" s="553">
        <v>2</v>
      </c>
      <c r="D1918" s="553">
        <v>3</v>
      </c>
      <c r="E1918" s="553">
        <v>2</v>
      </c>
      <c r="F1918" s="553">
        <v>2</v>
      </c>
      <c r="G1918" s="553" t="s">
        <v>485</v>
      </c>
      <c r="H1918" s="553">
        <v>1317.8525</v>
      </c>
      <c r="I1918" s="553">
        <v>89</v>
      </c>
      <c r="J1918" s="553">
        <v>54</v>
      </c>
      <c r="K1918" s="553">
        <v>37</v>
      </c>
      <c r="L1918" s="553">
        <v>4</v>
      </c>
      <c r="M1918" s="505" t="s">
        <v>137</v>
      </c>
      <c r="N1918" s="500">
        <v>43013539430000</v>
      </c>
      <c r="O1918" s="553" t="s">
        <v>2459</v>
      </c>
      <c r="P1918" s="650" t="s">
        <v>2585</v>
      </c>
      <c r="Q1918" s="564" t="s">
        <v>583</v>
      </c>
      <c r="R1918" s="564">
        <v>2</v>
      </c>
    </row>
    <row r="1919" spans="1:18" ht="15" customHeight="1" x14ac:dyDescent="0.25">
      <c r="A1919" s="553">
        <v>20</v>
      </c>
      <c r="B1919" s="553">
        <v>2</v>
      </c>
      <c r="C1919" s="553">
        <v>2</v>
      </c>
      <c r="D1919" s="553">
        <v>3</v>
      </c>
      <c r="E1919" s="553">
        <v>2</v>
      </c>
      <c r="F1919" s="553">
        <v>2</v>
      </c>
      <c r="G1919" s="553" t="s">
        <v>487</v>
      </c>
      <c r="H1919" s="553">
        <v>1309.9974999999999</v>
      </c>
      <c r="I1919" s="553">
        <v>89</v>
      </c>
      <c r="J1919" s="553">
        <v>58</v>
      </c>
      <c r="K1919" s="553">
        <v>54</v>
      </c>
      <c r="L1919" s="553">
        <v>3</v>
      </c>
      <c r="M1919" s="505" t="s">
        <v>137</v>
      </c>
      <c r="N1919" s="500">
        <v>43013539430000</v>
      </c>
      <c r="O1919" s="553" t="s">
        <v>2459</v>
      </c>
      <c r="P1919" s="650" t="s">
        <v>2586</v>
      </c>
      <c r="Q1919" s="564" t="s">
        <v>583</v>
      </c>
      <c r="R1919" s="564">
        <v>2</v>
      </c>
    </row>
    <row r="1920" spans="1:18" ht="15" customHeight="1" x14ac:dyDescent="0.25">
      <c r="A1920" s="553">
        <v>20</v>
      </c>
      <c r="B1920" s="553">
        <v>2</v>
      </c>
      <c r="C1920" s="553">
        <v>2</v>
      </c>
      <c r="D1920" s="553">
        <v>3</v>
      </c>
      <c r="E1920" s="553">
        <v>2</v>
      </c>
      <c r="F1920" s="553">
        <v>2</v>
      </c>
      <c r="G1920" s="502" t="s">
        <v>489</v>
      </c>
      <c r="H1920" s="553">
        <v>1309.9974999999999</v>
      </c>
      <c r="I1920" s="553">
        <v>89</v>
      </c>
      <c r="J1920" s="553">
        <v>58</v>
      </c>
      <c r="K1920" s="553">
        <v>54</v>
      </c>
      <c r="L1920" s="553">
        <v>3</v>
      </c>
      <c r="M1920" s="505" t="s">
        <v>137</v>
      </c>
      <c r="N1920" s="500">
        <v>43013539430000</v>
      </c>
      <c r="O1920" s="553" t="s">
        <v>2459</v>
      </c>
      <c r="P1920" s="650" t="s">
        <v>2587</v>
      </c>
      <c r="Q1920" s="564" t="s">
        <v>583</v>
      </c>
      <c r="R1920" s="564">
        <v>2</v>
      </c>
    </row>
    <row r="1921" spans="1:18" ht="15" customHeight="1" x14ac:dyDescent="0.25">
      <c r="A1921" s="553">
        <v>20</v>
      </c>
      <c r="B1921" s="553">
        <v>2</v>
      </c>
      <c r="C1921" s="553">
        <v>2</v>
      </c>
      <c r="D1921" s="553">
        <v>3</v>
      </c>
      <c r="E1921" s="553">
        <v>2</v>
      </c>
      <c r="F1921" s="553">
        <v>2</v>
      </c>
      <c r="G1921" s="553" t="s">
        <v>491</v>
      </c>
      <c r="H1921" s="553">
        <v>1309.9974999999999</v>
      </c>
      <c r="I1921" s="553">
        <v>89</v>
      </c>
      <c r="J1921" s="553">
        <v>58</v>
      </c>
      <c r="K1921" s="553">
        <v>54</v>
      </c>
      <c r="L1921" s="553">
        <v>3</v>
      </c>
      <c r="M1921" s="505" t="s">
        <v>137</v>
      </c>
      <c r="N1921" s="500">
        <v>43013539430000</v>
      </c>
      <c r="O1921" s="553" t="s">
        <v>2459</v>
      </c>
      <c r="P1921" s="650" t="s">
        <v>2588</v>
      </c>
      <c r="Q1921" s="564" t="s">
        <v>583</v>
      </c>
      <c r="R1921" s="564">
        <v>2</v>
      </c>
    </row>
    <row r="1922" spans="1:18" ht="15" customHeight="1" x14ac:dyDescent="0.25">
      <c r="A1922" s="553">
        <v>20</v>
      </c>
      <c r="B1922" s="553">
        <v>2</v>
      </c>
      <c r="C1922" s="553">
        <v>2</v>
      </c>
      <c r="D1922" s="553">
        <v>3</v>
      </c>
      <c r="E1922" s="553">
        <v>2</v>
      </c>
      <c r="F1922" s="553">
        <v>2</v>
      </c>
      <c r="G1922" s="553" t="s">
        <v>494</v>
      </c>
      <c r="H1922" s="553">
        <v>1309.9974999999999</v>
      </c>
      <c r="I1922" s="553">
        <v>89</v>
      </c>
      <c r="J1922" s="553">
        <v>58</v>
      </c>
      <c r="K1922" s="553">
        <v>54</v>
      </c>
      <c r="L1922" s="553">
        <v>3</v>
      </c>
      <c r="M1922" s="505" t="s">
        <v>137</v>
      </c>
      <c r="N1922" s="500">
        <v>43013539430000</v>
      </c>
      <c r="O1922" s="553" t="s">
        <v>2459</v>
      </c>
      <c r="P1922" s="650" t="s">
        <v>2589</v>
      </c>
      <c r="Q1922" s="564" t="s">
        <v>583</v>
      </c>
      <c r="R1922" s="564">
        <v>2</v>
      </c>
    </row>
    <row r="1923" spans="1:18" ht="15" customHeight="1" x14ac:dyDescent="0.25">
      <c r="A1923" s="553">
        <v>20</v>
      </c>
      <c r="B1923" s="553">
        <v>3</v>
      </c>
      <c r="C1923" s="553">
        <v>2</v>
      </c>
      <c r="D1923" s="553">
        <v>1</v>
      </c>
      <c r="E1923" s="553">
        <v>1</v>
      </c>
      <c r="F1923" s="553">
        <v>2</v>
      </c>
      <c r="G1923" s="553" t="s">
        <v>473</v>
      </c>
      <c r="H1923" s="553">
        <v>0</v>
      </c>
      <c r="I1923" s="553">
        <v>0</v>
      </c>
      <c r="J1923" s="553">
        <v>0</v>
      </c>
      <c r="K1923" s="553">
        <v>0</v>
      </c>
      <c r="L1923" s="553">
        <v>0</v>
      </c>
      <c r="M1923" s="505" t="s">
        <v>137</v>
      </c>
      <c r="N1923" s="500">
        <v>43047567130000</v>
      </c>
      <c r="O1923" s="553" t="s">
        <v>2590</v>
      </c>
      <c r="P1923" s="650" t="s">
        <v>2591</v>
      </c>
      <c r="Q1923" s="564" t="s">
        <v>4443</v>
      </c>
      <c r="R1923" s="564">
        <v>1</v>
      </c>
    </row>
    <row r="1924" spans="1:18" ht="15" customHeight="1" x14ac:dyDescent="0.25">
      <c r="A1924" s="553">
        <v>20</v>
      </c>
      <c r="B1924" s="553">
        <v>3</v>
      </c>
      <c r="C1924" s="553">
        <v>2</v>
      </c>
      <c r="D1924" s="553">
        <v>1</v>
      </c>
      <c r="E1924" s="553">
        <v>1</v>
      </c>
      <c r="F1924" s="553">
        <v>2</v>
      </c>
      <c r="G1924" s="502" t="s">
        <v>476</v>
      </c>
      <c r="H1924" s="553">
        <v>2631.31</v>
      </c>
      <c r="I1924" s="553">
        <v>0</v>
      </c>
      <c r="J1924" s="553">
        <v>1</v>
      </c>
      <c r="K1924" s="553">
        <v>1</v>
      </c>
      <c r="L1924" s="553">
        <v>2</v>
      </c>
      <c r="M1924" s="505" t="s">
        <v>137</v>
      </c>
      <c r="N1924" s="500">
        <v>43047567130000</v>
      </c>
      <c r="O1924" s="553" t="s">
        <v>2590</v>
      </c>
      <c r="P1924" s="650" t="s">
        <v>2592</v>
      </c>
      <c r="Q1924" s="564" t="s">
        <v>4443</v>
      </c>
      <c r="R1924" s="564">
        <v>1</v>
      </c>
    </row>
    <row r="1925" spans="1:18" ht="15" customHeight="1" x14ac:dyDescent="0.25">
      <c r="A1925" s="553">
        <v>20</v>
      </c>
      <c r="B1925" s="553">
        <v>3</v>
      </c>
      <c r="C1925" s="553">
        <v>2</v>
      </c>
      <c r="D1925" s="553">
        <v>1</v>
      </c>
      <c r="E1925" s="553">
        <v>1</v>
      </c>
      <c r="F1925" s="553">
        <v>2</v>
      </c>
      <c r="G1925" s="553" t="s">
        <v>478</v>
      </c>
      <c r="H1925" s="553">
        <v>2709.46</v>
      </c>
      <c r="I1925" s="553">
        <v>0</v>
      </c>
      <c r="J1925" s="553">
        <v>6</v>
      </c>
      <c r="K1925" s="553">
        <v>11</v>
      </c>
      <c r="L1925" s="553">
        <v>2</v>
      </c>
      <c r="M1925" s="505" t="s">
        <v>137</v>
      </c>
      <c r="N1925" s="500">
        <v>43047567130000</v>
      </c>
      <c r="O1925" s="553" t="s">
        <v>2590</v>
      </c>
      <c r="P1925" s="650" t="s">
        <v>2593</v>
      </c>
      <c r="Q1925" s="564" t="s">
        <v>4443</v>
      </c>
      <c r="R1925" s="564">
        <v>1</v>
      </c>
    </row>
    <row r="1926" spans="1:18" ht="15" customHeight="1" x14ac:dyDescent="0.25">
      <c r="A1926" s="553">
        <v>20</v>
      </c>
      <c r="B1926" s="553">
        <v>3</v>
      </c>
      <c r="C1926" s="553">
        <v>2</v>
      </c>
      <c r="D1926" s="553">
        <v>1</v>
      </c>
      <c r="E1926" s="553">
        <v>1</v>
      </c>
      <c r="F1926" s="553">
        <v>2</v>
      </c>
      <c r="G1926" s="553" t="s">
        <v>484</v>
      </c>
      <c r="H1926" s="553">
        <v>0</v>
      </c>
      <c r="I1926" s="553">
        <v>0</v>
      </c>
      <c r="J1926" s="553">
        <v>0</v>
      </c>
      <c r="K1926" s="553">
        <v>0</v>
      </c>
      <c r="L1926" s="553">
        <v>0</v>
      </c>
      <c r="M1926" s="505" t="s">
        <v>137</v>
      </c>
      <c r="N1926" s="500">
        <v>43047567130000</v>
      </c>
      <c r="O1926" s="553" t="s">
        <v>2590</v>
      </c>
      <c r="P1926" s="650" t="s">
        <v>2594</v>
      </c>
      <c r="Q1926" s="564" t="s">
        <v>4443</v>
      </c>
      <c r="R1926" s="564">
        <v>1</v>
      </c>
    </row>
    <row r="1927" spans="1:18" ht="15" customHeight="1" x14ac:dyDescent="0.25">
      <c r="A1927" s="553">
        <v>20</v>
      </c>
      <c r="B1927" s="553">
        <v>3</v>
      </c>
      <c r="C1927" s="553">
        <v>2</v>
      </c>
      <c r="D1927" s="553">
        <v>1</v>
      </c>
      <c r="E1927" s="553">
        <v>1</v>
      </c>
      <c r="F1927" s="553">
        <v>2</v>
      </c>
      <c r="G1927" s="553" t="s">
        <v>486</v>
      </c>
      <c r="H1927" s="553">
        <v>1362.54</v>
      </c>
      <c r="I1927" s="553">
        <v>0</v>
      </c>
      <c r="J1927" s="553">
        <v>27</v>
      </c>
      <c r="K1927" s="553">
        <v>59</v>
      </c>
      <c r="L1927" s="553">
        <v>4</v>
      </c>
      <c r="M1927" s="505" t="s">
        <v>137</v>
      </c>
      <c r="N1927" s="500">
        <v>43047567130000</v>
      </c>
      <c r="O1927" s="553" t="s">
        <v>2590</v>
      </c>
      <c r="P1927" s="650" t="s">
        <v>2595</v>
      </c>
      <c r="Q1927" s="564" t="s">
        <v>4443</v>
      </c>
      <c r="R1927" s="564">
        <v>1</v>
      </c>
    </row>
    <row r="1928" spans="1:18" ht="15" customHeight="1" x14ac:dyDescent="0.25">
      <c r="A1928" s="553">
        <v>20</v>
      </c>
      <c r="B1928" s="553">
        <v>3</v>
      </c>
      <c r="C1928" s="553">
        <v>2</v>
      </c>
      <c r="D1928" s="553">
        <v>1</v>
      </c>
      <c r="E1928" s="553">
        <v>1</v>
      </c>
      <c r="F1928" s="553">
        <v>2</v>
      </c>
      <c r="G1928" s="502" t="s">
        <v>488</v>
      </c>
      <c r="H1928" s="553">
        <v>1314.56</v>
      </c>
      <c r="I1928" s="553">
        <v>0</v>
      </c>
      <c r="J1928" s="553">
        <v>24</v>
      </c>
      <c r="K1928" s="553">
        <v>52</v>
      </c>
      <c r="L1928" s="553">
        <v>1</v>
      </c>
      <c r="M1928" s="505" t="s">
        <v>137</v>
      </c>
      <c r="N1928" s="500">
        <v>43047567130000</v>
      </c>
      <c r="O1928" s="553" t="s">
        <v>2590</v>
      </c>
      <c r="P1928" s="650" t="s">
        <v>2596</v>
      </c>
      <c r="Q1928" s="564" t="s">
        <v>4443</v>
      </c>
      <c r="R1928" s="564">
        <v>1</v>
      </c>
    </row>
    <row r="1929" spans="1:18" ht="15" customHeight="1" x14ac:dyDescent="0.25">
      <c r="A1929" s="553">
        <v>20</v>
      </c>
      <c r="B1929" s="553">
        <v>3</v>
      </c>
      <c r="C1929" s="553">
        <v>2</v>
      </c>
      <c r="D1929" s="553">
        <v>1</v>
      </c>
      <c r="E1929" s="553">
        <v>1</v>
      </c>
      <c r="F1929" s="553">
        <v>2</v>
      </c>
      <c r="G1929" s="553" t="s">
        <v>490</v>
      </c>
      <c r="H1929" s="553">
        <v>2638.73</v>
      </c>
      <c r="I1929" s="553">
        <v>1</v>
      </c>
      <c r="J1929" s="553">
        <v>28</v>
      </c>
      <c r="K1929" s="553">
        <v>54</v>
      </c>
      <c r="L1929" s="553">
        <v>2</v>
      </c>
      <c r="M1929" s="505" t="s">
        <v>137</v>
      </c>
      <c r="N1929" s="500">
        <v>43047567130000</v>
      </c>
      <c r="O1929" s="553" t="s">
        <v>2590</v>
      </c>
      <c r="P1929" s="650" t="s">
        <v>2597</v>
      </c>
      <c r="Q1929" s="564" t="s">
        <v>4443</v>
      </c>
      <c r="R1929" s="564">
        <v>1</v>
      </c>
    </row>
    <row r="1930" spans="1:18" ht="15" customHeight="1" x14ac:dyDescent="0.25">
      <c r="A1930" s="553">
        <v>20</v>
      </c>
      <c r="B1930" s="553">
        <v>3</v>
      </c>
      <c r="C1930" s="553">
        <v>2</v>
      </c>
      <c r="D1930" s="553">
        <v>1</v>
      </c>
      <c r="E1930" s="553">
        <v>1</v>
      </c>
      <c r="F1930" s="553">
        <v>2</v>
      </c>
      <c r="G1930" s="553" t="s">
        <v>493</v>
      </c>
      <c r="H1930" s="553">
        <v>0</v>
      </c>
      <c r="I1930" s="553">
        <v>0</v>
      </c>
      <c r="J1930" s="553">
        <v>0</v>
      </c>
      <c r="K1930" s="553">
        <v>0</v>
      </c>
      <c r="L1930" s="553">
        <v>0</v>
      </c>
      <c r="M1930" s="505" t="s">
        <v>137</v>
      </c>
      <c r="N1930" s="500">
        <v>43047567130000</v>
      </c>
      <c r="O1930" s="553" t="s">
        <v>2590</v>
      </c>
      <c r="P1930" s="650" t="s">
        <v>2598</v>
      </c>
      <c r="Q1930" s="564" t="s">
        <v>4443</v>
      </c>
      <c r="R1930" s="564">
        <v>1</v>
      </c>
    </row>
    <row r="1931" spans="1:18" ht="15" customHeight="1" x14ac:dyDescent="0.25">
      <c r="A1931" s="553">
        <v>20</v>
      </c>
      <c r="B1931" s="553">
        <v>3</v>
      </c>
      <c r="C1931" s="553">
        <v>2</v>
      </c>
      <c r="D1931" s="553">
        <v>1</v>
      </c>
      <c r="E1931" s="553">
        <v>1</v>
      </c>
      <c r="F1931" s="553">
        <v>2</v>
      </c>
      <c r="G1931" s="553" t="s">
        <v>474</v>
      </c>
      <c r="H1931" s="553">
        <v>0</v>
      </c>
      <c r="I1931" s="553">
        <v>0</v>
      </c>
      <c r="J1931" s="553">
        <v>0</v>
      </c>
      <c r="K1931" s="553">
        <v>0</v>
      </c>
      <c r="L1931" s="553">
        <v>0</v>
      </c>
      <c r="M1931" s="505" t="s">
        <v>137</v>
      </c>
      <c r="N1931" s="500">
        <v>43047567130000</v>
      </c>
      <c r="O1931" s="553" t="s">
        <v>2590</v>
      </c>
      <c r="P1931" s="650" t="s">
        <v>2599</v>
      </c>
      <c r="Q1931" s="564" t="s">
        <v>4443</v>
      </c>
      <c r="R1931" s="564">
        <v>1</v>
      </c>
    </row>
    <row r="1932" spans="1:18" ht="15" customHeight="1" x14ac:dyDescent="0.25">
      <c r="A1932" s="553">
        <v>20</v>
      </c>
      <c r="B1932" s="553">
        <v>3</v>
      </c>
      <c r="C1932" s="553">
        <v>2</v>
      </c>
      <c r="D1932" s="553">
        <v>1</v>
      </c>
      <c r="E1932" s="553">
        <v>1</v>
      </c>
      <c r="F1932" s="553">
        <v>2</v>
      </c>
      <c r="G1932" s="502" t="s">
        <v>477</v>
      </c>
      <c r="H1932" s="553">
        <v>2638.21</v>
      </c>
      <c r="I1932" s="553">
        <v>89</v>
      </c>
      <c r="J1932" s="553">
        <v>59</v>
      </c>
      <c r="K1932" s="553">
        <v>31</v>
      </c>
      <c r="L1932" s="553">
        <v>1</v>
      </c>
      <c r="M1932" s="505" t="s">
        <v>137</v>
      </c>
      <c r="N1932" s="500">
        <v>43047567130000</v>
      </c>
      <c r="O1932" s="553" t="s">
        <v>2590</v>
      </c>
      <c r="P1932" s="650" t="s">
        <v>2600</v>
      </c>
      <c r="Q1932" s="564" t="s">
        <v>4443</v>
      </c>
      <c r="R1932" s="564">
        <v>1</v>
      </c>
    </row>
    <row r="1933" spans="1:18" ht="15" customHeight="1" x14ac:dyDescent="0.25">
      <c r="A1933" s="553">
        <v>20</v>
      </c>
      <c r="B1933" s="553">
        <v>3</v>
      </c>
      <c r="C1933" s="553">
        <v>2</v>
      </c>
      <c r="D1933" s="553">
        <v>1</v>
      </c>
      <c r="E1933" s="553">
        <v>1</v>
      </c>
      <c r="F1933" s="553">
        <v>2</v>
      </c>
      <c r="G1933" s="553" t="s">
        <v>479</v>
      </c>
      <c r="H1933" s="553">
        <v>2634.56</v>
      </c>
      <c r="I1933" s="553">
        <v>89</v>
      </c>
      <c r="J1933" s="553">
        <v>37</v>
      </c>
      <c r="K1933" s="553">
        <v>5</v>
      </c>
      <c r="L1933" s="553">
        <v>1</v>
      </c>
      <c r="M1933" s="505" t="s">
        <v>137</v>
      </c>
      <c r="N1933" s="500">
        <v>43047567130000</v>
      </c>
      <c r="O1933" s="553" t="s">
        <v>2590</v>
      </c>
      <c r="P1933" s="650" t="s">
        <v>2601</v>
      </c>
      <c r="Q1933" s="564" t="s">
        <v>4443</v>
      </c>
      <c r="R1933" s="564">
        <v>1</v>
      </c>
    </row>
    <row r="1934" spans="1:18" ht="15" customHeight="1" x14ac:dyDescent="0.25">
      <c r="A1934" s="553">
        <v>20</v>
      </c>
      <c r="B1934" s="553">
        <v>3</v>
      </c>
      <c r="C1934" s="553">
        <v>2</v>
      </c>
      <c r="D1934" s="553">
        <v>1</v>
      </c>
      <c r="E1934" s="553">
        <v>1</v>
      </c>
      <c r="F1934" s="553">
        <v>2</v>
      </c>
      <c r="G1934" s="553" t="s">
        <v>485</v>
      </c>
      <c r="H1934" s="553">
        <v>0</v>
      </c>
      <c r="I1934" s="553">
        <v>0</v>
      </c>
      <c r="J1934" s="553">
        <v>0</v>
      </c>
      <c r="K1934" s="553">
        <v>0</v>
      </c>
      <c r="L1934" s="553">
        <v>0</v>
      </c>
      <c r="M1934" s="505" t="s">
        <v>137</v>
      </c>
      <c r="N1934" s="500">
        <v>43047567130000</v>
      </c>
      <c r="O1934" s="553" t="s">
        <v>2590</v>
      </c>
      <c r="P1934" s="650" t="s">
        <v>2602</v>
      </c>
      <c r="Q1934" s="564" t="s">
        <v>4443</v>
      </c>
      <c r="R1934" s="564">
        <v>1</v>
      </c>
    </row>
    <row r="1935" spans="1:18" ht="15" customHeight="1" x14ac:dyDescent="0.25">
      <c r="A1935" s="553">
        <v>20</v>
      </c>
      <c r="B1935" s="553">
        <v>3</v>
      </c>
      <c r="C1935" s="553">
        <v>2</v>
      </c>
      <c r="D1935" s="553">
        <v>1</v>
      </c>
      <c r="E1935" s="553">
        <v>1</v>
      </c>
      <c r="F1935" s="553">
        <v>2</v>
      </c>
      <c r="G1935" s="553" t="s">
        <v>487</v>
      </c>
      <c r="H1935" s="553">
        <v>1307.67</v>
      </c>
      <c r="I1935" s="553">
        <v>89</v>
      </c>
      <c r="J1935" s="553">
        <v>54</v>
      </c>
      <c r="K1935" s="553">
        <v>49</v>
      </c>
      <c r="L1935" s="553">
        <v>2</v>
      </c>
      <c r="M1935" s="505" t="s">
        <v>137</v>
      </c>
      <c r="N1935" s="500">
        <v>43047567130000</v>
      </c>
      <c r="O1935" s="553" t="s">
        <v>2590</v>
      </c>
      <c r="P1935" s="650" t="s">
        <v>2603</v>
      </c>
      <c r="Q1935" s="564" t="s">
        <v>4443</v>
      </c>
      <c r="R1935" s="564">
        <v>1</v>
      </c>
    </row>
    <row r="1936" spans="1:18" ht="15" customHeight="1" x14ac:dyDescent="0.25">
      <c r="A1936" s="553">
        <v>20</v>
      </c>
      <c r="B1936" s="553">
        <v>3</v>
      </c>
      <c r="C1936" s="553">
        <v>2</v>
      </c>
      <c r="D1936" s="553">
        <v>1</v>
      </c>
      <c r="E1936" s="553">
        <v>1</v>
      </c>
      <c r="F1936" s="553">
        <v>2</v>
      </c>
      <c r="G1936" s="502" t="s">
        <v>489</v>
      </c>
      <c r="H1936" s="553">
        <v>1307.68</v>
      </c>
      <c r="I1936" s="553">
        <v>89</v>
      </c>
      <c r="J1936" s="553">
        <v>54</v>
      </c>
      <c r="K1936" s="553">
        <v>41</v>
      </c>
      <c r="L1936" s="553">
        <v>2</v>
      </c>
      <c r="M1936" s="505" t="s">
        <v>137</v>
      </c>
      <c r="N1936" s="500">
        <v>43047567130000</v>
      </c>
      <c r="O1936" s="553" t="s">
        <v>2590</v>
      </c>
      <c r="P1936" s="650" t="s">
        <v>2604</v>
      </c>
      <c r="Q1936" s="564" t="s">
        <v>4443</v>
      </c>
      <c r="R1936" s="564">
        <v>1</v>
      </c>
    </row>
    <row r="1937" spans="1:18" ht="15" customHeight="1" x14ac:dyDescent="0.25">
      <c r="A1937" s="553">
        <v>20</v>
      </c>
      <c r="B1937" s="553">
        <v>3</v>
      </c>
      <c r="C1937" s="553">
        <v>2</v>
      </c>
      <c r="D1937" s="553">
        <v>1</v>
      </c>
      <c r="E1937" s="553">
        <v>1</v>
      </c>
      <c r="F1937" s="553">
        <v>2</v>
      </c>
      <c r="G1937" s="553" t="s">
        <v>491</v>
      </c>
      <c r="H1937" s="553">
        <v>1307.68</v>
      </c>
      <c r="I1937" s="553">
        <v>89</v>
      </c>
      <c r="J1937" s="553">
        <v>54</v>
      </c>
      <c r="K1937" s="553">
        <v>41</v>
      </c>
      <c r="L1937" s="553">
        <v>2</v>
      </c>
      <c r="M1937" s="505" t="s">
        <v>137</v>
      </c>
      <c r="N1937" s="500">
        <v>43047567130000</v>
      </c>
      <c r="O1937" s="553" t="s">
        <v>2590</v>
      </c>
      <c r="P1937" s="650" t="s">
        <v>2605</v>
      </c>
      <c r="Q1937" s="564" t="s">
        <v>4443</v>
      </c>
      <c r="R1937" s="564">
        <v>1</v>
      </c>
    </row>
    <row r="1938" spans="1:18" ht="15" customHeight="1" x14ac:dyDescent="0.25">
      <c r="A1938" s="553">
        <v>20</v>
      </c>
      <c r="B1938" s="553">
        <v>3</v>
      </c>
      <c r="C1938" s="553">
        <v>2</v>
      </c>
      <c r="D1938" s="553">
        <v>1</v>
      </c>
      <c r="E1938" s="553">
        <v>1</v>
      </c>
      <c r="F1938" s="553">
        <v>2</v>
      </c>
      <c r="G1938" s="553" t="s">
        <v>494</v>
      </c>
      <c r="H1938" s="553">
        <v>1307.7</v>
      </c>
      <c r="I1938" s="553">
        <v>89</v>
      </c>
      <c r="J1938" s="553">
        <v>54</v>
      </c>
      <c r="K1938" s="553">
        <v>53</v>
      </c>
      <c r="L1938" s="553">
        <v>2</v>
      </c>
      <c r="M1938" s="505" t="s">
        <v>137</v>
      </c>
      <c r="N1938" s="500">
        <v>43047567130000</v>
      </c>
      <c r="O1938" s="553" t="s">
        <v>2590</v>
      </c>
      <c r="P1938" s="650" t="s">
        <v>2606</v>
      </c>
      <c r="Q1938" s="564" t="s">
        <v>4443</v>
      </c>
      <c r="R1938" s="564">
        <v>1</v>
      </c>
    </row>
    <row r="1939" spans="1:18" ht="15" customHeight="1" x14ac:dyDescent="0.25">
      <c r="A1939" s="553">
        <v>20</v>
      </c>
      <c r="B1939" s="553">
        <v>3</v>
      </c>
      <c r="C1939" s="553">
        <v>2</v>
      </c>
      <c r="D1939" s="553">
        <v>2</v>
      </c>
      <c r="E1939" s="553">
        <v>2</v>
      </c>
      <c r="F1939" s="553">
        <v>2</v>
      </c>
      <c r="G1939" s="553" t="s">
        <v>473</v>
      </c>
      <c r="H1939" s="553">
        <v>1325.02</v>
      </c>
      <c r="I1939" s="553">
        <v>2</v>
      </c>
      <c r="J1939" s="553">
        <v>3</v>
      </c>
      <c r="K1939" s="553">
        <v>50</v>
      </c>
      <c r="L1939" s="553">
        <v>4</v>
      </c>
      <c r="M1939" s="505" t="s">
        <v>137</v>
      </c>
      <c r="N1939" s="500">
        <v>43013538590000</v>
      </c>
      <c r="O1939" s="553" t="s">
        <v>1351</v>
      </c>
      <c r="P1939" s="650" t="s">
        <v>2607</v>
      </c>
      <c r="Q1939" s="564" t="s">
        <v>583</v>
      </c>
      <c r="R1939" s="564">
        <v>2</v>
      </c>
    </row>
    <row r="1940" spans="1:18" ht="15" customHeight="1" x14ac:dyDescent="0.25">
      <c r="A1940" s="553">
        <v>20</v>
      </c>
      <c r="B1940" s="553">
        <v>3</v>
      </c>
      <c r="C1940" s="553">
        <v>2</v>
      </c>
      <c r="D1940" s="553">
        <v>2</v>
      </c>
      <c r="E1940" s="553">
        <v>2</v>
      </c>
      <c r="F1940" s="553">
        <v>2</v>
      </c>
      <c r="G1940" s="502" t="s">
        <v>476</v>
      </c>
      <c r="H1940" s="553">
        <v>1325.02</v>
      </c>
      <c r="I1940" s="553">
        <v>2</v>
      </c>
      <c r="J1940" s="553">
        <v>3</v>
      </c>
      <c r="K1940" s="553">
        <v>50</v>
      </c>
      <c r="L1940" s="553">
        <v>4</v>
      </c>
      <c r="M1940" s="505" t="s">
        <v>137</v>
      </c>
      <c r="N1940" s="500">
        <v>43013538590000</v>
      </c>
      <c r="O1940" s="553" t="s">
        <v>1351</v>
      </c>
      <c r="P1940" s="650" t="s">
        <v>2608</v>
      </c>
      <c r="Q1940" s="564" t="s">
        <v>583</v>
      </c>
      <c r="R1940" s="564">
        <v>2</v>
      </c>
    </row>
    <row r="1941" spans="1:18" ht="15" customHeight="1" x14ac:dyDescent="0.25">
      <c r="A1941" s="553">
        <v>20</v>
      </c>
      <c r="B1941" s="553">
        <v>3</v>
      </c>
      <c r="C1941" s="553">
        <v>2</v>
      </c>
      <c r="D1941" s="553">
        <v>2</v>
      </c>
      <c r="E1941" s="553">
        <v>2</v>
      </c>
      <c r="F1941" s="553">
        <v>2</v>
      </c>
      <c r="G1941" s="553" t="s">
        <v>478</v>
      </c>
      <c r="H1941" s="553">
        <v>1338.36</v>
      </c>
      <c r="I1941" s="553">
        <v>1</v>
      </c>
      <c r="J1941" s="553">
        <v>50</v>
      </c>
      <c r="K1941" s="553">
        <v>33</v>
      </c>
      <c r="L1941" s="553">
        <v>4</v>
      </c>
      <c r="M1941" s="505" t="s">
        <v>137</v>
      </c>
      <c r="N1941" s="500">
        <v>43013538590000</v>
      </c>
      <c r="O1941" s="553" t="s">
        <v>1351</v>
      </c>
      <c r="P1941" s="650" t="s">
        <v>2609</v>
      </c>
      <c r="Q1941" s="564" t="s">
        <v>583</v>
      </c>
      <c r="R1941" s="564">
        <v>2</v>
      </c>
    </row>
    <row r="1942" spans="1:18" ht="15" customHeight="1" x14ac:dyDescent="0.25">
      <c r="A1942" s="553">
        <v>20</v>
      </c>
      <c r="B1942" s="553">
        <v>3</v>
      </c>
      <c r="C1942" s="553">
        <v>2</v>
      </c>
      <c r="D1942" s="553">
        <v>2</v>
      </c>
      <c r="E1942" s="553">
        <v>2</v>
      </c>
      <c r="F1942" s="553">
        <v>2</v>
      </c>
      <c r="G1942" s="553" t="s">
        <v>484</v>
      </c>
      <c r="H1942" s="553">
        <v>1338.36</v>
      </c>
      <c r="I1942" s="553">
        <v>1</v>
      </c>
      <c r="J1942" s="553">
        <v>50</v>
      </c>
      <c r="K1942" s="553">
        <v>33</v>
      </c>
      <c r="L1942" s="553">
        <v>4</v>
      </c>
      <c r="M1942" s="505" t="s">
        <v>137</v>
      </c>
      <c r="N1942" s="500">
        <v>43013538590000</v>
      </c>
      <c r="O1942" s="553" t="s">
        <v>1351</v>
      </c>
      <c r="P1942" s="650" t="s">
        <v>2610</v>
      </c>
      <c r="Q1942" s="564" t="s">
        <v>583</v>
      </c>
      <c r="R1942" s="564">
        <v>2</v>
      </c>
    </row>
    <row r="1943" spans="1:18" ht="15" customHeight="1" x14ac:dyDescent="0.25">
      <c r="A1943" s="553">
        <v>20</v>
      </c>
      <c r="B1943" s="553">
        <v>3</v>
      </c>
      <c r="C1943" s="553">
        <v>2</v>
      </c>
      <c r="D1943" s="553">
        <v>2</v>
      </c>
      <c r="E1943" s="553">
        <v>2</v>
      </c>
      <c r="F1943" s="553">
        <v>2</v>
      </c>
      <c r="G1943" s="553" t="s">
        <v>486</v>
      </c>
      <c r="H1943" s="553">
        <v>1317.7049999999999</v>
      </c>
      <c r="I1943" s="553">
        <v>0</v>
      </c>
      <c r="J1943" s="553">
        <v>52</v>
      </c>
      <c r="K1943" s="553">
        <v>11</v>
      </c>
      <c r="L1943" s="553">
        <v>4</v>
      </c>
      <c r="M1943" s="505" t="s">
        <v>137</v>
      </c>
      <c r="N1943" s="500">
        <v>43013538590000</v>
      </c>
      <c r="O1943" s="553" t="s">
        <v>1351</v>
      </c>
      <c r="P1943" s="650" t="s">
        <v>2611</v>
      </c>
      <c r="Q1943" s="564" t="s">
        <v>583</v>
      </c>
      <c r="R1943" s="564">
        <v>2</v>
      </c>
    </row>
    <row r="1944" spans="1:18" ht="15" customHeight="1" x14ac:dyDescent="0.25">
      <c r="A1944" s="553">
        <v>20</v>
      </c>
      <c r="B1944" s="553">
        <v>3</v>
      </c>
      <c r="C1944" s="553">
        <v>2</v>
      </c>
      <c r="D1944" s="553">
        <v>2</v>
      </c>
      <c r="E1944" s="553">
        <v>2</v>
      </c>
      <c r="F1944" s="553">
        <v>2</v>
      </c>
      <c r="G1944" s="502" t="s">
        <v>488</v>
      </c>
      <c r="H1944" s="553">
        <v>1317.7049999999999</v>
      </c>
      <c r="I1944" s="553">
        <v>0</v>
      </c>
      <c r="J1944" s="553">
        <v>52</v>
      </c>
      <c r="K1944" s="553">
        <v>11</v>
      </c>
      <c r="L1944" s="553">
        <v>4</v>
      </c>
      <c r="M1944" s="505" t="s">
        <v>137</v>
      </c>
      <c r="N1944" s="500">
        <v>43013538590000</v>
      </c>
      <c r="O1944" s="553" t="s">
        <v>1351</v>
      </c>
      <c r="P1944" s="650" t="s">
        <v>2612</v>
      </c>
      <c r="Q1944" s="564" t="s">
        <v>583</v>
      </c>
      <c r="R1944" s="564">
        <v>2</v>
      </c>
    </row>
    <row r="1945" spans="1:18" ht="15" customHeight="1" x14ac:dyDescent="0.25">
      <c r="A1945" s="553">
        <v>20</v>
      </c>
      <c r="B1945" s="553">
        <v>3</v>
      </c>
      <c r="C1945" s="553">
        <v>2</v>
      </c>
      <c r="D1945" s="553">
        <v>2</v>
      </c>
      <c r="E1945" s="553">
        <v>2</v>
      </c>
      <c r="F1945" s="553">
        <v>2</v>
      </c>
      <c r="G1945" s="553" t="s">
        <v>490</v>
      </c>
      <c r="H1945" s="553">
        <v>1375.68</v>
      </c>
      <c r="I1945" s="553">
        <v>1</v>
      </c>
      <c r="J1945" s="553">
        <v>50</v>
      </c>
      <c r="K1945" s="553">
        <v>19</v>
      </c>
      <c r="L1945" s="553">
        <v>4</v>
      </c>
      <c r="M1945" s="505" t="s">
        <v>137</v>
      </c>
      <c r="N1945" s="500">
        <v>43013538590000</v>
      </c>
      <c r="O1945" s="553" t="s">
        <v>1351</v>
      </c>
      <c r="P1945" s="650" t="s">
        <v>2613</v>
      </c>
      <c r="Q1945" s="564" t="s">
        <v>583</v>
      </c>
      <c r="R1945" s="564">
        <v>2</v>
      </c>
    </row>
    <row r="1946" spans="1:18" ht="15" customHeight="1" x14ac:dyDescent="0.25">
      <c r="A1946" s="553">
        <v>20</v>
      </c>
      <c r="B1946" s="553">
        <v>3</v>
      </c>
      <c r="C1946" s="553">
        <v>2</v>
      </c>
      <c r="D1946" s="553">
        <v>2</v>
      </c>
      <c r="E1946" s="553">
        <v>2</v>
      </c>
      <c r="F1946" s="553">
        <v>2</v>
      </c>
      <c r="G1946" s="553" t="s">
        <v>493</v>
      </c>
      <c r="H1946" s="553">
        <v>1375.68</v>
      </c>
      <c r="I1946" s="553">
        <v>1</v>
      </c>
      <c r="J1946" s="553">
        <v>50</v>
      </c>
      <c r="K1946" s="553">
        <v>19</v>
      </c>
      <c r="L1946" s="553">
        <v>4</v>
      </c>
      <c r="M1946" s="505" t="s">
        <v>137</v>
      </c>
      <c r="N1946" s="500">
        <v>43013538590000</v>
      </c>
      <c r="O1946" s="553" t="s">
        <v>1351</v>
      </c>
      <c r="P1946" s="650" t="s">
        <v>2614</v>
      </c>
      <c r="Q1946" s="564" t="s">
        <v>583</v>
      </c>
      <c r="R1946" s="564">
        <v>2</v>
      </c>
    </row>
    <row r="1947" spans="1:18" ht="15" customHeight="1" x14ac:dyDescent="0.25">
      <c r="A1947" s="553">
        <v>20</v>
      </c>
      <c r="B1947" s="553">
        <v>3</v>
      </c>
      <c r="C1947" s="553">
        <v>2</v>
      </c>
      <c r="D1947" s="553">
        <v>2</v>
      </c>
      <c r="E1947" s="553">
        <v>2</v>
      </c>
      <c r="F1947" s="553">
        <v>2</v>
      </c>
      <c r="G1947" s="553" t="s">
        <v>474</v>
      </c>
      <c r="H1947" s="553">
        <v>1362.166666666667</v>
      </c>
      <c r="I1947" s="553">
        <v>89</v>
      </c>
      <c r="J1947" s="553">
        <v>57</v>
      </c>
      <c r="K1947" s="553">
        <v>34</v>
      </c>
      <c r="L1947" s="553">
        <v>3</v>
      </c>
      <c r="M1947" s="505" t="s">
        <v>137</v>
      </c>
      <c r="N1947" s="500">
        <v>43013538590000</v>
      </c>
      <c r="O1947" s="553" t="s">
        <v>1351</v>
      </c>
      <c r="P1947" s="650" t="s">
        <v>2615</v>
      </c>
      <c r="Q1947" s="564" t="s">
        <v>583</v>
      </c>
      <c r="R1947" s="564">
        <v>2</v>
      </c>
    </row>
    <row r="1948" spans="1:18" ht="15" customHeight="1" x14ac:dyDescent="0.25">
      <c r="A1948" s="553">
        <v>20</v>
      </c>
      <c r="B1948" s="553">
        <v>3</v>
      </c>
      <c r="C1948" s="553">
        <v>2</v>
      </c>
      <c r="D1948" s="553">
        <v>2</v>
      </c>
      <c r="E1948" s="553">
        <v>2</v>
      </c>
      <c r="F1948" s="553">
        <v>2</v>
      </c>
      <c r="G1948" s="502" t="s">
        <v>477</v>
      </c>
      <c r="H1948" s="553">
        <v>1362.166666666667</v>
      </c>
      <c r="I1948" s="553">
        <v>89</v>
      </c>
      <c r="J1948" s="553">
        <v>57</v>
      </c>
      <c r="K1948" s="553">
        <v>34</v>
      </c>
      <c r="L1948" s="553">
        <v>3</v>
      </c>
      <c r="M1948" s="505" t="s">
        <v>137</v>
      </c>
      <c r="N1948" s="500">
        <v>43013538590000</v>
      </c>
      <c r="O1948" s="553" t="s">
        <v>1351</v>
      </c>
      <c r="P1948" s="650" t="s">
        <v>2616</v>
      </c>
      <c r="Q1948" s="564" t="s">
        <v>583</v>
      </c>
      <c r="R1948" s="564">
        <v>2</v>
      </c>
    </row>
    <row r="1949" spans="1:18" ht="15" customHeight="1" x14ac:dyDescent="0.25">
      <c r="A1949" s="553">
        <v>20</v>
      </c>
      <c r="B1949" s="553">
        <v>3</v>
      </c>
      <c r="C1949" s="553">
        <v>2</v>
      </c>
      <c r="D1949" s="553">
        <v>2</v>
      </c>
      <c r="E1949" s="553">
        <v>2</v>
      </c>
      <c r="F1949" s="553">
        <v>2</v>
      </c>
      <c r="G1949" s="553" t="s">
        <v>479</v>
      </c>
      <c r="H1949" s="553">
        <v>1362.166666666667</v>
      </c>
      <c r="I1949" s="553">
        <v>89</v>
      </c>
      <c r="J1949" s="553">
        <v>57</v>
      </c>
      <c r="K1949" s="553">
        <v>34</v>
      </c>
      <c r="L1949" s="553">
        <v>3</v>
      </c>
      <c r="M1949" s="505" t="s">
        <v>137</v>
      </c>
      <c r="N1949" s="500">
        <v>43013538590000</v>
      </c>
      <c r="O1949" s="553" t="s">
        <v>1351</v>
      </c>
      <c r="P1949" s="650" t="s">
        <v>2617</v>
      </c>
      <c r="Q1949" s="564" t="s">
        <v>583</v>
      </c>
      <c r="R1949" s="564">
        <v>2</v>
      </c>
    </row>
    <row r="1950" spans="1:18" ht="15" customHeight="1" x14ac:dyDescent="0.25">
      <c r="A1950" s="553">
        <v>20</v>
      </c>
      <c r="B1950" s="553">
        <v>3</v>
      </c>
      <c r="C1950" s="553">
        <v>2</v>
      </c>
      <c r="D1950" s="553">
        <v>2</v>
      </c>
      <c r="E1950" s="553">
        <v>2</v>
      </c>
      <c r="F1950" s="553">
        <v>2</v>
      </c>
      <c r="G1950" s="553" t="s">
        <v>485</v>
      </c>
      <c r="H1950" s="553">
        <v>1319.67</v>
      </c>
      <c r="I1950" s="553">
        <v>88</v>
      </c>
      <c r="J1950" s="553">
        <v>39</v>
      </c>
      <c r="K1950" s="553">
        <v>24</v>
      </c>
      <c r="L1950" s="553">
        <v>3</v>
      </c>
      <c r="M1950" s="505" t="s">
        <v>137</v>
      </c>
      <c r="N1950" s="500">
        <v>43013538590000</v>
      </c>
      <c r="O1950" s="553" t="s">
        <v>1351</v>
      </c>
      <c r="P1950" s="650" t="s">
        <v>2618</v>
      </c>
      <c r="Q1950" s="564" t="s">
        <v>583</v>
      </c>
      <c r="R1950" s="564">
        <v>2</v>
      </c>
    </row>
    <row r="1951" spans="1:18" ht="15" customHeight="1" x14ac:dyDescent="0.25">
      <c r="A1951" s="553">
        <v>20</v>
      </c>
      <c r="B1951" s="553">
        <v>3</v>
      </c>
      <c r="C1951" s="553">
        <v>2</v>
      </c>
      <c r="D1951" s="553">
        <v>2</v>
      </c>
      <c r="E1951" s="553">
        <v>2</v>
      </c>
      <c r="F1951" s="553">
        <v>2</v>
      </c>
      <c r="G1951" s="553" t="s">
        <v>487</v>
      </c>
      <c r="H1951" s="553">
        <v>1338.1675</v>
      </c>
      <c r="I1951" s="553">
        <v>89</v>
      </c>
      <c r="J1951" s="553">
        <v>42</v>
      </c>
      <c r="K1951" s="553">
        <v>18</v>
      </c>
      <c r="L1951" s="553">
        <v>4</v>
      </c>
      <c r="M1951" s="505" t="s">
        <v>137</v>
      </c>
      <c r="N1951" s="500">
        <v>43013538590000</v>
      </c>
      <c r="O1951" s="553" t="s">
        <v>1351</v>
      </c>
      <c r="P1951" s="650" t="s">
        <v>2619</v>
      </c>
      <c r="Q1951" s="564" t="s">
        <v>583</v>
      </c>
      <c r="R1951" s="564">
        <v>2</v>
      </c>
    </row>
    <row r="1952" spans="1:18" ht="15" customHeight="1" x14ac:dyDescent="0.25">
      <c r="A1952" s="553">
        <v>20</v>
      </c>
      <c r="B1952" s="553">
        <v>3</v>
      </c>
      <c r="C1952" s="553">
        <v>2</v>
      </c>
      <c r="D1952" s="553">
        <v>2</v>
      </c>
      <c r="E1952" s="553">
        <v>2</v>
      </c>
      <c r="F1952" s="553">
        <v>2</v>
      </c>
      <c r="G1952" s="502" t="s">
        <v>489</v>
      </c>
      <c r="H1952" s="553">
        <v>1338.1675</v>
      </c>
      <c r="I1952" s="553">
        <v>89</v>
      </c>
      <c r="J1952" s="553">
        <v>42</v>
      </c>
      <c r="K1952" s="553">
        <v>18</v>
      </c>
      <c r="L1952" s="553">
        <v>4</v>
      </c>
      <c r="M1952" s="505" t="s">
        <v>137</v>
      </c>
      <c r="N1952" s="500">
        <v>43013538590000</v>
      </c>
      <c r="O1952" s="553" t="s">
        <v>1351</v>
      </c>
      <c r="P1952" s="650" t="s">
        <v>2620</v>
      </c>
      <c r="Q1952" s="564" t="s">
        <v>583</v>
      </c>
      <c r="R1952" s="564">
        <v>2</v>
      </c>
    </row>
    <row r="1953" spans="1:18" ht="15" customHeight="1" x14ac:dyDescent="0.25">
      <c r="A1953" s="553">
        <v>20</v>
      </c>
      <c r="B1953" s="553">
        <v>3</v>
      </c>
      <c r="C1953" s="553">
        <v>2</v>
      </c>
      <c r="D1953" s="553">
        <v>2</v>
      </c>
      <c r="E1953" s="553">
        <v>2</v>
      </c>
      <c r="F1953" s="553">
        <v>2</v>
      </c>
      <c r="G1953" s="553" t="s">
        <v>491</v>
      </c>
      <c r="H1953" s="553">
        <v>1338.1675</v>
      </c>
      <c r="I1953" s="553">
        <v>89</v>
      </c>
      <c r="J1953" s="553">
        <v>42</v>
      </c>
      <c r="K1953" s="553">
        <v>18</v>
      </c>
      <c r="L1953" s="553">
        <v>4</v>
      </c>
      <c r="M1953" s="505" t="s">
        <v>137</v>
      </c>
      <c r="N1953" s="500">
        <v>43013538590000</v>
      </c>
      <c r="O1953" s="553" t="s">
        <v>1351</v>
      </c>
      <c r="P1953" s="650" t="s">
        <v>2621</v>
      </c>
      <c r="Q1953" s="564" t="s">
        <v>583</v>
      </c>
      <c r="R1953" s="564">
        <v>2</v>
      </c>
    </row>
    <row r="1954" spans="1:18" ht="15" customHeight="1" x14ac:dyDescent="0.25">
      <c r="A1954" s="553">
        <v>20</v>
      </c>
      <c r="B1954" s="553">
        <v>3</v>
      </c>
      <c r="C1954" s="553">
        <v>2</v>
      </c>
      <c r="D1954" s="553">
        <v>2</v>
      </c>
      <c r="E1954" s="553">
        <v>2</v>
      </c>
      <c r="F1954" s="553">
        <v>2</v>
      </c>
      <c r="G1954" s="553" t="s">
        <v>494</v>
      </c>
      <c r="H1954" s="553">
        <v>1338.1675</v>
      </c>
      <c r="I1954" s="553">
        <v>89</v>
      </c>
      <c r="J1954" s="553">
        <v>42</v>
      </c>
      <c r="K1954" s="553">
        <v>18</v>
      </c>
      <c r="L1954" s="553">
        <v>4</v>
      </c>
      <c r="M1954" s="505" t="s">
        <v>137</v>
      </c>
      <c r="N1954" s="500">
        <v>43013538590000</v>
      </c>
      <c r="O1954" s="553" t="s">
        <v>1351</v>
      </c>
      <c r="P1954" s="650" t="s">
        <v>2622</v>
      </c>
      <c r="Q1954" s="564" t="s">
        <v>583</v>
      </c>
      <c r="R1954" s="564">
        <v>2</v>
      </c>
    </row>
    <row r="1955" spans="1:18" ht="15" customHeight="1" x14ac:dyDescent="0.25">
      <c r="A1955" s="564">
        <v>20</v>
      </c>
      <c r="B1955" s="564">
        <v>2</v>
      </c>
      <c r="C1955" s="564">
        <v>2</v>
      </c>
      <c r="D1955" s="564">
        <v>1</v>
      </c>
      <c r="E1955" s="564">
        <v>1</v>
      </c>
      <c r="F1955" s="564">
        <v>2</v>
      </c>
      <c r="G1955" s="564" t="s">
        <v>473</v>
      </c>
      <c r="H1955" s="564">
        <v>1320.33</v>
      </c>
      <c r="I1955" s="564">
        <v>0</v>
      </c>
      <c r="J1955" s="564">
        <v>7</v>
      </c>
      <c r="K1955" s="564">
        <v>57</v>
      </c>
      <c r="L1955" s="564">
        <v>4</v>
      </c>
      <c r="M1955" s="561" t="s">
        <v>312</v>
      </c>
      <c r="N1955" s="520"/>
      <c r="O1955" s="564"/>
      <c r="P1955" s="564" t="s">
        <v>2623</v>
      </c>
      <c r="Q1955" s="564"/>
      <c r="R1955" s="564">
        <v>1</v>
      </c>
    </row>
    <row r="1956" spans="1:18" ht="15" customHeight="1" x14ac:dyDescent="0.25">
      <c r="A1956" s="564">
        <v>20</v>
      </c>
      <c r="B1956" s="564">
        <v>2</v>
      </c>
      <c r="C1956" s="564">
        <v>2</v>
      </c>
      <c r="D1956" s="564">
        <v>1</v>
      </c>
      <c r="E1956" s="564">
        <v>1</v>
      </c>
      <c r="F1956" s="564">
        <v>2</v>
      </c>
      <c r="G1956" s="521" t="s">
        <v>476</v>
      </c>
      <c r="H1956" s="564">
        <v>1323.18</v>
      </c>
      <c r="I1956" s="564">
        <v>0</v>
      </c>
      <c r="J1956" s="564">
        <v>0</v>
      </c>
      <c r="K1956" s="564">
        <v>30</v>
      </c>
      <c r="L1956" s="564">
        <v>4</v>
      </c>
      <c r="M1956" s="561" t="s">
        <v>312</v>
      </c>
      <c r="N1956" s="520"/>
      <c r="O1956" s="564"/>
      <c r="P1956" s="564" t="s">
        <v>2624</v>
      </c>
      <c r="Q1956" s="564"/>
      <c r="R1956" s="564">
        <v>1</v>
      </c>
    </row>
    <row r="1957" spans="1:18" ht="15" customHeight="1" x14ac:dyDescent="0.25">
      <c r="A1957" s="564">
        <v>20</v>
      </c>
      <c r="B1957" s="564">
        <v>2</v>
      </c>
      <c r="C1957" s="564">
        <v>2</v>
      </c>
      <c r="D1957" s="564">
        <v>1</v>
      </c>
      <c r="E1957" s="564">
        <v>1</v>
      </c>
      <c r="F1957" s="564">
        <v>2</v>
      </c>
      <c r="G1957" s="564" t="s">
        <v>478</v>
      </c>
      <c r="H1957" s="564">
        <v>1321.99</v>
      </c>
      <c r="I1957" s="564">
        <v>0</v>
      </c>
      <c r="J1957" s="564">
        <v>15</v>
      </c>
      <c r="K1957" s="564">
        <v>45</v>
      </c>
      <c r="L1957" s="564">
        <v>4</v>
      </c>
      <c r="M1957" s="561" t="s">
        <v>312</v>
      </c>
      <c r="N1957" s="520"/>
      <c r="O1957" s="564"/>
      <c r="P1957" s="564" t="s">
        <v>2625</v>
      </c>
      <c r="Q1957" s="564"/>
      <c r="R1957" s="564">
        <v>1</v>
      </c>
    </row>
    <row r="1958" spans="1:18" ht="15" customHeight="1" x14ac:dyDescent="0.25">
      <c r="A1958" s="564">
        <v>20</v>
      </c>
      <c r="B1958" s="564">
        <v>2</v>
      </c>
      <c r="C1958" s="564">
        <v>2</v>
      </c>
      <c r="D1958" s="564">
        <v>1</v>
      </c>
      <c r="E1958" s="564">
        <v>1</v>
      </c>
      <c r="F1958" s="564">
        <v>2</v>
      </c>
      <c r="G1958" s="564" t="s">
        <v>484</v>
      </c>
      <c r="H1958" s="564">
        <v>1317.33</v>
      </c>
      <c r="I1958" s="564">
        <v>0</v>
      </c>
      <c r="J1958" s="564">
        <v>15</v>
      </c>
      <c r="K1958" s="564">
        <v>20</v>
      </c>
      <c r="L1958" s="564">
        <v>4</v>
      </c>
      <c r="M1958" s="561" t="s">
        <v>312</v>
      </c>
      <c r="N1958" s="520"/>
      <c r="O1958" s="564"/>
      <c r="P1958" s="564" t="s">
        <v>2626</v>
      </c>
      <c r="Q1958" s="564"/>
      <c r="R1958" s="564">
        <v>1</v>
      </c>
    </row>
    <row r="1959" spans="1:18" ht="15" customHeight="1" x14ac:dyDescent="0.25">
      <c r="A1959" s="564">
        <v>20</v>
      </c>
      <c r="B1959" s="564">
        <v>2</v>
      </c>
      <c r="C1959" s="564">
        <v>2</v>
      </c>
      <c r="D1959" s="564">
        <v>1</v>
      </c>
      <c r="E1959" s="564">
        <v>1</v>
      </c>
      <c r="F1959" s="564">
        <v>2</v>
      </c>
      <c r="G1959" s="564" t="s">
        <v>486</v>
      </c>
      <c r="H1959" s="564">
        <v>1314.94</v>
      </c>
      <c r="I1959" s="564">
        <v>0</v>
      </c>
      <c r="J1959" s="564">
        <v>8</v>
      </c>
      <c r="K1959" s="564">
        <v>46</v>
      </c>
      <c r="L1959" s="564">
        <v>2</v>
      </c>
      <c r="M1959" s="561" t="s">
        <v>312</v>
      </c>
      <c r="N1959" s="520"/>
      <c r="O1959" s="564"/>
      <c r="P1959" s="564" t="s">
        <v>2627</v>
      </c>
      <c r="Q1959" s="564"/>
      <c r="R1959" s="564">
        <v>1</v>
      </c>
    </row>
    <row r="1960" spans="1:18" ht="15" customHeight="1" x14ac:dyDescent="0.25">
      <c r="A1960" s="564">
        <v>20</v>
      </c>
      <c r="B1960" s="564">
        <v>2</v>
      </c>
      <c r="C1960" s="564">
        <v>2</v>
      </c>
      <c r="D1960" s="564">
        <v>1</v>
      </c>
      <c r="E1960" s="564">
        <v>1</v>
      </c>
      <c r="F1960" s="564">
        <v>2</v>
      </c>
      <c r="G1960" s="521" t="s">
        <v>488</v>
      </c>
      <c r="H1960" s="564">
        <v>1322.3</v>
      </c>
      <c r="I1960" s="564">
        <v>0</v>
      </c>
      <c r="J1960" s="564">
        <v>8</v>
      </c>
      <c r="K1960" s="564">
        <v>46</v>
      </c>
      <c r="L1960" s="564">
        <v>2</v>
      </c>
      <c r="M1960" s="561" t="s">
        <v>312</v>
      </c>
      <c r="N1960" s="520"/>
      <c r="O1960" s="564"/>
      <c r="P1960" s="564" t="s">
        <v>2628</v>
      </c>
      <c r="Q1960" s="564"/>
      <c r="R1960" s="564">
        <v>1</v>
      </c>
    </row>
    <row r="1961" spans="1:18" ht="15" customHeight="1" x14ac:dyDescent="0.25">
      <c r="A1961" s="564">
        <v>20</v>
      </c>
      <c r="B1961" s="564">
        <v>2</v>
      </c>
      <c r="C1961" s="564">
        <v>2</v>
      </c>
      <c r="D1961" s="564">
        <v>1</v>
      </c>
      <c r="E1961" s="564">
        <v>1</v>
      </c>
      <c r="F1961" s="564">
        <v>2</v>
      </c>
      <c r="G1961" s="564" t="s">
        <v>490</v>
      </c>
      <c r="H1961" s="564">
        <v>1304.0250000000001</v>
      </c>
      <c r="I1961" s="564">
        <v>0</v>
      </c>
      <c r="J1961" s="564">
        <v>22</v>
      </c>
      <c r="K1961" s="564">
        <v>14</v>
      </c>
      <c r="L1961" s="564">
        <v>2</v>
      </c>
      <c r="M1961" s="561" t="s">
        <v>312</v>
      </c>
      <c r="N1961" s="520"/>
      <c r="O1961" s="564"/>
      <c r="P1961" s="564" t="s">
        <v>2629</v>
      </c>
      <c r="Q1961" s="564"/>
      <c r="R1961" s="564">
        <v>1</v>
      </c>
    </row>
    <row r="1962" spans="1:18" ht="15" customHeight="1" x14ac:dyDescent="0.25">
      <c r="A1962" s="564">
        <v>20</v>
      </c>
      <c r="B1962" s="564">
        <v>2</v>
      </c>
      <c r="C1962" s="564">
        <v>2</v>
      </c>
      <c r="D1962" s="564">
        <v>1</v>
      </c>
      <c r="E1962" s="564">
        <v>1</v>
      </c>
      <c r="F1962" s="564">
        <v>2</v>
      </c>
      <c r="G1962" s="564" t="s">
        <v>493</v>
      </c>
      <c r="H1962" s="564">
        <v>1304.0250000000001</v>
      </c>
      <c r="I1962" s="564">
        <v>0</v>
      </c>
      <c r="J1962" s="564">
        <v>22</v>
      </c>
      <c r="K1962" s="564">
        <v>14</v>
      </c>
      <c r="L1962" s="564">
        <v>2</v>
      </c>
      <c r="M1962" s="561" t="s">
        <v>312</v>
      </c>
      <c r="N1962" s="520"/>
      <c r="O1962" s="564"/>
      <c r="P1962" s="564" t="s">
        <v>2630</v>
      </c>
      <c r="Q1962" s="564"/>
      <c r="R1962" s="564">
        <v>1</v>
      </c>
    </row>
    <row r="1963" spans="1:18" ht="15" customHeight="1" x14ac:dyDescent="0.25">
      <c r="A1963" s="564">
        <v>20</v>
      </c>
      <c r="B1963" s="564">
        <v>2</v>
      </c>
      <c r="C1963" s="564">
        <v>2</v>
      </c>
      <c r="D1963" s="564">
        <v>1</v>
      </c>
      <c r="E1963" s="564">
        <v>1</v>
      </c>
      <c r="F1963" s="564">
        <v>2</v>
      </c>
      <c r="G1963" s="564" t="s">
        <v>474</v>
      </c>
      <c r="H1963" s="564">
        <v>1321.41</v>
      </c>
      <c r="I1963" s="564">
        <v>89</v>
      </c>
      <c r="J1963" s="564">
        <v>17</v>
      </c>
      <c r="K1963" s="564">
        <v>58</v>
      </c>
      <c r="L1963" s="564">
        <v>4</v>
      </c>
      <c r="M1963" s="561" t="s">
        <v>312</v>
      </c>
      <c r="N1963" s="520"/>
      <c r="O1963" s="564"/>
      <c r="P1963" s="564" t="s">
        <v>2631</v>
      </c>
      <c r="Q1963" s="564"/>
      <c r="R1963" s="564">
        <v>1</v>
      </c>
    </row>
    <row r="1964" spans="1:18" ht="15" customHeight="1" x14ac:dyDescent="0.25">
      <c r="A1964" s="564">
        <v>20</v>
      </c>
      <c r="B1964" s="564">
        <v>2</v>
      </c>
      <c r="C1964" s="564">
        <v>2</v>
      </c>
      <c r="D1964" s="564">
        <v>1</v>
      </c>
      <c r="E1964" s="564">
        <v>1</v>
      </c>
      <c r="F1964" s="564">
        <v>2</v>
      </c>
      <c r="G1964" s="521" t="s">
        <v>477</v>
      </c>
      <c r="H1964" s="564">
        <v>1321.41</v>
      </c>
      <c r="I1964" s="564">
        <v>89</v>
      </c>
      <c r="J1964" s="564">
        <v>17</v>
      </c>
      <c r="K1964" s="564">
        <v>58</v>
      </c>
      <c r="L1964" s="564">
        <v>4</v>
      </c>
      <c r="M1964" s="561" t="s">
        <v>312</v>
      </c>
      <c r="N1964" s="520"/>
      <c r="O1964" s="564"/>
      <c r="P1964" s="564" t="s">
        <v>2632</v>
      </c>
      <c r="Q1964" s="564"/>
      <c r="R1964" s="564">
        <v>1</v>
      </c>
    </row>
    <row r="1965" spans="1:18" ht="15" customHeight="1" x14ac:dyDescent="0.25">
      <c r="A1965" s="564">
        <v>20</v>
      </c>
      <c r="B1965" s="564">
        <v>2</v>
      </c>
      <c r="C1965" s="564">
        <v>2</v>
      </c>
      <c r="D1965" s="564">
        <v>1</v>
      </c>
      <c r="E1965" s="564">
        <v>1</v>
      </c>
      <c r="F1965" s="564">
        <v>2</v>
      </c>
      <c r="G1965" s="564" t="s">
        <v>479</v>
      </c>
      <c r="H1965" s="564">
        <v>1309.5</v>
      </c>
      <c r="I1965" s="564">
        <v>89</v>
      </c>
      <c r="J1965" s="564">
        <v>17</v>
      </c>
      <c r="K1965" s="564">
        <v>58</v>
      </c>
      <c r="L1965" s="564">
        <v>4</v>
      </c>
      <c r="M1965" s="561" t="s">
        <v>312</v>
      </c>
      <c r="N1965" s="520"/>
      <c r="O1965" s="564"/>
      <c r="P1965" s="564" t="s">
        <v>2633</v>
      </c>
      <c r="Q1965" s="564"/>
      <c r="R1965" s="564">
        <v>1</v>
      </c>
    </row>
    <row r="1966" spans="1:18" ht="15" customHeight="1" x14ac:dyDescent="0.25">
      <c r="A1966" s="564">
        <v>20</v>
      </c>
      <c r="B1966" s="564">
        <v>2</v>
      </c>
      <c r="C1966" s="564">
        <v>2</v>
      </c>
      <c r="D1966" s="564">
        <v>1</v>
      </c>
      <c r="E1966" s="564">
        <v>1</v>
      </c>
      <c r="F1966" s="564">
        <v>2</v>
      </c>
      <c r="G1966" s="564" t="s">
        <v>485</v>
      </c>
      <c r="H1966" s="564">
        <v>1338.43</v>
      </c>
      <c r="I1966" s="564">
        <v>89</v>
      </c>
      <c r="J1966" s="564">
        <v>17</v>
      </c>
      <c r="K1966" s="564">
        <v>58</v>
      </c>
      <c r="L1966" s="564">
        <v>4</v>
      </c>
      <c r="M1966" s="561" t="s">
        <v>312</v>
      </c>
      <c r="N1966" s="520"/>
      <c r="O1966" s="564"/>
      <c r="P1966" s="564" t="s">
        <v>2634</v>
      </c>
      <c r="Q1966" s="564"/>
      <c r="R1966" s="564">
        <v>1</v>
      </c>
    </row>
    <row r="1967" spans="1:18" ht="15" customHeight="1" x14ac:dyDescent="0.25">
      <c r="A1967" s="564">
        <v>20</v>
      </c>
      <c r="B1967" s="564">
        <v>2</v>
      </c>
      <c r="C1967" s="564">
        <v>2</v>
      </c>
      <c r="D1967" s="564">
        <v>1</v>
      </c>
      <c r="E1967" s="564">
        <v>1</v>
      </c>
      <c r="F1967" s="564">
        <v>2</v>
      </c>
      <c r="G1967" s="564" t="s">
        <v>487</v>
      </c>
      <c r="H1967" s="564">
        <v>1305.6400000000001</v>
      </c>
      <c r="I1967" s="564">
        <v>89</v>
      </c>
      <c r="J1967" s="564">
        <v>45</v>
      </c>
      <c r="K1967" s="564">
        <v>31</v>
      </c>
      <c r="L1967" s="564">
        <v>4</v>
      </c>
      <c r="M1967" s="561" t="s">
        <v>312</v>
      </c>
      <c r="N1967" s="520"/>
      <c r="O1967" s="564"/>
      <c r="P1967" s="564" t="s">
        <v>2635</v>
      </c>
      <c r="Q1967" s="564"/>
      <c r="R1967" s="564">
        <v>1</v>
      </c>
    </row>
    <row r="1968" spans="1:18" ht="15" customHeight="1" x14ac:dyDescent="0.25">
      <c r="A1968" s="564">
        <v>20</v>
      </c>
      <c r="B1968" s="564">
        <v>2</v>
      </c>
      <c r="C1968" s="564">
        <v>2</v>
      </c>
      <c r="D1968" s="564">
        <v>1</v>
      </c>
      <c r="E1968" s="564">
        <v>1</v>
      </c>
      <c r="F1968" s="564">
        <v>2</v>
      </c>
      <c r="G1968" s="521" t="s">
        <v>489</v>
      </c>
      <c r="H1968" s="564">
        <v>1305.6400000000001</v>
      </c>
      <c r="I1968" s="564">
        <v>89</v>
      </c>
      <c r="J1968" s="564">
        <v>45</v>
      </c>
      <c r="K1968" s="564">
        <v>31</v>
      </c>
      <c r="L1968" s="564">
        <v>4</v>
      </c>
      <c r="M1968" s="561" t="s">
        <v>312</v>
      </c>
      <c r="N1968" s="520"/>
      <c r="O1968" s="564"/>
      <c r="P1968" s="564" t="s">
        <v>2636</v>
      </c>
      <c r="Q1968" s="564"/>
      <c r="R1968" s="564">
        <v>1</v>
      </c>
    </row>
    <row r="1969" spans="1:18" ht="15" customHeight="1" x14ac:dyDescent="0.25">
      <c r="A1969" s="564">
        <v>20</v>
      </c>
      <c r="B1969" s="564">
        <v>2</v>
      </c>
      <c r="C1969" s="564">
        <v>2</v>
      </c>
      <c r="D1969" s="564">
        <v>1</v>
      </c>
      <c r="E1969" s="564">
        <v>1</v>
      </c>
      <c r="F1969" s="564">
        <v>2</v>
      </c>
      <c r="G1969" s="564" t="s">
        <v>491</v>
      </c>
      <c r="H1969" s="564">
        <v>1320.19</v>
      </c>
      <c r="I1969" s="564">
        <v>89</v>
      </c>
      <c r="J1969" s="564">
        <v>39</v>
      </c>
      <c r="K1969" s="564">
        <v>1</v>
      </c>
      <c r="L1969" s="564">
        <v>4</v>
      </c>
      <c r="M1969" s="561" t="s">
        <v>312</v>
      </c>
      <c r="N1969" s="520"/>
      <c r="O1969" s="564"/>
      <c r="P1969" s="564" t="s">
        <v>2637</v>
      </c>
      <c r="Q1969" s="564"/>
      <c r="R1969" s="564">
        <v>1</v>
      </c>
    </row>
    <row r="1970" spans="1:18" ht="15" customHeight="1" x14ac:dyDescent="0.25">
      <c r="A1970" s="564">
        <v>20</v>
      </c>
      <c r="B1970" s="564">
        <v>2</v>
      </c>
      <c r="C1970" s="564">
        <v>2</v>
      </c>
      <c r="D1970" s="564">
        <v>1</v>
      </c>
      <c r="E1970" s="564">
        <v>1</v>
      </c>
      <c r="F1970" s="564">
        <v>2</v>
      </c>
      <c r="G1970" s="564" t="s">
        <v>494</v>
      </c>
      <c r="H1970" s="564">
        <v>1320.19</v>
      </c>
      <c r="I1970" s="564">
        <v>89</v>
      </c>
      <c r="J1970" s="564">
        <v>39</v>
      </c>
      <c r="K1970" s="564">
        <v>1</v>
      </c>
      <c r="L1970" s="564">
        <v>4</v>
      </c>
      <c r="M1970" s="561" t="s">
        <v>312</v>
      </c>
      <c r="N1970" s="520"/>
      <c r="O1970" s="564"/>
      <c r="P1970" s="564" t="s">
        <v>2638</v>
      </c>
      <c r="Q1970" s="564"/>
      <c r="R1970" s="564">
        <v>1</v>
      </c>
    </row>
    <row r="1971" spans="1:18" ht="15" customHeight="1" x14ac:dyDescent="0.25">
      <c r="A1971" s="553">
        <v>21</v>
      </c>
      <c r="B1971" s="553">
        <v>7</v>
      </c>
      <c r="C1971" s="553">
        <v>2</v>
      </c>
      <c r="D1971" s="553">
        <v>20</v>
      </c>
      <c r="E1971" s="553">
        <v>1</v>
      </c>
      <c r="F1971" s="553">
        <v>1</v>
      </c>
      <c r="G1971" s="553" t="s">
        <v>473</v>
      </c>
      <c r="H1971" s="553">
        <v>1346.08</v>
      </c>
      <c r="I1971" s="553">
        <v>1</v>
      </c>
      <c r="J1971" s="553">
        <v>57</v>
      </c>
      <c r="K1971" s="553">
        <v>57</v>
      </c>
      <c r="L1971" s="553">
        <v>4</v>
      </c>
      <c r="M1971" s="505" t="s">
        <v>312</v>
      </c>
      <c r="N1971" s="500">
        <v>43047562190000</v>
      </c>
      <c r="O1971" s="553" t="s">
        <v>2016</v>
      </c>
      <c r="P1971" s="650" t="s">
        <v>2639</v>
      </c>
      <c r="Q1971" s="564" t="s">
        <v>583</v>
      </c>
      <c r="R1971" s="564">
        <v>2</v>
      </c>
    </row>
    <row r="1972" spans="1:18" ht="15" customHeight="1" x14ac:dyDescent="0.25">
      <c r="A1972" s="553">
        <v>21</v>
      </c>
      <c r="B1972" s="553">
        <v>7</v>
      </c>
      <c r="C1972" s="553">
        <v>2</v>
      </c>
      <c r="D1972" s="553">
        <v>20</v>
      </c>
      <c r="E1972" s="553">
        <v>1</v>
      </c>
      <c r="F1972" s="553">
        <v>1</v>
      </c>
      <c r="G1972" s="502" t="s">
        <v>476</v>
      </c>
      <c r="H1972" s="553">
        <v>1346.08</v>
      </c>
      <c r="I1972" s="553">
        <v>1</v>
      </c>
      <c r="J1972" s="553">
        <v>57</v>
      </c>
      <c r="K1972" s="553">
        <v>57</v>
      </c>
      <c r="L1972" s="553">
        <v>4</v>
      </c>
      <c r="M1972" s="505" t="s">
        <v>312</v>
      </c>
      <c r="N1972" s="500">
        <v>43047562190000</v>
      </c>
      <c r="O1972" s="553" t="s">
        <v>2016</v>
      </c>
      <c r="P1972" s="650" t="s">
        <v>2640</v>
      </c>
      <c r="Q1972" s="564" t="s">
        <v>583</v>
      </c>
      <c r="R1972" s="564">
        <v>2</v>
      </c>
    </row>
    <row r="1973" spans="1:18" ht="15" customHeight="1" x14ac:dyDescent="0.25">
      <c r="A1973" s="553">
        <v>21</v>
      </c>
      <c r="B1973" s="553">
        <v>7</v>
      </c>
      <c r="C1973" s="553">
        <v>2</v>
      </c>
      <c r="D1973" s="553">
        <v>20</v>
      </c>
      <c r="E1973" s="553">
        <v>1</v>
      </c>
      <c r="F1973" s="553">
        <v>1</v>
      </c>
      <c r="G1973" s="553" t="s">
        <v>478</v>
      </c>
      <c r="H1973" s="553">
        <v>1346.74</v>
      </c>
      <c r="I1973" s="553">
        <v>2</v>
      </c>
      <c r="J1973" s="553">
        <v>24</v>
      </c>
      <c r="K1973" s="553">
        <v>57</v>
      </c>
      <c r="L1973" s="553">
        <v>4</v>
      </c>
      <c r="M1973" s="505" t="s">
        <v>312</v>
      </c>
      <c r="N1973" s="500">
        <v>43047562190000</v>
      </c>
      <c r="O1973" s="553" t="s">
        <v>2016</v>
      </c>
      <c r="P1973" s="650" t="s">
        <v>2641</v>
      </c>
      <c r="Q1973" s="564" t="s">
        <v>583</v>
      </c>
      <c r="R1973" s="564">
        <v>2</v>
      </c>
    </row>
    <row r="1974" spans="1:18" ht="15" customHeight="1" x14ac:dyDescent="0.25">
      <c r="A1974" s="553">
        <v>21</v>
      </c>
      <c r="B1974" s="553">
        <v>7</v>
      </c>
      <c r="C1974" s="553">
        <v>2</v>
      </c>
      <c r="D1974" s="553">
        <v>20</v>
      </c>
      <c r="E1974" s="553">
        <v>1</v>
      </c>
      <c r="F1974" s="553">
        <v>1</v>
      </c>
      <c r="G1974" s="553" t="s">
        <v>484</v>
      </c>
      <c r="H1974" s="553">
        <v>1346.74</v>
      </c>
      <c r="I1974" s="553">
        <v>2</v>
      </c>
      <c r="J1974" s="553">
        <v>24</v>
      </c>
      <c r="K1974" s="553">
        <v>57</v>
      </c>
      <c r="L1974" s="553">
        <v>4</v>
      </c>
      <c r="M1974" s="505" t="s">
        <v>312</v>
      </c>
      <c r="N1974" s="500">
        <v>43047562190000</v>
      </c>
      <c r="O1974" s="553" t="s">
        <v>2016</v>
      </c>
      <c r="P1974" s="650" t="s">
        <v>2642</v>
      </c>
      <c r="Q1974" s="564" t="s">
        <v>583</v>
      </c>
      <c r="R1974" s="564">
        <v>2</v>
      </c>
    </row>
    <row r="1975" spans="1:18" ht="15" customHeight="1" x14ac:dyDescent="0.25">
      <c r="A1975" s="553">
        <v>21</v>
      </c>
      <c r="B1975" s="553">
        <v>7</v>
      </c>
      <c r="C1975" s="553">
        <v>2</v>
      </c>
      <c r="D1975" s="553">
        <v>20</v>
      </c>
      <c r="E1975" s="553">
        <v>1</v>
      </c>
      <c r="F1975" s="553">
        <v>1</v>
      </c>
      <c r="G1975" s="553" t="s">
        <v>486</v>
      </c>
      <c r="H1975" s="553">
        <v>1341.665</v>
      </c>
      <c r="I1975" s="553">
        <v>1</v>
      </c>
      <c r="J1975" s="553">
        <v>50</v>
      </c>
      <c r="K1975" s="553">
        <v>19</v>
      </c>
      <c r="L1975" s="553">
        <v>4</v>
      </c>
      <c r="M1975" s="505" t="s">
        <v>312</v>
      </c>
      <c r="N1975" s="500">
        <v>43047562190000</v>
      </c>
      <c r="O1975" s="553" t="s">
        <v>2016</v>
      </c>
      <c r="P1975" s="650" t="s">
        <v>2643</v>
      </c>
      <c r="Q1975" s="564" t="s">
        <v>583</v>
      </c>
      <c r="R1975" s="564">
        <v>2</v>
      </c>
    </row>
    <row r="1976" spans="1:18" ht="15" customHeight="1" x14ac:dyDescent="0.25">
      <c r="A1976" s="553">
        <v>21</v>
      </c>
      <c r="B1976" s="553">
        <v>7</v>
      </c>
      <c r="C1976" s="553">
        <v>2</v>
      </c>
      <c r="D1976" s="553">
        <v>20</v>
      </c>
      <c r="E1976" s="553">
        <v>1</v>
      </c>
      <c r="F1976" s="553">
        <v>1</v>
      </c>
      <c r="G1976" s="502" t="s">
        <v>488</v>
      </c>
      <c r="H1976" s="553">
        <v>1341.665</v>
      </c>
      <c r="I1976" s="553">
        <v>1</v>
      </c>
      <c r="J1976" s="553">
        <v>50</v>
      </c>
      <c r="K1976" s="553">
        <v>19</v>
      </c>
      <c r="L1976" s="553">
        <v>4</v>
      </c>
      <c r="M1976" s="505" t="s">
        <v>312</v>
      </c>
      <c r="N1976" s="500">
        <v>43047562190000</v>
      </c>
      <c r="O1976" s="553" t="s">
        <v>2016</v>
      </c>
      <c r="P1976" s="650" t="s">
        <v>2644</v>
      </c>
      <c r="Q1976" s="564" t="s">
        <v>583</v>
      </c>
      <c r="R1976" s="564">
        <v>2</v>
      </c>
    </row>
    <row r="1977" spans="1:18" ht="15" customHeight="1" x14ac:dyDescent="0.25">
      <c r="A1977" s="553">
        <v>21</v>
      </c>
      <c r="B1977" s="553">
        <v>7</v>
      </c>
      <c r="C1977" s="553">
        <v>2</v>
      </c>
      <c r="D1977" s="553">
        <v>20</v>
      </c>
      <c r="E1977" s="553">
        <v>1</v>
      </c>
      <c r="F1977" s="553">
        <v>1</v>
      </c>
      <c r="G1977" s="553" t="s">
        <v>490</v>
      </c>
      <c r="H1977" s="553">
        <v>1339.675</v>
      </c>
      <c r="I1977" s="553">
        <v>1</v>
      </c>
      <c r="J1977" s="553">
        <v>49</v>
      </c>
      <c r="K1977" s="553">
        <v>58</v>
      </c>
      <c r="L1977" s="553">
        <v>4</v>
      </c>
      <c r="M1977" s="505" t="s">
        <v>312</v>
      </c>
      <c r="N1977" s="500">
        <v>43047562190000</v>
      </c>
      <c r="O1977" s="553" t="s">
        <v>2016</v>
      </c>
      <c r="P1977" s="650" t="s">
        <v>2645</v>
      </c>
      <c r="Q1977" s="564" t="s">
        <v>583</v>
      </c>
      <c r="R1977" s="564">
        <v>2</v>
      </c>
    </row>
    <row r="1978" spans="1:18" ht="15" customHeight="1" x14ac:dyDescent="0.25">
      <c r="A1978" s="553">
        <v>21</v>
      </c>
      <c r="B1978" s="553">
        <v>7</v>
      </c>
      <c r="C1978" s="553">
        <v>2</v>
      </c>
      <c r="D1978" s="553">
        <v>20</v>
      </c>
      <c r="E1978" s="553">
        <v>1</v>
      </c>
      <c r="F1978" s="553">
        <v>1</v>
      </c>
      <c r="G1978" s="553" t="s">
        <v>493</v>
      </c>
      <c r="H1978" s="553">
        <v>1339.675</v>
      </c>
      <c r="I1978" s="553">
        <v>1</v>
      </c>
      <c r="J1978" s="553">
        <v>49</v>
      </c>
      <c r="K1978" s="553">
        <v>58</v>
      </c>
      <c r="L1978" s="553">
        <v>4</v>
      </c>
      <c r="M1978" s="505" t="s">
        <v>312</v>
      </c>
      <c r="N1978" s="500">
        <v>43047562190000</v>
      </c>
      <c r="O1978" s="553" t="s">
        <v>2016</v>
      </c>
      <c r="P1978" s="650" t="s">
        <v>2646</v>
      </c>
      <c r="Q1978" s="564" t="s">
        <v>2647</v>
      </c>
      <c r="R1978" s="564">
        <v>2</v>
      </c>
    </row>
    <row r="1979" spans="1:18" ht="15" customHeight="1" x14ac:dyDescent="0.25">
      <c r="A1979" s="553">
        <v>21</v>
      </c>
      <c r="B1979" s="553">
        <v>7</v>
      </c>
      <c r="C1979" s="553">
        <v>2</v>
      </c>
      <c r="D1979" s="553">
        <v>20</v>
      </c>
      <c r="E1979" s="553">
        <v>1</v>
      </c>
      <c r="F1979" s="553">
        <v>1</v>
      </c>
      <c r="G1979" s="553" t="s">
        <v>474</v>
      </c>
      <c r="H1979" s="553">
        <v>1334.5050000000001</v>
      </c>
      <c r="I1979" s="553">
        <v>88</v>
      </c>
      <c r="J1979" s="553">
        <v>4</v>
      </c>
      <c r="K1979" s="553">
        <v>28</v>
      </c>
      <c r="L1979" s="553">
        <v>3</v>
      </c>
      <c r="M1979" s="505" t="s">
        <v>312</v>
      </c>
      <c r="N1979" s="500">
        <v>43047562190000</v>
      </c>
      <c r="O1979" s="553" t="s">
        <v>2016</v>
      </c>
      <c r="P1979" s="650" t="s">
        <v>2648</v>
      </c>
      <c r="Q1979" s="564"/>
      <c r="R1979" s="564">
        <v>2</v>
      </c>
    </row>
    <row r="1980" spans="1:18" ht="15" customHeight="1" x14ac:dyDescent="0.25">
      <c r="A1980" s="553">
        <v>21</v>
      </c>
      <c r="B1980" s="553">
        <v>7</v>
      </c>
      <c r="C1980" s="553">
        <v>2</v>
      </c>
      <c r="D1980" s="553">
        <v>20</v>
      </c>
      <c r="E1980" s="553">
        <v>1</v>
      </c>
      <c r="F1980" s="553">
        <v>1</v>
      </c>
      <c r="G1980" s="502" t="s">
        <v>477</v>
      </c>
      <c r="H1980" s="553">
        <v>1334.5050000000001</v>
      </c>
      <c r="I1980" s="553">
        <v>88</v>
      </c>
      <c r="J1980" s="553">
        <v>4</v>
      </c>
      <c r="K1980" s="553">
        <v>28</v>
      </c>
      <c r="L1980" s="553">
        <v>3</v>
      </c>
      <c r="M1980" s="505" t="s">
        <v>312</v>
      </c>
      <c r="N1980" s="500">
        <v>43047562190000</v>
      </c>
      <c r="O1980" s="553" t="s">
        <v>2016</v>
      </c>
      <c r="P1980" s="650" t="s">
        <v>2649</v>
      </c>
      <c r="Q1980" s="564"/>
      <c r="R1980" s="564">
        <v>2</v>
      </c>
    </row>
    <row r="1981" spans="1:18" ht="15" customHeight="1" x14ac:dyDescent="0.25">
      <c r="A1981" s="553">
        <v>21</v>
      </c>
      <c r="B1981" s="553">
        <v>7</v>
      </c>
      <c r="C1981" s="553">
        <v>2</v>
      </c>
      <c r="D1981" s="553">
        <v>20</v>
      </c>
      <c r="E1981" s="553">
        <v>1</v>
      </c>
      <c r="F1981" s="553">
        <v>1</v>
      </c>
      <c r="G1981" s="553" t="s">
        <v>479</v>
      </c>
      <c r="H1981" s="553">
        <v>1333.1849999999999</v>
      </c>
      <c r="I1981" s="553">
        <v>88</v>
      </c>
      <c r="J1981" s="553">
        <v>2</v>
      </c>
      <c r="K1981" s="553">
        <v>28</v>
      </c>
      <c r="L1981" s="553">
        <v>3</v>
      </c>
      <c r="M1981" s="505" t="s">
        <v>312</v>
      </c>
      <c r="N1981" s="500">
        <v>43047562190000</v>
      </c>
      <c r="O1981" s="553" t="s">
        <v>2016</v>
      </c>
      <c r="P1981" s="650" t="s">
        <v>2650</v>
      </c>
      <c r="Q1981" s="564"/>
      <c r="R1981" s="564">
        <v>2</v>
      </c>
    </row>
    <row r="1982" spans="1:18" ht="15" customHeight="1" x14ac:dyDescent="0.25">
      <c r="A1982" s="553">
        <v>21</v>
      </c>
      <c r="B1982" s="553">
        <v>7</v>
      </c>
      <c r="C1982" s="553">
        <v>2</v>
      </c>
      <c r="D1982" s="553">
        <v>20</v>
      </c>
      <c r="E1982" s="553">
        <v>1</v>
      </c>
      <c r="F1982" s="553">
        <v>1</v>
      </c>
      <c r="G1982" s="553" t="s">
        <v>485</v>
      </c>
      <c r="H1982" s="553">
        <v>1333.1849999999999</v>
      </c>
      <c r="I1982" s="553">
        <v>88</v>
      </c>
      <c r="J1982" s="553">
        <v>2</v>
      </c>
      <c r="K1982" s="553">
        <v>28</v>
      </c>
      <c r="L1982" s="553">
        <v>3</v>
      </c>
      <c r="M1982" s="505" t="s">
        <v>312</v>
      </c>
      <c r="N1982" s="500">
        <v>43047562190000</v>
      </c>
      <c r="O1982" s="553" t="s">
        <v>2016</v>
      </c>
      <c r="P1982" s="650" t="s">
        <v>2651</v>
      </c>
      <c r="Q1982" s="564"/>
      <c r="R1982" s="564">
        <v>2</v>
      </c>
    </row>
    <row r="1983" spans="1:18" ht="15" customHeight="1" x14ac:dyDescent="0.25">
      <c r="A1983" s="553">
        <v>21</v>
      </c>
      <c r="B1983" s="553">
        <v>7</v>
      </c>
      <c r="C1983" s="553">
        <v>2</v>
      </c>
      <c r="D1983" s="553">
        <v>20</v>
      </c>
      <c r="E1983" s="553">
        <v>1</v>
      </c>
      <c r="F1983" s="553">
        <v>1</v>
      </c>
      <c r="G1983" s="553" t="s">
        <v>487</v>
      </c>
      <c r="H1983" s="553">
        <v>1326.19</v>
      </c>
      <c r="I1983" s="553">
        <v>87</v>
      </c>
      <c r="J1983" s="553">
        <v>51</v>
      </c>
      <c r="K1983" s="553">
        <v>38</v>
      </c>
      <c r="L1983" s="553">
        <v>3</v>
      </c>
      <c r="M1983" s="505" t="s">
        <v>312</v>
      </c>
      <c r="N1983" s="500">
        <v>43047562190000</v>
      </c>
      <c r="O1983" s="553" t="s">
        <v>2016</v>
      </c>
      <c r="P1983" s="650" t="s">
        <v>2652</v>
      </c>
      <c r="Q1983" s="564"/>
      <c r="R1983" s="564">
        <v>2</v>
      </c>
    </row>
    <row r="1984" spans="1:18" ht="15" customHeight="1" x14ac:dyDescent="0.25">
      <c r="A1984" s="553">
        <v>21</v>
      </c>
      <c r="B1984" s="553">
        <v>7</v>
      </c>
      <c r="C1984" s="553">
        <v>2</v>
      </c>
      <c r="D1984" s="553">
        <v>20</v>
      </c>
      <c r="E1984" s="553">
        <v>1</v>
      </c>
      <c r="F1984" s="553">
        <v>1</v>
      </c>
      <c r="G1984" s="502" t="s">
        <v>489</v>
      </c>
      <c r="H1984" s="553">
        <v>1326.19</v>
      </c>
      <c r="I1984" s="553">
        <v>87</v>
      </c>
      <c r="J1984" s="553">
        <v>51</v>
      </c>
      <c r="K1984" s="553">
        <v>38</v>
      </c>
      <c r="L1984" s="553">
        <v>3</v>
      </c>
      <c r="M1984" s="505" t="s">
        <v>312</v>
      </c>
      <c r="N1984" s="500">
        <v>43047562190000</v>
      </c>
      <c r="O1984" s="553" t="s">
        <v>2016</v>
      </c>
      <c r="P1984" s="650" t="s">
        <v>2653</v>
      </c>
      <c r="Q1984" s="564"/>
      <c r="R1984" s="564">
        <v>2</v>
      </c>
    </row>
    <row r="1985" spans="1:18" ht="15" customHeight="1" x14ac:dyDescent="0.25">
      <c r="A1985" s="553">
        <v>21</v>
      </c>
      <c r="B1985" s="553">
        <v>7</v>
      </c>
      <c r="C1985" s="553">
        <v>2</v>
      </c>
      <c r="D1985" s="553">
        <v>20</v>
      </c>
      <c r="E1985" s="553">
        <v>1</v>
      </c>
      <c r="F1985" s="553">
        <v>1</v>
      </c>
      <c r="G1985" s="553" t="s">
        <v>491</v>
      </c>
      <c r="H1985" s="553">
        <v>1324.87</v>
      </c>
      <c r="I1985" s="553">
        <v>87</v>
      </c>
      <c r="J1985" s="553">
        <v>45</v>
      </c>
      <c r="K1985" s="553">
        <v>38</v>
      </c>
      <c r="L1985" s="553">
        <v>3</v>
      </c>
      <c r="M1985" s="505" t="s">
        <v>312</v>
      </c>
      <c r="N1985" s="500">
        <v>43047562190000</v>
      </c>
      <c r="O1985" s="553" t="s">
        <v>2016</v>
      </c>
      <c r="P1985" s="650" t="s">
        <v>2654</v>
      </c>
      <c r="Q1985" s="564"/>
      <c r="R1985" s="564">
        <v>2</v>
      </c>
    </row>
    <row r="1986" spans="1:18" ht="15" customHeight="1" x14ac:dyDescent="0.25">
      <c r="A1986" s="553">
        <v>21</v>
      </c>
      <c r="B1986" s="553">
        <v>7</v>
      </c>
      <c r="C1986" s="553">
        <v>2</v>
      </c>
      <c r="D1986" s="553">
        <v>20</v>
      </c>
      <c r="E1986" s="553">
        <v>1</v>
      </c>
      <c r="F1986" s="553">
        <v>1</v>
      </c>
      <c r="G1986" s="553" t="s">
        <v>494</v>
      </c>
      <c r="H1986" s="553">
        <v>1324.87</v>
      </c>
      <c r="I1986" s="553">
        <v>87</v>
      </c>
      <c r="J1986" s="553">
        <v>45</v>
      </c>
      <c r="K1986" s="553">
        <v>38</v>
      </c>
      <c r="L1986" s="553">
        <v>3</v>
      </c>
      <c r="M1986" s="505" t="s">
        <v>312</v>
      </c>
      <c r="N1986" s="500">
        <v>43047562190000</v>
      </c>
      <c r="O1986" s="553" t="s">
        <v>2016</v>
      </c>
      <c r="P1986" s="650" t="s">
        <v>2655</v>
      </c>
      <c r="Q1986" s="564"/>
      <c r="R1986" s="564">
        <v>2</v>
      </c>
    </row>
    <row r="1987" spans="1:18" ht="15" customHeight="1" x14ac:dyDescent="0.25">
      <c r="A1987" s="553">
        <v>21</v>
      </c>
      <c r="B1987" s="553">
        <v>7</v>
      </c>
      <c r="C1987" s="553">
        <v>2</v>
      </c>
      <c r="D1987" s="553">
        <v>21</v>
      </c>
      <c r="E1987" s="553">
        <v>1</v>
      </c>
      <c r="F1987" s="553">
        <v>1</v>
      </c>
      <c r="G1987" s="553" t="s">
        <v>473</v>
      </c>
      <c r="H1987" s="553">
        <v>1345.35</v>
      </c>
      <c r="I1987" s="553">
        <v>1</v>
      </c>
      <c r="J1987" s="553">
        <v>27</v>
      </c>
      <c r="K1987" s="553">
        <v>56</v>
      </c>
      <c r="L1987" s="553">
        <v>4</v>
      </c>
      <c r="M1987" s="505" t="s">
        <v>312</v>
      </c>
      <c r="N1987" s="500">
        <v>43047562440000</v>
      </c>
      <c r="O1987" s="553" t="s">
        <v>2656</v>
      </c>
      <c r="P1987" s="650" t="s">
        <v>2657</v>
      </c>
      <c r="Q1987" s="564"/>
      <c r="R1987" s="564">
        <v>1</v>
      </c>
    </row>
    <row r="1988" spans="1:18" ht="15" customHeight="1" x14ac:dyDescent="0.25">
      <c r="A1988" s="553">
        <v>21</v>
      </c>
      <c r="B1988" s="553">
        <v>7</v>
      </c>
      <c r="C1988" s="553">
        <v>2</v>
      </c>
      <c r="D1988" s="553">
        <v>21</v>
      </c>
      <c r="E1988" s="553">
        <v>1</v>
      </c>
      <c r="F1988" s="553">
        <v>1</v>
      </c>
      <c r="G1988" s="502" t="s">
        <v>476</v>
      </c>
      <c r="H1988" s="553">
        <v>1345.12</v>
      </c>
      <c r="I1988" s="553">
        <v>1</v>
      </c>
      <c r="J1988" s="553">
        <v>28</v>
      </c>
      <c r="K1988" s="553">
        <v>7</v>
      </c>
      <c r="L1988" s="553">
        <v>4</v>
      </c>
      <c r="M1988" s="505" t="s">
        <v>312</v>
      </c>
      <c r="N1988" s="500">
        <v>43047562440000</v>
      </c>
      <c r="O1988" s="553" t="s">
        <v>2656</v>
      </c>
      <c r="P1988" s="650" t="s">
        <v>2658</v>
      </c>
      <c r="Q1988" s="564"/>
      <c r="R1988" s="564">
        <v>1</v>
      </c>
    </row>
    <row r="1989" spans="1:18" ht="15" customHeight="1" x14ac:dyDescent="0.25">
      <c r="A1989" s="553">
        <v>21</v>
      </c>
      <c r="B1989" s="553">
        <v>7</v>
      </c>
      <c r="C1989" s="553">
        <v>2</v>
      </c>
      <c r="D1989" s="553">
        <v>21</v>
      </c>
      <c r="E1989" s="553">
        <v>1</v>
      </c>
      <c r="F1989" s="553">
        <v>1</v>
      </c>
      <c r="G1989" s="553" t="s">
        <v>478</v>
      </c>
      <c r="H1989" s="553">
        <v>1337.48</v>
      </c>
      <c r="I1989" s="553">
        <v>1</v>
      </c>
      <c r="J1989" s="553">
        <v>29</v>
      </c>
      <c r="K1989" s="553">
        <v>37</v>
      </c>
      <c r="L1989" s="553">
        <v>4</v>
      </c>
      <c r="M1989" s="505" t="s">
        <v>312</v>
      </c>
      <c r="N1989" s="500">
        <v>43047562440000</v>
      </c>
      <c r="O1989" s="553" t="s">
        <v>2656</v>
      </c>
      <c r="P1989" s="650" t="s">
        <v>2659</v>
      </c>
      <c r="Q1989" s="564"/>
      <c r="R1989" s="564">
        <v>1</v>
      </c>
    </row>
    <row r="1990" spans="1:18" ht="15" customHeight="1" x14ac:dyDescent="0.25">
      <c r="A1990" s="553">
        <v>21</v>
      </c>
      <c r="B1990" s="553">
        <v>7</v>
      </c>
      <c r="C1990" s="553">
        <v>2</v>
      </c>
      <c r="D1990" s="553">
        <v>21</v>
      </c>
      <c r="E1990" s="553">
        <v>1</v>
      </c>
      <c r="F1990" s="553">
        <v>1</v>
      </c>
      <c r="G1990" s="553" t="s">
        <v>484</v>
      </c>
      <c r="H1990" s="553">
        <v>1337.48</v>
      </c>
      <c r="I1990" s="553">
        <v>1</v>
      </c>
      <c r="J1990" s="553">
        <v>29</v>
      </c>
      <c r="K1990" s="553">
        <v>37</v>
      </c>
      <c r="L1990" s="553">
        <v>4</v>
      </c>
      <c r="M1990" s="505" t="s">
        <v>312</v>
      </c>
      <c r="N1990" s="500">
        <v>43047562440000</v>
      </c>
      <c r="O1990" s="553" t="s">
        <v>2656</v>
      </c>
      <c r="P1990" s="650" t="s">
        <v>2660</v>
      </c>
      <c r="Q1990" s="564"/>
      <c r="R1990" s="564">
        <v>1</v>
      </c>
    </row>
    <row r="1991" spans="1:18" ht="15" customHeight="1" x14ac:dyDescent="0.25">
      <c r="A1991" s="553">
        <v>21</v>
      </c>
      <c r="B1991" s="553">
        <v>7</v>
      </c>
      <c r="C1991" s="553">
        <v>2</v>
      </c>
      <c r="D1991" s="553">
        <v>21</v>
      </c>
      <c r="E1991" s="553">
        <v>1</v>
      </c>
      <c r="F1991" s="553">
        <v>1</v>
      </c>
      <c r="G1991" s="553" t="s">
        <v>486</v>
      </c>
      <c r="H1991" s="553">
        <v>1339.615</v>
      </c>
      <c r="I1991" s="553">
        <v>1</v>
      </c>
      <c r="J1991" s="553">
        <v>26</v>
      </c>
      <c r="K1991" s="553">
        <v>0</v>
      </c>
      <c r="L1991" s="553">
        <v>4</v>
      </c>
      <c r="M1991" s="505" t="s">
        <v>312</v>
      </c>
      <c r="N1991" s="500">
        <v>43047562440000</v>
      </c>
      <c r="O1991" s="553" t="s">
        <v>2656</v>
      </c>
      <c r="P1991" s="650" t="s">
        <v>2661</v>
      </c>
      <c r="Q1991" s="564"/>
      <c r="R1991" s="564">
        <v>1</v>
      </c>
    </row>
    <row r="1992" spans="1:18" ht="15" customHeight="1" x14ac:dyDescent="0.25">
      <c r="A1992" s="553">
        <v>21</v>
      </c>
      <c r="B1992" s="553">
        <v>7</v>
      </c>
      <c r="C1992" s="553">
        <v>2</v>
      </c>
      <c r="D1992" s="553">
        <v>21</v>
      </c>
      <c r="E1992" s="553">
        <v>1</v>
      </c>
      <c r="F1992" s="553">
        <v>1</v>
      </c>
      <c r="G1992" s="502" t="s">
        <v>488</v>
      </c>
      <c r="H1992" s="553">
        <v>1339.615</v>
      </c>
      <c r="I1992" s="553">
        <v>1</v>
      </c>
      <c r="J1992" s="553">
        <v>26</v>
      </c>
      <c r="K1992" s="553">
        <v>0</v>
      </c>
      <c r="L1992" s="553">
        <v>4</v>
      </c>
      <c r="M1992" s="505" t="s">
        <v>312</v>
      </c>
      <c r="N1992" s="500">
        <v>43047562440000</v>
      </c>
      <c r="O1992" s="553" t="s">
        <v>2656</v>
      </c>
      <c r="P1992" s="650" t="s">
        <v>2662</v>
      </c>
      <c r="Q1992" s="564"/>
      <c r="R1992" s="564">
        <v>1</v>
      </c>
    </row>
    <row r="1993" spans="1:18" ht="15" customHeight="1" x14ac:dyDescent="0.25">
      <c r="A1993" s="553">
        <v>21</v>
      </c>
      <c r="B1993" s="553">
        <v>7</v>
      </c>
      <c r="C1993" s="553">
        <v>2</v>
      </c>
      <c r="D1993" s="553">
        <v>21</v>
      </c>
      <c r="E1993" s="553">
        <v>1</v>
      </c>
      <c r="F1993" s="553">
        <v>1</v>
      </c>
      <c r="G1993" s="553" t="s">
        <v>490</v>
      </c>
      <c r="H1993" s="553">
        <v>1322.355</v>
      </c>
      <c r="I1993" s="553">
        <v>1</v>
      </c>
      <c r="J1993" s="553">
        <v>57</v>
      </c>
      <c r="K1993" s="553">
        <v>58</v>
      </c>
      <c r="L1993" s="553">
        <v>4</v>
      </c>
      <c r="M1993" s="505" t="s">
        <v>312</v>
      </c>
      <c r="N1993" s="500">
        <v>43047562440000</v>
      </c>
      <c r="O1993" s="553" t="s">
        <v>2656</v>
      </c>
      <c r="P1993" s="650" t="s">
        <v>2663</v>
      </c>
      <c r="Q1993" s="564"/>
      <c r="R1993" s="564">
        <v>1</v>
      </c>
    </row>
    <row r="1994" spans="1:18" ht="15" customHeight="1" x14ac:dyDescent="0.25">
      <c r="A1994" s="553">
        <v>21</v>
      </c>
      <c r="B1994" s="553">
        <v>7</v>
      </c>
      <c r="C1994" s="553">
        <v>2</v>
      </c>
      <c r="D1994" s="553">
        <v>21</v>
      </c>
      <c r="E1994" s="553">
        <v>1</v>
      </c>
      <c r="F1994" s="553">
        <v>1</v>
      </c>
      <c r="G1994" s="553" t="s">
        <v>493</v>
      </c>
      <c r="H1994" s="553">
        <v>1322.355</v>
      </c>
      <c r="I1994" s="553">
        <v>1</v>
      </c>
      <c r="J1994" s="553">
        <v>57</v>
      </c>
      <c r="K1994" s="553">
        <v>58</v>
      </c>
      <c r="L1994" s="553">
        <v>4</v>
      </c>
      <c r="M1994" s="505" t="s">
        <v>312</v>
      </c>
      <c r="N1994" s="500">
        <v>43047562440000</v>
      </c>
      <c r="O1994" s="553" t="s">
        <v>2656</v>
      </c>
      <c r="P1994" s="650" t="s">
        <v>2664</v>
      </c>
      <c r="Q1994" s="564"/>
      <c r="R1994" s="564">
        <v>1</v>
      </c>
    </row>
    <row r="1995" spans="1:18" ht="15" customHeight="1" x14ac:dyDescent="0.25">
      <c r="A1995" s="553">
        <v>21</v>
      </c>
      <c r="B1995" s="553">
        <v>7</v>
      </c>
      <c r="C1995" s="553">
        <v>2</v>
      </c>
      <c r="D1995" s="553">
        <v>21</v>
      </c>
      <c r="E1995" s="553">
        <v>1</v>
      </c>
      <c r="F1995" s="553">
        <v>1</v>
      </c>
      <c r="G1995" s="553" t="s">
        <v>474</v>
      </c>
      <c r="H1995" s="501">
        <v>1308.866666666667</v>
      </c>
      <c r="I1995" s="553">
        <v>89</v>
      </c>
      <c r="J1995" s="553">
        <v>56</v>
      </c>
      <c r="K1995" s="553">
        <v>28</v>
      </c>
      <c r="L1995" s="553">
        <v>4</v>
      </c>
      <c r="M1995" s="505" t="s">
        <v>312</v>
      </c>
      <c r="N1995" s="500">
        <v>43047562440000</v>
      </c>
      <c r="O1995" s="553" t="s">
        <v>2656</v>
      </c>
      <c r="P1995" s="650" t="s">
        <v>2665</v>
      </c>
      <c r="Q1995" s="564"/>
      <c r="R1995" s="564">
        <v>1</v>
      </c>
    </row>
    <row r="1996" spans="1:18" ht="15" customHeight="1" x14ac:dyDescent="0.25">
      <c r="A1996" s="553">
        <v>21</v>
      </c>
      <c r="B1996" s="553">
        <v>7</v>
      </c>
      <c r="C1996" s="553">
        <v>2</v>
      </c>
      <c r="D1996" s="553">
        <v>21</v>
      </c>
      <c r="E1996" s="553">
        <v>1</v>
      </c>
      <c r="F1996" s="553">
        <v>1</v>
      </c>
      <c r="G1996" s="502" t="s">
        <v>477</v>
      </c>
      <c r="H1996" s="501">
        <v>1308.866666666667</v>
      </c>
      <c r="I1996" s="553">
        <v>89</v>
      </c>
      <c r="J1996" s="553">
        <v>56</v>
      </c>
      <c r="K1996" s="553">
        <v>28</v>
      </c>
      <c r="L1996" s="553">
        <v>4</v>
      </c>
      <c r="M1996" s="505" t="s">
        <v>312</v>
      </c>
      <c r="N1996" s="500">
        <v>43047562440000</v>
      </c>
      <c r="O1996" s="553" t="s">
        <v>2656</v>
      </c>
      <c r="P1996" s="650" t="s">
        <v>2666</v>
      </c>
      <c r="Q1996" s="564"/>
      <c r="R1996" s="564">
        <v>1</v>
      </c>
    </row>
    <row r="1997" spans="1:18" ht="15" customHeight="1" x14ac:dyDescent="0.25">
      <c r="A1997" s="553">
        <v>21</v>
      </c>
      <c r="B1997" s="553">
        <v>7</v>
      </c>
      <c r="C1997" s="553">
        <v>2</v>
      </c>
      <c r="D1997" s="553">
        <v>21</v>
      </c>
      <c r="E1997" s="553">
        <v>1</v>
      </c>
      <c r="F1997" s="553">
        <v>1</v>
      </c>
      <c r="G1997" s="553" t="s">
        <v>479</v>
      </c>
      <c r="H1997" s="501">
        <v>1308.866666666667</v>
      </c>
      <c r="I1997" s="553">
        <v>89</v>
      </c>
      <c r="J1997" s="553">
        <v>56</v>
      </c>
      <c r="K1997" s="553">
        <v>28</v>
      </c>
      <c r="L1997" s="553">
        <v>4</v>
      </c>
      <c r="M1997" s="505" t="s">
        <v>312</v>
      </c>
      <c r="N1997" s="500">
        <v>43047562440000</v>
      </c>
      <c r="O1997" s="553" t="s">
        <v>2656</v>
      </c>
      <c r="P1997" s="650" t="s">
        <v>2667</v>
      </c>
      <c r="Q1997" s="564"/>
      <c r="R1997" s="564">
        <v>1</v>
      </c>
    </row>
    <row r="1998" spans="1:18" ht="15" customHeight="1" x14ac:dyDescent="0.25">
      <c r="A1998" s="553">
        <v>21</v>
      </c>
      <c r="B1998" s="553">
        <v>7</v>
      </c>
      <c r="C1998" s="553">
        <v>2</v>
      </c>
      <c r="D1998" s="553">
        <v>21</v>
      </c>
      <c r="E1998" s="553">
        <v>1</v>
      </c>
      <c r="F1998" s="553">
        <v>1</v>
      </c>
      <c r="G1998" s="553" t="s">
        <v>485</v>
      </c>
      <c r="H1998" s="553">
        <v>1308.9100000000001</v>
      </c>
      <c r="I1998" s="553">
        <v>89</v>
      </c>
      <c r="J1998" s="553">
        <v>56</v>
      </c>
      <c r="K1998" s="553">
        <v>51</v>
      </c>
      <c r="L1998" s="553">
        <v>4</v>
      </c>
      <c r="M1998" s="505" t="s">
        <v>312</v>
      </c>
      <c r="N1998" s="500">
        <v>43047562440000</v>
      </c>
      <c r="O1998" s="553" t="s">
        <v>2656</v>
      </c>
      <c r="P1998" s="650" t="s">
        <v>2668</v>
      </c>
      <c r="Q1998" s="564"/>
      <c r="R1998" s="564">
        <v>1</v>
      </c>
    </row>
    <row r="1999" spans="1:18" ht="15" customHeight="1" x14ac:dyDescent="0.25">
      <c r="A1999" s="553">
        <v>21</v>
      </c>
      <c r="B1999" s="553">
        <v>7</v>
      </c>
      <c r="C1999" s="553">
        <v>2</v>
      </c>
      <c r="D1999" s="553">
        <v>21</v>
      </c>
      <c r="E1999" s="553">
        <v>1</v>
      </c>
      <c r="F1999" s="553">
        <v>1</v>
      </c>
      <c r="G1999" s="553" t="s">
        <v>487</v>
      </c>
      <c r="H1999" s="553">
        <v>1298.365</v>
      </c>
      <c r="I1999" s="553">
        <v>89</v>
      </c>
      <c r="J1999" s="553">
        <v>57</v>
      </c>
      <c r="K1999" s="553">
        <v>14</v>
      </c>
      <c r="L1999" s="553">
        <v>2</v>
      </c>
      <c r="M1999" s="505" t="s">
        <v>312</v>
      </c>
      <c r="N1999" s="500">
        <v>43047562440000</v>
      </c>
      <c r="O1999" s="553" t="s">
        <v>2656</v>
      </c>
      <c r="P1999" s="650" t="s">
        <v>2669</v>
      </c>
      <c r="Q1999" s="564"/>
      <c r="R1999" s="564">
        <v>1</v>
      </c>
    </row>
    <row r="2000" spans="1:18" ht="15" customHeight="1" x14ac:dyDescent="0.25">
      <c r="A2000" s="553">
        <v>21</v>
      </c>
      <c r="B2000" s="553">
        <v>7</v>
      </c>
      <c r="C2000" s="553">
        <v>2</v>
      </c>
      <c r="D2000" s="553">
        <v>21</v>
      </c>
      <c r="E2000" s="553">
        <v>1</v>
      </c>
      <c r="F2000" s="553">
        <v>1</v>
      </c>
      <c r="G2000" s="502" t="s">
        <v>489</v>
      </c>
      <c r="H2000" s="553">
        <v>1298.365</v>
      </c>
      <c r="I2000" s="553">
        <v>89</v>
      </c>
      <c r="J2000" s="553">
        <v>57</v>
      </c>
      <c r="K2000" s="553">
        <v>14</v>
      </c>
      <c r="L2000" s="553">
        <v>2</v>
      </c>
      <c r="M2000" s="505" t="s">
        <v>312</v>
      </c>
      <c r="N2000" s="500">
        <v>43047562440000</v>
      </c>
      <c r="O2000" s="553" t="s">
        <v>2656</v>
      </c>
      <c r="P2000" s="650" t="s">
        <v>2670</v>
      </c>
      <c r="Q2000" s="564"/>
      <c r="R2000" s="564">
        <v>1</v>
      </c>
    </row>
    <row r="2001" spans="1:18" ht="15" customHeight="1" x14ac:dyDescent="0.25">
      <c r="A2001" s="553">
        <v>21</v>
      </c>
      <c r="B2001" s="553">
        <v>7</v>
      </c>
      <c r="C2001" s="553">
        <v>2</v>
      </c>
      <c r="D2001" s="553">
        <v>21</v>
      </c>
      <c r="E2001" s="553">
        <v>1</v>
      </c>
      <c r="F2001" s="553">
        <v>1</v>
      </c>
      <c r="G2001" s="553" t="s">
        <v>491</v>
      </c>
      <c r="H2001" s="553">
        <v>1329.075</v>
      </c>
      <c r="I2001" s="553">
        <v>89</v>
      </c>
      <c r="J2001" s="553">
        <v>15</v>
      </c>
      <c r="K2001" s="553">
        <v>2</v>
      </c>
      <c r="L2001" s="553">
        <v>2</v>
      </c>
      <c r="M2001" s="505" t="s">
        <v>312</v>
      </c>
      <c r="N2001" s="500">
        <v>43047562440000</v>
      </c>
      <c r="O2001" s="553" t="s">
        <v>2656</v>
      </c>
      <c r="P2001" s="650" t="s">
        <v>2671</v>
      </c>
      <c r="Q2001" s="564"/>
      <c r="R2001" s="564">
        <v>1</v>
      </c>
    </row>
    <row r="2002" spans="1:18" ht="15" customHeight="1" x14ac:dyDescent="0.25">
      <c r="A2002" s="553">
        <v>21</v>
      </c>
      <c r="B2002" s="553">
        <v>7</v>
      </c>
      <c r="C2002" s="553">
        <v>2</v>
      </c>
      <c r="D2002" s="553">
        <v>21</v>
      </c>
      <c r="E2002" s="553">
        <v>1</v>
      </c>
      <c r="F2002" s="553">
        <v>1</v>
      </c>
      <c r="G2002" s="553" t="s">
        <v>494</v>
      </c>
      <c r="H2002" s="553">
        <v>1329.075</v>
      </c>
      <c r="I2002" s="553">
        <v>89</v>
      </c>
      <c r="J2002" s="553">
        <v>15</v>
      </c>
      <c r="K2002" s="553">
        <v>2</v>
      </c>
      <c r="L2002" s="553">
        <v>2</v>
      </c>
      <c r="M2002" s="505" t="s">
        <v>312</v>
      </c>
      <c r="N2002" s="500">
        <v>43047562440000</v>
      </c>
      <c r="O2002" s="553" t="s">
        <v>2656</v>
      </c>
      <c r="P2002" s="650" t="s">
        <v>2672</v>
      </c>
      <c r="Q2002" s="564"/>
      <c r="R2002" s="564">
        <v>1</v>
      </c>
    </row>
    <row r="2003" spans="1:18" ht="15" customHeight="1" x14ac:dyDescent="0.25">
      <c r="A2003" s="553">
        <v>21</v>
      </c>
      <c r="B2003" s="553">
        <v>2</v>
      </c>
      <c r="C2003" s="553">
        <v>2</v>
      </c>
      <c r="D2003" s="553">
        <v>1</v>
      </c>
      <c r="E2003" s="553">
        <v>2</v>
      </c>
      <c r="F2003" s="553">
        <v>2</v>
      </c>
      <c r="G2003" s="553" t="s">
        <v>473</v>
      </c>
      <c r="H2003" s="553">
        <v>1318.29</v>
      </c>
      <c r="I2003" s="553">
        <v>0</v>
      </c>
      <c r="J2003" s="553">
        <v>26</v>
      </c>
      <c r="K2003" s="553">
        <v>53</v>
      </c>
      <c r="L2003" s="553">
        <v>4</v>
      </c>
      <c r="M2003" s="505" t="s">
        <v>137</v>
      </c>
      <c r="N2003" s="500">
        <v>43013539140000</v>
      </c>
      <c r="O2003" s="553" t="s">
        <v>2673</v>
      </c>
      <c r="P2003" s="650" t="s">
        <v>2674</v>
      </c>
      <c r="Q2003" s="564"/>
      <c r="R2003" s="564">
        <v>2</v>
      </c>
    </row>
    <row r="2004" spans="1:18" ht="15" customHeight="1" x14ac:dyDescent="0.25">
      <c r="A2004" s="553">
        <v>21</v>
      </c>
      <c r="B2004" s="553">
        <v>2</v>
      </c>
      <c r="C2004" s="553">
        <v>2</v>
      </c>
      <c r="D2004" s="553">
        <v>1</v>
      </c>
      <c r="E2004" s="553">
        <v>2</v>
      </c>
      <c r="F2004" s="553">
        <v>2</v>
      </c>
      <c r="G2004" s="502" t="s">
        <v>476</v>
      </c>
      <c r="H2004" s="553">
        <v>1318.29</v>
      </c>
      <c r="I2004" s="553">
        <v>0</v>
      </c>
      <c r="J2004" s="553">
        <v>26</v>
      </c>
      <c r="K2004" s="553">
        <v>53</v>
      </c>
      <c r="L2004" s="553">
        <v>4</v>
      </c>
      <c r="M2004" s="505" t="s">
        <v>137</v>
      </c>
      <c r="N2004" s="500">
        <v>43013539140000</v>
      </c>
      <c r="O2004" s="553" t="s">
        <v>2673</v>
      </c>
      <c r="P2004" s="650" t="s">
        <v>2675</v>
      </c>
      <c r="Q2004" s="564"/>
      <c r="R2004" s="564">
        <v>2</v>
      </c>
    </row>
    <row r="2005" spans="1:18" ht="15" customHeight="1" x14ac:dyDescent="0.25">
      <c r="A2005" s="553">
        <v>21</v>
      </c>
      <c r="B2005" s="553">
        <v>2</v>
      </c>
      <c r="C2005" s="553">
        <v>2</v>
      </c>
      <c r="D2005" s="553">
        <v>1</v>
      </c>
      <c r="E2005" s="553">
        <v>2</v>
      </c>
      <c r="F2005" s="553">
        <v>2</v>
      </c>
      <c r="G2005" s="553" t="s">
        <v>478</v>
      </c>
      <c r="H2005" s="553">
        <v>1318.135</v>
      </c>
      <c r="I2005" s="553">
        <v>0</v>
      </c>
      <c r="J2005" s="553">
        <v>27</v>
      </c>
      <c r="K2005" s="553">
        <v>15</v>
      </c>
      <c r="L2005" s="553">
        <v>4</v>
      </c>
      <c r="M2005" s="505" t="s">
        <v>137</v>
      </c>
      <c r="N2005" s="500">
        <v>43013539140000</v>
      </c>
      <c r="O2005" s="553" t="s">
        <v>2673</v>
      </c>
      <c r="P2005" s="650" t="s">
        <v>2676</v>
      </c>
      <c r="Q2005" s="564"/>
      <c r="R2005" s="564">
        <v>2</v>
      </c>
    </row>
    <row r="2006" spans="1:18" ht="15" customHeight="1" x14ac:dyDescent="0.25">
      <c r="A2006" s="553">
        <v>21</v>
      </c>
      <c r="B2006" s="553">
        <v>2</v>
      </c>
      <c r="C2006" s="553">
        <v>2</v>
      </c>
      <c r="D2006" s="553">
        <v>1</v>
      </c>
      <c r="E2006" s="553">
        <v>2</v>
      </c>
      <c r="F2006" s="553">
        <v>2</v>
      </c>
      <c r="G2006" s="553" t="s">
        <v>484</v>
      </c>
      <c r="H2006" s="553">
        <v>1318.135</v>
      </c>
      <c r="I2006" s="553">
        <v>0</v>
      </c>
      <c r="J2006" s="553">
        <v>27</v>
      </c>
      <c r="K2006" s="553">
        <v>15</v>
      </c>
      <c r="L2006" s="553">
        <v>4</v>
      </c>
      <c r="M2006" s="505" t="s">
        <v>137</v>
      </c>
      <c r="N2006" s="500">
        <v>43013539140000</v>
      </c>
      <c r="O2006" s="553" t="s">
        <v>2673</v>
      </c>
      <c r="P2006" s="650" t="s">
        <v>2677</v>
      </c>
      <c r="Q2006" s="564"/>
      <c r="R2006" s="564">
        <v>2</v>
      </c>
    </row>
    <row r="2007" spans="1:18" ht="15" customHeight="1" x14ac:dyDescent="0.25">
      <c r="A2007" s="553">
        <v>21</v>
      </c>
      <c r="B2007" s="553">
        <v>2</v>
      </c>
      <c r="C2007" s="553">
        <v>2</v>
      </c>
      <c r="D2007" s="553">
        <v>1</v>
      </c>
      <c r="E2007" s="553">
        <v>2</v>
      </c>
      <c r="F2007" s="553">
        <v>2</v>
      </c>
      <c r="G2007" s="553" t="s">
        <v>486</v>
      </c>
      <c r="H2007" s="553">
        <v>1320.0550000000001</v>
      </c>
      <c r="I2007" s="553">
        <v>0</v>
      </c>
      <c r="J2007" s="553">
        <v>27</v>
      </c>
      <c r="K2007" s="553">
        <v>2</v>
      </c>
      <c r="L2007" s="553">
        <v>4</v>
      </c>
      <c r="M2007" s="505" t="s">
        <v>137</v>
      </c>
      <c r="N2007" s="500">
        <v>43013539140000</v>
      </c>
      <c r="O2007" s="553" t="s">
        <v>2673</v>
      </c>
      <c r="P2007" s="650" t="s">
        <v>2678</v>
      </c>
      <c r="Q2007" s="564"/>
      <c r="R2007" s="564">
        <v>2</v>
      </c>
    </row>
    <row r="2008" spans="1:18" ht="15" customHeight="1" x14ac:dyDescent="0.25">
      <c r="A2008" s="553">
        <v>21</v>
      </c>
      <c r="B2008" s="553">
        <v>2</v>
      </c>
      <c r="C2008" s="553">
        <v>2</v>
      </c>
      <c r="D2008" s="553">
        <v>1</v>
      </c>
      <c r="E2008" s="553">
        <v>2</v>
      </c>
      <c r="F2008" s="553">
        <v>2</v>
      </c>
      <c r="G2008" s="502" t="s">
        <v>488</v>
      </c>
      <c r="H2008" s="553">
        <v>1320.0550000000001</v>
      </c>
      <c r="I2008" s="553">
        <v>0</v>
      </c>
      <c r="J2008" s="553">
        <v>27</v>
      </c>
      <c r="K2008" s="553">
        <v>2</v>
      </c>
      <c r="L2008" s="553">
        <v>4</v>
      </c>
      <c r="M2008" s="505" t="s">
        <v>137</v>
      </c>
      <c r="N2008" s="500">
        <v>43013539140000</v>
      </c>
      <c r="O2008" s="553" t="s">
        <v>2673</v>
      </c>
      <c r="P2008" s="650" t="s">
        <v>2679</v>
      </c>
      <c r="Q2008" s="564"/>
      <c r="R2008" s="564">
        <v>2</v>
      </c>
    </row>
    <row r="2009" spans="1:18" ht="15" customHeight="1" x14ac:dyDescent="0.25">
      <c r="A2009" s="553">
        <v>21</v>
      </c>
      <c r="B2009" s="553">
        <v>2</v>
      </c>
      <c r="C2009" s="553">
        <v>2</v>
      </c>
      <c r="D2009" s="553">
        <v>1</v>
      </c>
      <c r="E2009" s="553">
        <v>2</v>
      </c>
      <c r="F2009" s="553">
        <v>2</v>
      </c>
      <c r="G2009" s="553" t="s">
        <v>490</v>
      </c>
      <c r="H2009" s="553">
        <v>1315.1849999999999</v>
      </c>
      <c r="I2009" s="553">
        <v>0</v>
      </c>
      <c r="J2009" s="553">
        <v>25</v>
      </c>
      <c r="K2009" s="553">
        <v>17</v>
      </c>
      <c r="L2009" s="553">
        <v>4</v>
      </c>
      <c r="M2009" s="505" t="s">
        <v>137</v>
      </c>
      <c r="N2009" s="500">
        <v>43013539140000</v>
      </c>
      <c r="O2009" s="553" t="s">
        <v>2673</v>
      </c>
      <c r="P2009" s="650" t="s">
        <v>2680</v>
      </c>
      <c r="Q2009" s="564"/>
      <c r="R2009" s="564">
        <v>2</v>
      </c>
    </row>
    <row r="2010" spans="1:18" ht="15" customHeight="1" x14ac:dyDescent="0.25">
      <c r="A2010" s="553">
        <v>21</v>
      </c>
      <c r="B2010" s="553">
        <v>2</v>
      </c>
      <c r="C2010" s="553">
        <v>2</v>
      </c>
      <c r="D2010" s="553">
        <v>1</v>
      </c>
      <c r="E2010" s="553">
        <v>2</v>
      </c>
      <c r="F2010" s="553">
        <v>2</v>
      </c>
      <c r="G2010" s="553" t="s">
        <v>493</v>
      </c>
      <c r="H2010" s="553">
        <v>1315.1849999999999</v>
      </c>
      <c r="I2010" s="553">
        <v>0</v>
      </c>
      <c r="J2010" s="553">
        <v>25</v>
      </c>
      <c r="K2010" s="553">
        <v>17</v>
      </c>
      <c r="L2010" s="553">
        <v>4</v>
      </c>
      <c r="M2010" s="505" t="s">
        <v>137</v>
      </c>
      <c r="N2010" s="500">
        <v>43013539140000</v>
      </c>
      <c r="O2010" s="553" t="s">
        <v>2673</v>
      </c>
      <c r="P2010" s="650" t="s">
        <v>2681</v>
      </c>
      <c r="Q2010" s="564"/>
      <c r="R2010" s="564">
        <v>2</v>
      </c>
    </row>
    <row r="2011" spans="1:18" ht="15" customHeight="1" x14ac:dyDescent="0.25">
      <c r="A2011" s="553">
        <v>21</v>
      </c>
      <c r="B2011" s="553">
        <v>2</v>
      </c>
      <c r="C2011" s="553">
        <v>2</v>
      </c>
      <c r="D2011" s="553">
        <v>1</v>
      </c>
      <c r="E2011" s="553">
        <v>2</v>
      </c>
      <c r="F2011" s="553">
        <v>2</v>
      </c>
      <c r="G2011" s="553" t="s">
        <v>474</v>
      </c>
      <c r="H2011" s="553">
        <v>1320.175</v>
      </c>
      <c r="I2011" s="553">
        <v>89</v>
      </c>
      <c r="J2011" s="553">
        <v>43</v>
      </c>
      <c r="K2011" s="553">
        <v>53</v>
      </c>
      <c r="L2011" s="553">
        <v>3</v>
      </c>
      <c r="M2011" s="505" t="s">
        <v>137</v>
      </c>
      <c r="N2011" s="500">
        <v>43013539140000</v>
      </c>
      <c r="O2011" s="553" t="s">
        <v>2673</v>
      </c>
      <c r="P2011" s="650" t="s">
        <v>2682</v>
      </c>
      <c r="Q2011" s="564"/>
      <c r="R2011" s="564">
        <v>2</v>
      </c>
    </row>
    <row r="2012" spans="1:18" ht="15" customHeight="1" x14ac:dyDescent="0.25">
      <c r="A2012" s="553">
        <v>21</v>
      </c>
      <c r="B2012" s="553">
        <v>2</v>
      </c>
      <c r="C2012" s="553">
        <v>2</v>
      </c>
      <c r="D2012" s="553">
        <v>1</v>
      </c>
      <c r="E2012" s="553">
        <v>2</v>
      </c>
      <c r="F2012" s="553">
        <v>2</v>
      </c>
      <c r="G2012" s="502" t="s">
        <v>477</v>
      </c>
      <c r="H2012" s="553">
        <v>1320.175</v>
      </c>
      <c r="I2012" s="553">
        <v>89</v>
      </c>
      <c r="J2012" s="553">
        <v>43</v>
      </c>
      <c r="K2012" s="553">
        <v>53</v>
      </c>
      <c r="L2012" s="553">
        <v>3</v>
      </c>
      <c r="M2012" s="505" t="s">
        <v>137</v>
      </c>
      <c r="N2012" s="500">
        <v>43013539140000</v>
      </c>
      <c r="O2012" s="553" t="s">
        <v>2673</v>
      </c>
      <c r="P2012" s="650" t="s">
        <v>2683</v>
      </c>
      <c r="Q2012" s="564"/>
      <c r="R2012" s="564">
        <v>2</v>
      </c>
    </row>
    <row r="2013" spans="1:18" ht="15" customHeight="1" x14ac:dyDescent="0.25">
      <c r="A2013" s="553">
        <v>21</v>
      </c>
      <c r="B2013" s="553">
        <v>2</v>
      </c>
      <c r="C2013" s="553">
        <v>2</v>
      </c>
      <c r="D2013" s="553">
        <v>1</v>
      </c>
      <c r="E2013" s="553">
        <v>2</v>
      </c>
      <c r="F2013" s="553">
        <v>2</v>
      </c>
      <c r="G2013" s="553" t="s">
        <v>479</v>
      </c>
      <c r="H2013" s="553">
        <v>1320.395</v>
      </c>
      <c r="I2013" s="553">
        <v>89</v>
      </c>
      <c r="J2013" s="553">
        <v>43</v>
      </c>
      <c r="K2013" s="553">
        <v>41</v>
      </c>
      <c r="L2013" s="553">
        <v>3</v>
      </c>
      <c r="M2013" s="505" t="s">
        <v>137</v>
      </c>
      <c r="N2013" s="500">
        <v>43013539140000</v>
      </c>
      <c r="O2013" s="553" t="s">
        <v>2673</v>
      </c>
      <c r="P2013" s="650" t="s">
        <v>2684</v>
      </c>
      <c r="Q2013" s="564"/>
      <c r="R2013" s="564">
        <v>2</v>
      </c>
    </row>
    <row r="2014" spans="1:18" ht="15" customHeight="1" x14ac:dyDescent="0.25">
      <c r="A2014" s="553">
        <v>21</v>
      </c>
      <c r="B2014" s="553">
        <v>2</v>
      </c>
      <c r="C2014" s="553">
        <v>2</v>
      </c>
      <c r="D2014" s="553">
        <v>1</v>
      </c>
      <c r="E2014" s="553">
        <v>2</v>
      </c>
      <c r="F2014" s="553">
        <v>2</v>
      </c>
      <c r="G2014" s="553" t="s">
        <v>485</v>
      </c>
      <c r="H2014" s="553">
        <v>1320.395</v>
      </c>
      <c r="I2014" s="553">
        <v>89</v>
      </c>
      <c r="J2014" s="553">
        <v>43</v>
      </c>
      <c r="K2014" s="553">
        <v>41</v>
      </c>
      <c r="L2014" s="553">
        <v>3</v>
      </c>
      <c r="M2014" s="505" t="s">
        <v>137</v>
      </c>
      <c r="N2014" s="500">
        <v>43013539140000</v>
      </c>
      <c r="O2014" s="553" t="s">
        <v>2673</v>
      </c>
      <c r="P2014" s="650" t="s">
        <v>2685</v>
      </c>
      <c r="Q2014" s="564"/>
      <c r="R2014" s="564">
        <v>2</v>
      </c>
    </row>
    <row r="2015" spans="1:18" ht="15" customHeight="1" x14ac:dyDescent="0.25">
      <c r="A2015" s="553">
        <v>21</v>
      </c>
      <c r="B2015" s="553">
        <v>2</v>
      </c>
      <c r="C2015" s="553">
        <v>2</v>
      </c>
      <c r="D2015" s="553">
        <v>1</v>
      </c>
      <c r="E2015" s="553">
        <v>2</v>
      </c>
      <c r="F2015" s="553">
        <v>2</v>
      </c>
      <c r="G2015" s="553" t="s">
        <v>487</v>
      </c>
      <c r="H2015" s="553">
        <v>1319.43</v>
      </c>
      <c r="I2015" s="553">
        <v>89</v>
      </c>
      <c r="J2015" s="553">
        <v>52</v>
      </c>
      <c r="K2015" s="553">
        <v>52</v>
      </c>
      <c r="L2015" s="553">
        <v>3</v>
      </c>
      <c r="M2015" s="505" t="s">
        <v>137</v>
      </c>
      <c r="N2015" s="500">
        <v>43013539140000</v>
      </c>
      <c r="O2015" s="553" t="s">
        <v>2673</v>
      </c>
      <c r="P2015" s="650" t="s">
        <v>2686</v>
      </c>
      <c r="Q2015" s="564"/>
      <c r="R2015" s="564">
        <v>2</v>
      </c>
    </row>
    <row r="2016" spans="1:18" ht="15" customHeight="1" x14ac:dyDescent="0.25">
      <c r="A2016" s="553">
        <v>21</v>
      </c>
      <c r="B2016" s="553">
        <v>2</v>
      </c>
      <c r="C2016" s="553">
        <v>2</v>
      </c>
      <c r="D2016" s="553">
        <v>1</v>
      </c>
      <c r="E2016" s="553">
        <v>2</v>
      </c>
      <c r="F2016" s="553">
        <v>2</v>
      </c>
      <c r="G2016" s="502" t="s">
        <v>489</v>
      </c>
      <c r="H2016" s="553">
        <v>1319.43</v>
      </c>
      <c r="I2016" s="553">
        <v>89</v>
      </c>
      <c r="J2016" s="553">
        <v>52</v>
      </c>
      <c r="K2016" s="553">
        <v>52</v>
      </c>
      <c r="L2016" s="553">
        <v>3</v>
      </c>
      <c r="M2016" s="505" t="s">
        <v>137</v>
      </c>
      <c r="N2016" s="500">
        <v>43013539140000</v>
      </c>
      <c r="O2016" s="553" t="s">
        <v>2673</v>
      </c>
      <c r="P2016" s="650" t="s">
        <v>2687</v>
      </c>
      <c r="Q2016" s="564"/>
      <c r="R2016" s="564">
        <v>2</v>
      </c>
    </row>
    <row r="2017" spans="1:18" ht="15" customHeight="1" x14ac:dyDescent="0.25">
      <c r="A2017" s="553">
        <v>21</v>
      </c>
      <c r="B2017" s="553">
        <v>2</v>
      </c>
      <c r="C2017" s="553">
        <v>2</v>
      </c>
      <c r="D2017" s="553">
        <v>1</v>
      </c>
      <c r="E2017" s="553">
        <v>2</v>
      </c>
      <c r="F2017" s="553">
        <v>2</v>
      </c>
      <c r="G2017" s="553" t="s">
        <v>491</v>
      </c>
      <c r="H2017" s="553">
        <v>1320.45</v>
      </c>
      <c r="I2017" s="553">
        <v>89</v>
      </c>
      <c r="J2017" s="553">
        <v>31</v>
      </c>
      <c r="K2017" s="553">
        <v>38</v>
      </c>
      <c r="L2017" s="553">
        <v>3</v>
      </c>
      <c r="M2017" s="505" t="s">
        <v>137</v>
      </c>
      <c r="N2017" s="500">
        <v>43013539140000</v>
      </c>
      <c r="O2017" s="553" t="s">
        <v>2673</v>
      </c>
      <c r="P2017" s="650" t="s">
        <v>2688</v>
      </c>
      <c r="Q2017" s="564"/>
      <c r="R2017" s="564">
        <v>2</v>
      </c>
    </row>
    <row r="2018" spans="1:18" ht="15" customHeight="1" x14ac:dyDescent="0.25">
      <c r="A2018" s="553">
        <v>21</v>
      </c>
      <c r="B2018" s="553">
        <v>2</v>
      </c>
      <c r="C2018" s="553">
        <v>2</v>
      </c>
      <c r="D2018" s="553">
        <v>1</v>
      </c>
      <c r="E2018" s="553">
        <v>2</v>
      </c>
      <c r="F2018" s="553">
        <v>2</v>
      </c>
      <c r="G2018" s="553" t="s">
        <v>494</v>
      </c>
      <c r="H2018" s="553">
        <v>1320.45</v>
      </c>
      <c r="I2018" s="553">
        <v>89</v>
      </c>
      <c r="J2018" s="553">
        <v>31</v>
      </c>
      <c r="K2018" s="553">
        <v>38</v>
      </c>
      <c r="L2018" s="553">
        <v>3</v>
      </c>
      <c r="M2018" s="505" t="s">
        <v>137</v>
      </c>
      <c r="N2018" s="500">
        <v>43013539140000</v>
      </c>
      <c r="O2018" s="553" t="s">
        <v>2673</v>
      </c>
      <c r="P2018" s="650" t="s">
        <v>2689</v>
      </c>
      <c r="Q2018" s="564"/>
      <c r="R2018" s="564">
        <v>2</v>
      </c>
    </row>
    <row r="2019" spans="1:18" ht="15" customHeight="1" x14ac:dyDescent="0.25">
      <c r="A2019" s="553">
        <v>21</v>
      </c>
      <c r="B2019" s="553">
        <v>2</v>
      </c>
      <c r="C2019" s="553">
        <v>2</v>
      </c>
      <c r="D2019" s="553">
        <v>3</v>
      </c>
      <c r="E2019" s="553">
        <v>2</v>
      </c>
      <c r="F2019" s="553">
        <v>2</v>
      </c>
      <c r="G2019" s="553" t="s">
        <v>473</v>
      </c>
      <c r="H2019" s="553">
        <v>1322.2125000000001</v>
      </c>
      <c r="I2019" s="553">
        <v>0</v>
      </c>
      <c r="J2019" s="553">
        <v>17</v>
      </c>
      <c r="K2019" s="553">
        <v>39</v>
      </c>
      <c r="L2019" s="553">
        <v>2</v>
      </c>
      <c r="M2019" s="505" t="s">
        <v>137</v>
      </c>
      <c r="N2019" s="652">
        <v>43013537910000</v>
      </c>
      <c r="O2019" s="553" t="s">
        <v>2690</v>
      </c>
      <c r="P2019" s="650" t="s">
        <v>2691</v>
      </c>
      <c r="Q2019" s="564"/>
      <c r="R2019" s="564">
        <v>1</v>
      </c>
    </row>
    <row r="2020" spans="1:18" ht="15" customHeight="1" x14ac:dyDescent="0.25">
      <c r="A2020" s="553">
        <v>21</v>
      </c>
      <c r="B2020" s="553">
        <v>2</v>
      </c>
      <c r="C2020" s="553">
        <v>2</v>
      </c>
      <c r="D2020" s="553">
        <v>3</v>
      </c>
      <c r="E2020" s="553">
        <v>2</v>
      </c>
      <c r="F2020" s="553">
        <v>2</v>
      </c>
      <c r="G2020" s="502" t="s">
        <v>476</v>
      </c>
      <c r="H2020" s="553">
        <v>1322.2125000000001</v>
      </c>
      <c r="I2020" s="553">
        <v>0</v>
      </c>
      <c r="J2020" s="553">
        <v>17</v>
      </c>
      <c r="K2020" s="553">
        <v>39</v>
      </c>
      <c r="L2020" s="553">
        <v>2</v>
      </c>
      <c r="M2020" s="505" t="s">
        <v>137</v>
      </c>
      <c r="N2020" s="652">
        <v>43013537910000</v>
      </c>
      <c r="O2020" s="553" t="s">
        <v>2690</v>
      </c>
      <c r="P2020" s="650" t="s">
        <v>2692</v>
      </c>
      <c r="Q2020" s="564"/>
      <c r="R2020" s="564">
        <v>1</v>
      </c>
    </row>
    <row r="2021" spans="1:18" ht="15" customHeight="1" x14ac:dyDescent="0.25">
      <c r="A2021" s="553">
        <v>21</v>
      </c>
      <c r="B2021" s="553">
        <v>2</v>
      </c>
      <c r="C2021" s="553">
        <v>2</v>
      </c>
      <c r="D2021" s="553">
        <v>3</v>
      </c>
      <c r="E2021" s="553">
        <v>2</v>
      </c>
      <c r="F2021" s="553">
        <v>2</v>
      </c>
      <c r="G2021" s="553" t="s">
        <v>478</v>
      </c>
      <c r="H2021" s="553">
        <v>1322.2125000000001</v>
      </c>
      <c r="I2021" s="553">
        <v>0</v>
      </c>
      <c r="J2021" s="553">
        <v>17</v>
      </c>
      <c r="K2021" s="553">
        <v>39</v>
      </c>
      <c r="L2021" s="553">
        <v>2</v>
      </c>
      <c r="M2021" s="505" t="s">
        <v>137</v>
      </c>
      <c r="N2021" s="652">
        <v>43013537910000</v>
      </c>
      <c r="O2021" s="553" t="s">
        <v>2690</v>
      </c>
      <c r="P2021" s="650" t="s">
        <v>2693</v>
      </c>
      <c r="Q2021" s="564"/>
      <c r="R2021" s="564">
        <v>1</v>
      </c>
    </row>
    <row r="2022" spans="1:18" ht="15" customHeight="1" x14ac:dyDescent="0.25">
      <c r="A2022" s="553">
        <v>21</v>
      </c>
      <c r="B2022" s="553">
        <v>2</v>
      </c>
      <c r="C2022" s="553">
        <v>2</v>
      </c>
      <c r="D2022" s="553">
        <v>3</v>
      </c>
      <c r="E2022" s="553">
        <v>2</v>
      </c>
      <c r="F2022" s="553">
        <v>2</v>
      </c>
      <c r="G2022" s="553" t="s">
        <v>484</v>
      </c>
      <c r="H2022" s="553">
        <v>1322.2125000000001</v>
      </c>
      <c r="I2022" s="553">
        <v>0</v>
      </c>
      <c r="J2022" s="553">
        <v>17</v>
      </c>
      <c r="K2022" s="553">
        <v>39</v>
      </c>
      <c r="L2022" s="553">
        <v>2</v>
      </c>
      <c r="M2022" s="505" t="s">
        <v>137</v>
      </c>
      <c r="N2022" s="652">
        <v>43013537910000</v>
      </c>
      <c r="O2022" s="553" t="s">
        <v>2690</v>
      </c>
      <c r="P2022" s="650" t="s">
        <v>2694</v>
      </c>
      <c r="Q2022" s="564"/>
      <c r="R2022" s="564">
        <v>1</v>
      </c>
    </row>
    <row r="2023" spans="1:18" ht="15" customHeight="1" x14ac:dyDescent="0.25">
      <c r="A2023" s="553">
        <v>21</v>
      </c>
      <c r="B2023" s="553">
        <v>2</v>
      </c>
      <c r="C2023" s="553">
        <v>2</v>
      </c>
      <c r="D2023" s="553">
        <v>3</v>
      </c>
      <c r="E2023" s="553">
        <v>2</v>
      </c>
      <c r="F2023" s="553">
        <v>2</v>
      </c>
      <c r="G2023" s="553" t="s">
        <v>486</v>
      </c>
      <c r="H2023" s="553">
        <v>1313.9</v>
      </c>
      <c r="I2023" s="553">
        <v>1</v>
      </c>
      <c r="J2023" s="553">
        <v>17</v>
      </c>
      <c r="K2023" s="553">
        <v>48</v>
      </c>
      <c r="L2023" s="553">
        <v>2</v>
      </c>
      <c r="M2023" s="505" t="s">
        <v>137</v>
      </c>
      <c r="N2023" s="652">
        <v>43013537910000</v>
      </c>
      <c r="O2023" s="553" t="s">
        <v>2690</v>
      </c>
      <c r="P2023" s="650" t="s">
        <v>2695</v>
      </c>
      <c r="Q2023" s="564"/>
      <c r="R2023" s="564">
        <v>1</v>
      </c>
    </row>
    <row r="2024" spans="1:18" ht="15" customHeight="1" x14ac:dyDescent="0.25">
      <c r="A2024" s="553">
        <v>21</v>
      </c>
      <c r="B2024" s="553">
        <v>2</v>
      </c>
      <c r="C2024" s="553">
        <v>2</v>
      </c>
      <c r="D2024" s="553">
        <v>3</v>
      </c>
      <c r="E2024" s="553">
        <v>2</v>
      </c>
      <c r="F2024" s="553">
        <v>2</v>
      </c>
      <c r="G2024" s="502" t="s">
        <v>488</v>
      </c>
      <c r="H2024" s="553">
        <v>1313.9</v>
      </c>
      <c r="I2024" s="553">
        <v>1</v>
      </c>
      <c r="J2024" s="553">
        <v>17</v>
      </c>
      <c r="K2024" s="553">
        <v>48</v>
      </c>
      <c r="L2024" s="553">
        <v>2</v>
      </c>
      <c r="M2024" s="505" t="s">
        <v>137</v>
      </c>
      <c r="N2024" s="652">
        <v>43013537910000</v>
      </c>
      <c r="O2024" s="553" t="s">
        <v>2690</v>
      </c>
      <c r="P2024" s="650" t="s">
        <v>2696</v>
      </c>
      <c r="Q2024" s="564"/>
      <c r="R2024" s="564">
        <v>1</v>
      </c>
    </row>
    <row r="2025" spans="1:18" ht="15" customHeight="1" x14ac:dyDescent="0.25">
      <c r="A2025" s="553">
        <v>21</v>
      </c>
      <c r="B2025" s="553">
        <v>2</v>
      </c>
      <c r="C2025" s="553">
        <v>2</v>
      </c>
      <c r="D2025" s="553">
        <v>3</v>
      </c>
      <c r="E2025" s="553">
        <v>2</v>
      </c>
      <c r="F2025" s="553">
        <v>2</v>
      </c>
      <c r="G2025" s="553" t="s">
        <v>490</v>
      </c>
      <c r="H2025" s="553">
        <v>1314.2850000000001</v>
      </c>
      <c r="I2025" s="553">
        <v>0</v>
      </c>
      <c r="J2025" s="553">
        <v>8</v>
      </c>
      <c r="K2025" s="553">
        <v>31</v>
      </c>
      <c r="L2025" s="553">
        <v>2</v>
      </c>
      <c r="M2025" s="505" t="s">
        <v>137</v>
      </c>
      <c r="N2025" s="652">
        <v>43013537910000</v>
      </c>
      <c r="O2025" s="553" t="s">
        <v>2690</v>
      </c>
      <c r="P2025" s="650" t="s">
        <v>2697</v>
      </c>
      <c r="Q2025" s="564"/>
      <c r="R2025" s="564">
        <v>1</v>
      </c>
    </row>
    <row r="2026" spans="1:18" ht="15" customHeight="1" x14ac:dyDescent="0.25">
      <c r="A2026" s="553">
        <v>21</v>
      </c>
      <c r="B2026" s="553">
        <v>2</v>
      </c>
      <c r="C2026" s="553">
        <v>2</v>
      </c>
      <c r="D2026" s="553">
        <v>3</v>
      </c>
      <c r="E2026" s="553">
        <v>2</v>
      </c>
      <c r="F2026" s="553">
        <v>2</v>
      </c>
      <c r="G2026" s="553" t="s">
        <v>493</v>
      </c>
      <c r="H2026" s="553">
        <v>1314.2850000000001</v>
      </c>
      <c r="I2026" s="553">
        <v>0</v>
      </c>
      <c r="J2026" s="553">
        <v>8</v>
      </c>
      <c r="K2026" s="553">
        <v>31</v>
      </c>
      <c r="L2026" s="553">
        <v>2</v>
      </c>
      <c r="M2026" s="505" t="s">
        <v>137</v>
      </c>
      <c r="N2026" s="652">
        <v>43013537910000</v>
      </c>
      <c r="O2026" s="553" t="s">
        <v>2690</v>
      </c>
      <c r="P2026" s="650" t="s">
        <v>2698</v>
      </c>
      <c r="Q2026" s="564"/>
      <c r="R2026" s="564">
        <v>1</v>
      </c>
    </row>
    <row r="2027" spans="1:18" ht="15" customHeight="1" x14ac:dyDescent="0.25">
      <c r="A2027" s="553">
        <v>21</v>
      </c>
      <c r="B2027" s="553">
        <v>2</v>
      </c>
      <c r="C2027" s="553">
        <v>2</v>
      </c>
      <c r="D2027" s="553">
        <v>3</v>
      </c>
      <c r="E2027" s="553">
        <v>2</v>
      </c>
      <c r="F2027" s="553">
        <v>2</v>
      </c>
      <c r="G2027" s="553" t="s">
        <v>474</v>
      </c>
      <c r="H2027" s="553">
        <v>1329.46</v>
      </c>
      <c r="I2027" s="553">
        <v>89</v>
      </c>
      <c r="J2027" s="553">
        <v>39</v>
      </c>
      <c r="K2027" s="553">
        <v>20</v>
      </c>
      <c r="L2027" s="553">
        <v>4</v>
      </c>
      <c r="M2027" s="505" t="s">
        <v>137</v>
      </c>
      <c r="N2027" s="652">
        <v>43013537910000</v>
      </c>
      <c r="O2027" s="553" t="s">
        <v>2690</v>
      </c>
      <c r="P2027" s="650" t="s">
        <v>2699</v>
      </c>
      <c r="Q2027" s="564"/>
      <c r="R2027" s="564">
        <v>1</v>
      </c>
    </row>
    <row r="2028" spans="1:18" ht="15" customHeight="1" x14ac:dyDescent="0.25">
      <c r="A2028" s="553">
        <v>21</v>
      </c>
      <c r="B2028" s="553">
        <v>2</v>
      </c>
      <c r="C2028" s="553">
        <v>2</v>
      </c>
      <c r="D2028" s="553">
        <v>3</v>
      </c>
      <c r="E2028" s="553">
        <v>2</v>
      </c>
      <c r="F2028" s="553">
        <v>2</v>
      </c>
      <c r="G2028" s="502" t="s">
        <v>477</v>
      </c>
      <c r="H2028" s="553">
        <v>1329.46</v>
      </c>
      <c r="I2028" s="553">
        <v>89</v>
      </c>
      <c r="J2028" s="553">
        <v>39</v>
      </c>
      <c r="K2028" s="553">
        <v>20</v>
      </c>
      <c r="L2028" s="553">
        <v>4</v>
      </c>
      <c r="M2028" s="505" t="s">
        <v>137</v>
      </c>
      <c r="N2028" s="652">
        <v>43013537910000</v>
      </c>
      <c r="O2028" s="553" t="s">
        <v>2690</v>
      </c>
      <c r="P2028" s="650" t="s">
        <v>2700</v>
      </c>
      <c r="Q2028" s="564"/>
      <c r="R2028" s="564">
        <v>1</v>
      </c>
    </row>
    <row r="2029" spans="1:18" ht="15" customHeight="1" x14ac:dyDescent="0.25">
      <c r="A2029" s="553">
        <v>21</v>
      </c>
      <c r="B2029" s="553">
        <v>2</v>
      </c>
      <c r="C2029" s="553">
        <v>2</v>
      </c>
      <c r="D2029" s="553">
        <v>3</v>
      </c>
      <c r="E2029" s="553">
        <v>2</v>
      </c>
      <c r="F2029" s="553">
        <v>2</v>
      </c>
      <c r="G2029" s="553" t="s">
        <v>479</v>
      </c>
      <c r="H2029" s="553">
        <v>1329.46</v>
      </c>
      <c r="I2029" s="553">
        <v>89</v>
      </c>
      <c r="J2029" s="553">
        <v>39</v>
      </c>
      <c r="K2029" s="553">
        <v>20</v>
      </c>
      <c r="L2029" s="553">
        <v>4</v>
      </c>
      <c r="M2029" s="505" t="s">
        <v>137</v>
      </c>
      <c r="N2029" s="652">
        <v>43013537910000</v>
      </c>
      <c r="O2029" s="553" t="s">
        <v>2690</v>
      </c>
      <c r="P2029" s="650" t="s">
        <v>2701</v>
      </c>
      <c r="Q2029" s="564"/>
      <c r="R2029" s="564">
        <v>1</v>
      </c>
    </row>
    <row r="2030" spans="1:18" ht="15" customHeight="1" x14ac:dyDescent="0.25">
      <c r="A2030" s="553">
        <v>21</v>
      </c>
      <c r="B2030" s="553">
        <v>2</v>
      </c>
      <c r="C2030" s="553">
        <v>2</v>
      </c>
      <c r="D2030" s="553">
        <v>3</v>
      </c>
      <c r="E2030" s="553">
        <v>2</v>
      </c>
      <c r="F2030" s="553">
        <v>2</v>
      </c>
      <c r="G2030" s="553" t="s">
        <v>485</v>
      </c>
      <c r="H2030" s="553">
        <v>1329.46</v>
      </c>
      <c r="I2030" s="553">
        <v>89</v>
      </c>
      <c r="J2030" s="553">
        <v>39</v>
      </c>
      <c r="K2030" s="553">
        <v>20</v>
      </c>
      <c r="L2030" s="553">
        <v>4</v>
      </c>
      <c r="M2030" s="505" t="s">
        <v>137</v>
      </c>
      <c r="N2030" s="652">
        <v>43013537910000</v>
      </c>
      <c r="O2030" s="553" t="s">
        <v>2690</v>
      </c>
      <c r="P2030" s="650" t="s">
        <v>2702</v>
      </c>
      <c r="Q2030" s="564"/>
      <c r="R2030" s="564">
        <v>1</v>
      </c>
    </row>
    <row r="2031" spans="1:18" ht="15" customHeight="1" x14ac:dyDescent="0.25">
      <c r="A2031" s="553">
        <v>21</v>
      </c>
      <c r="B2031" s="553">
        <v>2</v>
      </c>
      <c r="C2031" s="553">
        <v>2</v>
      </c>
      <c r="D2031" s="553">
        <v>3</v>
      </c>
      <c r="E2031" s="553">
        <v>2</v>
      </c>
      <c r="F2031" s="553">
        <v>2</v>
      </c>
      <c r="G2031" s="553" t="s">
        <v>487</v>
      </c>
      <c r="H2031" s="501">
        <v>1319.886666666667</v>
      </c>
      <c r="I2031" s="553">
        <v>89</v>
      </c>
      <c r="J2031" s="553">
        <v>58</v>
      </c>
      <c r="K2031" s="553">
        <v>5</v>
      </c>
      <c r="L2031" s="553">
        <v>2</v>
      </c>
      <c r="M2031" s="505" t="s">
        <v>137</v>
      </c>
      <c r="N2031" s="652">
        <v>43013537910000</v>
      </c>
      <c r="O2031" s="553" t="s">
        <v>2690</v>
      </c>
      <c r="P2031" s="650" t="s">
        <v>2703</v>
      </c>
      <c r="Q2031" s="564"/>
      <c r="R2031" s="564">
        <v>1</v>
      </c>
    </row>
    <row r="2032" spans="1:18" ht="15" customHeight="1" x14ac:dyDescent="0.25">
      <c r="A2032" s="553">
        <v>21</v>
      </c>
      <c r="B2032" s="553">
        <v>2</v>
      </c>
      <c r="C2032" s="553">
        <v>2</v>
      </c>
      <c r="D2032" s="553">
        <v>3</v>
      </c>
      <c r="E2032" s="553">
        <v>2</v>
      </c>
      <c r="F2032" s="553">
        <v>2</v>
      </c>
      <c r="G2032" s="502" t="s">
        <v>489</v>
      </c>
      <c r="H2032" s="501">
        <v>1319.886666666667</v>
      </c>
      <c r="I2032" s="553">
        <v>89</v>
      </c>
      <c r="J2032" s="553">
        <v>58</v>
      </c>
      <c r="K2032" s="553">
        <v>5</v>
      </c>
      <c r="L2032" s="553">
        <v>2</v>
      </c>
      <c r="M2032" s="505" t="s">
        <v>137</v>
      </c>
      <c r="N2032" s="652">
        <v>43013537910000</v>
      </c>
      <c r="O2032" s="553" t="s">
        <v>2690</v>
      </c>
      <c r="P2032" s="650" t="s">
        <v>2704</v>
      </c>
      <c r="Q2032" s="564"/>
      <c r="R2032" s="564">
        <v>1</v>
      </c>
    </row>
    <row r="2033" spans="1:18" ht="15" customHeight="1" x14ac:dyDescent="0.25">
      <c r="A2033" s="553">
        <v>21</v>
      </c>
      <c r="B2033" s="553">
        <v>2</v>
      </c>
      <c r="C2033" s="553">
        <v>2</v>
      </c>
      <c r="D2033" s="553">
        <v>3</v>
      </c>
      <c r="E2033" s="553">
        <v>2</v>
      </c>
      <c r="F2033" s="553">
        <v>2</v>
      </c>
      <c r="G2033" s="553" t="s">
        <v>491</v>
      </c>
      <c r="H2033" s="501">
        <v>1319.886666666667</v>
      </c>
      <c r="I2033" s="553">
        <v>89</v>
      </c>
      <c r="J2033" s="553">
        <v>58</v>
      </c>
      <c r="K2033" s="553">
        <v>5</v>
      </c>
      <c r="L2033" s="553">
        <v>2</v>
      </c>
      <c r="M2033" s="505" t="s">
        <v>137</v>
      </c>
      <c r="N2033" s="652">
        <v>43013537910000</v>
      </c>
      <c r="O2033" s="553" t="s">
        <v>2690</v>
      </c>
      <c r="P2033" s="650" t="s">
        <v>2705</v>
      </c>
      <c r="Q2033" s="564"/>
      <c r="R2033" s="564">
        <v>1</v>
      </c>
    </row>
    <row r="2034" spans="1:18" ht="15" customHeight="1" x14ac:dyDescent="0.25">
      <c r="A2034" s="553">
        <v>21</v>
      </c>
      <c r="B2034" s="553">
        <v>2</v>
      </c>
      <c r="C2034" s="553">
        <v>2</v>
      </c>
      <c r="D2034" s="553">
        <v>3</v>
      </c>
      <c r="E2034" s="553">
        <v>2</v>
      </c>
      <c r="F2034" s="553">
        <v>2</v>
      </c>
      <c r="G2034" s="553" t="s">
        <v>494</v>
      </c>
      <c r="H2034" s="553">
        <v>1319.22</v>
      </c>
      <c r="I2034" s="553">
        <v>89</v>
      </c>
      <c r="J2034" s="553">
        <v>57</v>
      </c>
      <c r="K2034" s="553">
        <v>11</v>
      </c>
      <c r="L2034" s="553">
        <v>4</v>
      </c>
      <c r="M2034" s="505" t="s">
        <v>137</v>
      </c>
      <c r="N2034" s="652">
        <v>43013537910000</v>
      </c>
      <c r="O2034" s="553" t="s">
        <v>2690</v>
      </c>
      <c r="P2034" s="650" t="s">
        <v>2706</v>
      </c>
      <c r="Q2034" s="564"/>
      <c r="R2034" s="564">
        <v>1</v>
      </c>
    </row>
    <row r="2035" spans="1:18" ht="15" customHeight="1" x14ac:dyDescent="0.25">
      <c r="A2035" s="553">
        <v>21</v>
      </c>
      <c r="B2035" s="553">
        <v>3</v>
      </c>
      <c r="C2035" s="553">
        <v>2</v>
      </c>
      <c r="D2035" s="553">
        <v>1</v>
      </c>
      <c r="E2035" s="553">
        <v>2</v>
      </c>
      <c r="F2035" s="553">
        <v>2</v>
      </c>
      <c r="G2035" s="553" t="s">
        <v>473</v>
      </c>
      <c r="H2035" s="553">
        <v>1320.43</v>
      </c>
      <c r="I2035" s="553">
        <v>0</v>
      </c>
      <c r="J2035" s="553">
        <v>9</v>
      </c>
      <c r="K2035" s="553">
        <v>1</v>
      </c>
      <c r="L2035" s="553">
        <v>4</v>
      </c>
      <c r="M2035" s="505" t="s">
        <v>137</v>
      </c>
      <c r="N2035" s="500">
        <v>43013539530000</v>
      </c>
      <c r="O2035" s="553" t="s">
        <v>2082</v>
      </c>
      <c r="P2035" s="650" t="s">
        <v>2707</v>
      </c>
      <c r="Q2035" s="564"/>
      <c r="R2035" s="564">
        <v>2</v>
      </c>
    </row>
    <row r="2036" spans="1:18" ht="15" customHeight="1" x14ac:dyDescent="0.25">
      <c r="A2036" s="553">
        <v>21</v>
      </c>
      <c r="B2036" s="553">
        <v>3</v>
      </c>
      <c r="C2036" s="553">
        <v>2</v>
      </c>
      <c r="D2036" s="553">
        <v>1</v>
      </c>
      <c r="E2036" s="553">
        <v>2</v>
      </c>
      <c r="F2036" s="553">
        <v>2</v>
      </c>
      <c r="G2036" s="502" t="s">
        <v>476</v>
      </c>
      <c r="H2036" s="553">
        <v>1320.43</v>
      </c>
      <c r="I2036" s="553">
        <v>0</v>
      </c>
      <c r="J2036" s="553">
        <v>9</v>
      </c>
      <c r="K2036" s="553">
        <v>1</v>
      </c>
      <c r="L2036" s="553">
        <v>4</v>
      </c>
      <c r="M2036" s="505" t="s">
        <v>137</v>
      </c>
      <c r="N2036" s="500">
        <v>43013539530000</v>
      </c>
      <c r="O2036" s="553" t="s">
        <v>2082</v>
      </c>
      <c r="P2036" s="650" t="s">
        <v>2708</v>
      </c>
      <c r="Q2036" s="564"/>
      <c r="R2036" s="564">
        <v>2</v>
      </c>
    </row>
    <row r="2037" spans="1:18" ht="15" customHeight="1" x14ac:dyDescent="0.25">
      <c r="A2037" s="553">
        <v>21</v>
      </c>
      <c r="B2037" s="553">
        <v>3</v>
      </c>
      <c r="C2037" s="553">
        <v>2</v>
      </c>
      <c r="D2037" s="553">
        <v>1</v>
      </c>
      <c r="E2037" s="553">
        <v>2</v>
      </c>
      <c r="F2037" s="553">
        <v>2</v>
      </c>
      <c r="G2037" s="553" t="s">
        <v>478</v>
      </c>
      <c r="H2037" s="553">
        <v>1313.37</v>
      </c>
      <c r="I2037" s="553">
        <v>0</v>
      </c>
      <c r="J2037" s="553">
        <v>9</v>
      </c>
      <c r="K2037" s="553">
        <v>13</v>
      </c>
      <c r="L2037" s="553">
        <v>4</v>
      </c>
      <c r="M2037" s="505" t="s">
        <v>137</v>
      </c>
      <c r="N2037" s="500">
        <v>43013539530000</v>
      </c>
      <c r="O2037" s="553" t="s">
        <v>2082</v>
      </c>
      <c r="P2037" s="650" t="s">
        <v>2709</v>
      </c>
      <c r="Q2037" s="564"/>
      <c r="R2037" s="564">
        <v>2</v>
      </c>
    </row>
    <row r="2038" spans="1:18" ht="15" customHeight="1" x14ac:dyDescent="0.25">
      <c r="A2038" s="553">
        <v>21</v>
      </c>
      <c r="B2038" s="553">
        <v>3</v>
      </c>
      <c r="C2038" s="553">
        <v>2</v>
      </c>
      <c r="D2038" s="553">
        <v>1</v>
      </c>
      <c r="E2038" s="553">
        <v>2</v>
      </c>
      <c r="F2038" s="553">
        <v>2</v>
      </c>
      <c r="G2038" s="553" t="s">
        <v>484</v>
      </c>
      <c r="H2038" s="553">
        <v>1321.48</v>
      </c>
      <c r="I2038" s="553">
        <v>0</v>
      </c>
      <c r="J2038" s="553">
        <v>0</v>
      </c>
      <c r="K2038" s="553">
        <v>13</v>
      </c>
      <c r="L2038" s="553">
        <v>4</v>
      </c>
      <c r="M2038" s="505" t="s">
        <v>137</v>
      </c>
      <c r="N2038" s="500">
        <v>43013539530000</v>
      </c>
      <c r="O2038" s="553" t="s">
        <v>2082</v>
      </c>
      <c r="P2038" s="650" t="s">
        <v>2710</v>
      </c>
      <c r="Q2038" s="564"/>
      <c r="R2038" s="564">
        <v>2</v>
      </c>
    </row>
    <row r="2039" spans="1:18" ht="15" customHeight="1" x14ac:dyDescent="0.25">
      <c r="A2039" s="553">
        <v>21</v>
      </c>
      <c r="B2039" s="553">
        <v>3</v>
      </c>
      <c r="C2039" s="553">
        <v>2</v>
      </c>
      <c r="D2039" s="553">
        <v>1</v>
      </c>
      <c r="E2039" s="553">
        <v>2</v>
      </c>
      <c r="F2039" s="553">
        <v>2</v>
      </c>
      <c r="G2039" s="553" t="s">
        <v>486</v>
      </c>
      <c r="H2039" s="553">
        <v>1318.89</v>
      </c>
      <c r="I2039" s="553">
        <v>0</v>
      </c>
      <c r="J2039" s="553">
        <v>14</v>
      </c>
      <c r="K2039" s="553">
        <v>57</v>
      </c>
      <c r="L2039" s="553">
        <v>2</v>
      </c>
      <c r="M2039" s="505" t="s">
        <v>137</v>
      </c>
      <c r="N2039" s="500">
        <v>43013539530000</v>
      </c>
      <c r="O2039" s="553" t="s">
        <v>2082</v>
      </c>
      <c r="P2039" s="650" t="s">
        <v>2711</v>
      </c>
      <c r="Q2039" s="564"/>
      <c r="R2039" s="564">
        <v>2</v>
      </c>
    </row>
    <row r="2040" spans="1:18" ht="15" customHeight="1" x14ac:dyDescent="0.25">
      <c r="A2040" s="553">
        <v>21</v>
      </c>
      <c r="B2040" s="553">
        <v>3</v>
      </c>
      <c r="C2040" s="553">
        <v>2</v>
      </c>
      <c r="D2040" s="553">
        <v>1</v>
      </c>
      <c r="E2040" s="553">
        <v>2</v>
      </c>
      <c r="F2040" s="553">
        <v>2</v>
      </c>
      <c r="G2040" s="502" t="s">
        <v>488</v>
      </c>
      <c r="H2040" s="553">
        <v>1318.89</v>
      </c>
      <c r="I2040" s="553">
        <v>0</v>
      </c>
      <c r="J2040" s="553">
        <v>14</v>
      </c>
      <c r="K2040" s="553">
        <v>57</v>
      </c>
      <c r="L2040" s="553">
        <v>2</v>
      </c>
      <c r="M2040" s="505" t="s">
        <v>137</v>
      </c>
      <c r="N2040" s="500">
        <v>43013539530000</v>
      </c>
      <c r="O2040" s="553" t="s">
        <v>2082</v>
      </c>
      <c r="P2040" s="650" t="s">
        <v>2712</v>
      </c>
      <c r="Q2040" s="564"/>
      <c r="R2040" s="564">
        <v>2</v>
      </c>
    </row>
    <row r="2041" spans="1:18" ht="15" customHeight="1" x14ac:dyDescent="0.25">
      <c r="A2041" s="553">
        <v>21</v>
      </c>
      <c r="B2041" s="553">
        <v>3</v>
      </c>
      <c r="C2041" s="553">
        <v>2</v>
      </c>
      <c r="D2041" s="553">
        <v>1</v>
      </c>
      <c r="E2041" s="553">
        <v>2</v>
      </c>
      <c r="F2041" s="553">
        <v>2</v>
      </c>
      <c r="G2041" s="553" t="s">
        <v>490</v>
      </c>
      <c r="H2041" s="553">
        <v>1336.0350000000001</v>
      </c>
      <c r="I2041" s="553">
        <v>0</v>
      </c>
      <c r="J2041" s="553">
        <v>14</v>
      </c>
      <c r="K2041" s="553">
        <v>57</v>
      </c>
      <c r="L2041" s="553">
        <v>2</v>
      </c>
      <c r="M2041" s="505" t="s">
        <v>137</v>
      </c>
      <c r="N2041" s="500">
        <v>43013539530000</v>
      </c>
      <c r="O2041" s="553" t="s">
        <v>2082</v>
      </c>
      <c r="P2041" s="650" t="s">
        <v>2713</v>
      </c>
      <c r="Q2041" s="564"/>
      <c r="R2041" s="564">
        <v>2</v>
      </c>
    </row>
    <row r="2042" spans="1:18" ht="15" customHeight="1" x14ac:dyDescent="0.25">
      <c r="A2042" s="553">
        <v>21</v>
      </c>
      <c r="B2042" s="553">
        <v>3</v>
      </c>
      <c r="C2042" s="553">
        <v>2</v>
      </c>
      <c r="D2042" s="553">
        <v>1</v>
      </c>
      <c r="E2042" s="553">
        <v>2</v>
      </c>
      <c r="F2042" s="553">
        <v>2</v>
      </c>
      <c r="G2042" s="553" t="s">
        <v>493</v>
      </c>
      <c r="H2042" s="553">
        <v>1336.0350000000001</v>
      </c>
      <c r="I2042" s="553">
        <v>0</v>
      </c>
      <c r="J2042" s="553">
        <v>14</v>
      </c>
      <c r="K2042" s="553">
        <v>57</v>
      </c>
      <c r="L2042" s="553">
        <v>2</v>
      </c>
      <c r="M2042" s="505" t="s">
        <v>137</v>
      </c>
      <c r="N2042" s="500">
        <v>43013539530000</v>
      </c>
      <c r="O2042" s="553" t="s">
        <v>2082</v>
      </c>
      <c r="P2042" s="650" t="s">
        <v>2714</v>
      </c>
      <c r="Q2042" s="564"/>
      <c r="R2042" s="564">
        <v>2</v>
      </c>
    </row>
    <row r="2043" spans="1:18" ht="15" customHeight="1" x14ac:dyDescent="0.25">
      <c r="A2043" s="553">
        <v>21</v>
      </c>
      <c r="B2043" s="553">
        <v>3</v>
      </c>
      <c r="C2043" s="553">
        <v>2</v>
      </c>
      <c r="D2043" s="553">
        <v>1</v>
      </c>
      <c r="E2043" s="553">
        <v>2</v>
      </c>
      <c r="F2043" s="553">
        <v>2</v>
      </c>
      <c r="G2043" s="553" t="s">
        <v>474</v>
      </c>
      <c r="H2043" s="553">
        <v>1325.58</v>
      </c>
      <c r="I2043" s="553">
        <v>89</v>
      </c>
      <c r="J2043" s="553">
        <v>53</v>
      </c>
      <c r="K2043" s="553">
        <v>20</v>
      </c>
      <c r="L2043" s="553">
        <v>3</v>
      </c>
      <c r="M2043" s="505" t="s">
        <v>137</v>
      </c>
      <c r="N2043" s="500">
        <v>43013539530000</v>
      </c>
      <c r="O2043" s="553" t="s">
        <v>2082</v>
      </c>
      <c r="P2043" s="650" t="s">
        <v>2715</v>
      </c>
      <c r="Q2043" s="564"/>
      <c r="R2043" s="564">
        <v>2</v>
      </c>
    </row>
    <row r="2044" spans="1:18" ht="15" customHeight="1" x14ac:dyDescent="0.25">
      <c r="A2044" s="553">
        <v>21</v>
      </c>
      <c r="B2044" s="553">
        <v>3</v>
      </c>
      <c r="C2044" s="553">
        <v>2</v>
      </c>
      <c r="D2044" s="553">
        <v>1</v>
      </c>
      <c r="E2044" s="553">
        <v>2</v>
      </c>
      <c r="F2044" s="553">
        <v>2</v>
      </c>
      <c r="G2044" s="502" t="s">
        <v>477</v>
      </c>
      <c r="H2044" s="553">
        <v>1318.12</v>
      </c>
      <c r="I2044" s="553">
        <v>89</v>
      </c>
      <c r="J2044" s="553">
        <v>56</v>
      </c>
      <c r="K2044" s="553">
        <v>56</v>
      </c>
      <c r="L2044" s="553">
        <v>3</v>
      </c>
      <c r="M2044" s="505" t="s">
        <v>137</v>
      </c>
      <c r="N2044" s="500">
        <v>43013539530000</v>
      </c>
      <c r="O2044" s="553" t="s">
        <v>2082</v>
      </c>
      <c r="P2044" s="650" t="s">
        <v>2716</v>
      </c>
      <c r="Q2044" s="564"/>
      <c r="R2044" s="564">
        <v>2</v>
      </c>
    </row>
    <row r="2045" spans="1:18" ht="15" customHeight="1" x14ac:dyDescent="0.25">
      <c r="A2045" s="553">
        <v>21</v>
      </c>
      <c r="B2045" s="553">
        <v>3</v>
      </c>
      <c r="C2045" s="553">
        <v>2</v>
      </c>
      <c r="D2045" s="553">
        <v>1</v>
      </c>
      <c r="E2045" s="553">
        <v>2</v>
      </c>
      <c r="F2045" s="553">
        <v>2</v>
      </c>
      <c r="G2045" s="553" t="s">
        <v>479</v>
      </c>
      <c r="H2045" s="553">
        <v>1320.585</v>
      </c>
      <c r="I2045" s="553">
        <v>89</v>
      </c>
      <c r="J2045" s="553">
        <v>55</v>
      </c>
      <c r="K2045" s="553">
        <v>18</v>
      </c>
      <c r="L2045" s="553">
        <v>1</v>
      </c>
      <c r="M2045" s="505" t="s">
        <v>137</v>
      </c>
      <c r="N2045" s="500">
        <v>43013539530000</v>
      </c>
      <c r="O2045" s="553" t="s">
        <v>2082</v>
      </c>
      <c r="P2045" s="650" t="s">
        <v>2717</v>
      </c>
      <c r="Q2045" s="564"/>
      <c r="R2045" s="564">
        <v>2</v>
      </c>
    </row>
    <row r="2046" spans="1:18" ht="15" customHeight="1" x14ac:dyDescent="0.25">
      <c r="A2046" s="553">
        <v>21</v>
      </c>
      <c r="B2046" s="553">
        <v>3</v>
      </c>
      <c r="C2046" s="553">
        <v>2</v>
      </c>
      <c r="D2046" s="553">
        <v>1</v>
      </c>
      <c r="E2046" s="553">
        <v>2</v>
      </c>
      <c r="F2046" s="553">
        <v>2</v>
      </c>
      <c r="G2046" s="553" t="s">
        <v>485</v>
      </c>
      <c r="H2046" s="553">
        <v>1320.585</v>
      </c>
      <c r="I2046" s="553">
        <v>89</v>
      </c>
      <c r="J2046" s="553">
        <v>55</v>
      </c>
      <c r="K2046" s="553">
        <v>18</v>
      </c>
      <c r="L2046" s="553">
        <v>1</v>
      </c>
      <c r="M2046" s="505" t="s">
        <v>137</v>
      </c>
      <c r="N2046" s="500">
        <v>43013539530000</v>
      </c>
      <c r="O2046" s="553" t="s">
        <v>2082</v>
      </c>
      <c r="P2046" s="650" t="s">
        <v>2718</v>
      </c>
      <c r="Q2046" s="564"/>
      <c r="R2046" s="564">
        <v>2</v>
      </c>
    </row>
    <row r="2047" spans="1:18" ht="15" customHeight="1" x14ac:dyDescent="0.25">
      <c r="A2047" s="553">
        <v>21</v>
      </c>
      <c r="B2047" s="553">
        <v>3</v>
      </c>
      <c r="C2047" s="553">
        <v>2</v>
      </c>
      <c r="D2047" s="553">
        <v>1</v>
      </c>
      <c r="E2047" s="553">
        <v>2</v>
      </c>
      <c r="F2047" s="553">
        <v>2</v>
      </c>
      <c r="G2047" s="553" t="s">
        <v>487</v>
      </c>
      <c r="H2047" s="553">
        <v>1304.0550000000001</v>
      </c>
      <c r="I2047" s="553">
        <v>89</v>
      </c>
      <c r="J2047" s="553">
        <v>40</v>
      </c>
      <c r="K2047" s="553">
        <v>35</v>
      </c>
      <c r="L2047" s="553">
        <v>1</v>
      </c>
      <c r="M2047" s="505" t="s">
        <v>137</v>
      </c>
      <c r="N2047" s="500">
        <v>43013539530000</v>
      </c>
      <c r="O2047" s="553" t="s">
        <v>2082</v>
      </c>
      <c r="P2047" s="650" t="s">
        <v>2719</v>
      </c>
      <c r="Q2047" s="564"/>
      <c r="R2047" s="564">
        <v>2</v>
      </c>
    </row>
    <row r="2048" spans="1:18" ht="15" customHeight="1" x14ac:dyDescent="0.25">
      <c r="A2048" s="553">
        <v>21</v>
      </c>
      <c r="B2048" s="553">
        <v>3</v>
      </c>
      <c r="C2048" s="553">
        <v>2</v>
      </c>
      <c r="D2048" s="553">
        <v>1</v>
      </c>
      <c r="E2048" s="553">
        <v>2</v>
      </c>
      <c r="F2048" s="553">
        <v>2</v>
      </c>
      <c r="G2048" s="502" t="s">
        <v>489</v>
      </c>
      <c r="H2048" s="650">
        <v>1304.0550000000001</v>
      </c>
      <c r="I2048" s="650">
        <v>89</v>
      </c>
      <c r="J2048" s="650">
        <v>40</v>
      </c>
      <c r="K2048" s="650">
        <v>35</v>
      </c>
      <c r="L2048" s="650">
        <v>1</v>
      </c>
      <c r="M2048" s="654" t="s">
        <v>137</v>
      </c>
      <c r="N2048" s="655">
        <v>43013539530000</v>
      </c>
      <c r="O2048" s="650" t="s">
        <v>2082</v>
      </c>
      <c r="P2048" s="650" t="s">
        <v>2720</v>
      </c>
      <c r="Q2048" s="564"/>
      <c r="R2048" s="564">
        <v>2</v>
      </c>
    </row>
    <row r="2049" spans="1:18" ht="15" customHeight="1" x14ac:dyDescent="0.25">
      <c r="A2049" s="553">
        <v>21</v>
      </c>
      <c r="B2049" s="553">
        <v>3</v>
      </c>
      <c r="C2049" s="553">
        <v>2</v>
      </c>
      <c r="D2049" s="553">
        <v>1</v>
      </c>
      <c r="E2049" s="553">
        <v>2</v>
      </c>
      <c r="F2049" s="553">
        <v>2</v>
      </c>
      <c r="G2049" s="553" t="s">
        <v>491</v>
      </c>
      <c r="H2049" s="650">
        <v>1321.625</v>
      </c>
      <c r="I2049" s="650">
        <v>89</v>
      </c>
      <c r="J2049" s="650">
        <v>34</v>
      </c>
      <c r="K2049" s="650">
        <v>58</v>
      </c>
      <c r="L2049" s="650">
        <v>1</v>
      </c>
      <c r="M2049" s="654" t="s">
        <v>137</v>
      </c>
      <c r="N2049" s="655">
        <v>43013539530000</v>
      </c>
      <c r="O2049" s="650" t="s">
        <v>2082</v>
      </c>
      <c r="P2049" s="650" t="s">
        <v>2721</v>
      </c>
      <c r="Q2049" s="564"/>
      <c r="R2049" s="564">
        <v>2</v>
      </c>
    </row>
    <row r="2050" spans="1:18" ht="15" customHeight="1" x14ac:dyDescent="0.25">
      <c r="A2050" s="553">
        <v>21</v>
      </c>
      <c r="B2050" s="553">
        <v>3</v>
      </c>
      <c r="C2050" s="553">
        <v>2</v>
      </c>
      <c r="D2050" s="553">
        <v>1</v>
      </c>
      <c r="E2050" s="553">
        <v>2</v>
      </c>
      <c r="F2050" s="553">
        <v>2</v>
      </c>
      <c r="G2050" s="553" t="s">
        <v>494</v>
      </c>
      <c r="H2050" s="650">
        <v>1321.625</v>
      </c>
      <c r="I2050" s="650">
        <v>89</v>
      </c>
      <c r="J2050" s="650">
        <v>34</v>
      </c>
      <c r="K2050" s="650">
        <v>58</v>
      </c>
      <c r="L2050" s="650">
        <v>1</v>
      </c>
      <c r="M2050" s="654" t="s">
        <v>137</v>
      </c>
      <c r="N2050" s="655">
        <v>43013539530000</v>
      </c>
      <c r="O2050" s="650" t="s">
        <v>2082</v>
      </c>
      <c r="P2050" s="650" t="s">
        <v>2722</v>
      </c>
      <c r="Q2050" s="564"/>
      <c r="R2050" s="564">
        <v>2</v>
      </c>
    </row>
    <row r="2051" spans="1:18" ht="15" customHeight="1" x14ac:dyDescent="0.25">
      <c r="A2051" s="553">
        <v>21</v>
      </c>
      <c r="B2051" s="553">
        <v>3</v>
      </c>
      <c r="C2051" s="553">
        <v>2</v>
      </c>
      <c r="D2051" s="553">
        <v>2</v>
      </c>
      <c r="E2051" s="553">
        <v>2</v>
      </c>
      <c r="F2051" s="553">
        <v>2</v>
      </c>
      <c r="G2051" s="553" t="s">
        <v>473</v>
      </c>
      <c r="H2051" s="650">
        <v>1317.7049999999999</v>
      </c>
      <c r="I2051" s="650">
        <v>0</v>
      </c>
      <c r="J2051" s="650">
        <v>52</v>
      </c>
      <c r="K2051" s="650">
        <v>11</v>
      </c>
      <c r="L2051" s="650">
        <v>4</v>
      </c>
      <c r="M2051" s="654" t="s">
        <v>312</v>
      </c>
      <c r="N2051" s="655">
        <v>43013537010000</v>
      </c>
      <c r="O2051" s="650" t="s">
        <v>1418</v>
      </c>
      <c r="P2051" s="650" t="s">
        <v>2723</v>
      </c>
      <c r="Q2051" s="564"/>
      <c r="R2051" s="564">
        <v>1</v>
      </c>
    </row>
    <row r="2052" spans="1:18" ht="15" customHeight="1" x14ac:dyDescent="0.25">
      <c r="A2052" s="553">
        <v>21</v>
      </c>
      <c r="B2052" s="553">
        <v>3</v>
      </c>
      <c r="C2052" s="553">
        <v>2</v>
      </c>
      <c r="D2052" s="553">
        <v>2</v>
      </c>
      <c r="E2052" s="553">
        <v>2</v>
      </c>
      <c r="F2052" s="553">
        <v>2</v>
      </c>
      <c r="G2052" s="502" t="s">
        <v>476</v>
      </c>
      <c r="H2052" s="650">
        <v>1317.7049999999999</v>
      </c>
      <c r="I2052" s="650">
        <v>0</v>
      </c>
      <c r="J2052" s="650">
        <v>52</v>
      </c>
      <c r="K2052" s="650">
        <v>11</v>
      </c>
      <c r="L2052" s="650">
        <v>4</v>
      </c>
      <c r="M2052" s="654" t="s">
        <v>312</v>
      </c>
      <c r="N2052" s="655">
        <v>43013537010000</v>
      </c>
      <c r="O2052" s="650" t="s">
        <v>1418</v>
      </c>
      <c r="P2052" s="650" t="s">
        <v>2724</v>
      </c>
      <c r="Q2052" s="564"/>
      <c r="R2052" s="564">
        <v>1</v>
      </c>
    </row>
    <row r="2053" spans="1:18" ht="15" customHeight="1" x14ac:dyDescent="0.25">
      <c r="A2053" s="553">
        <v>21</v>
      </c>
      <c r="B2053" s="553">
        <v>3</v>
      </c>
      <c r="C2053" s="553">
        <v>2</v>
      </c>
      <c r="D2053" s="553">
        <v>2</v>
      </c>
      <c r="E2053" s="553">
        <v>2</v>
      </c>
      <c r="F2053" s="553">
        <v>2</v>
      </c>
      <c r="G2053" s="553" t="s">
        <v>478</v>
      </c>
      <c r="H2053" s="650">
        <v>1375.64</v>
      </c>
      <c r="I2053" s="650">
        <v>1</v>
      </c>
      <c r="J2053" s="650">
        <v>54</v>
      </c>
      <c r="K2053" s="650">
        <v>29</v>
      </c>
      <c r="L2053" s="650">
        <v>4</v>
      </c>
      <c r="M2053" s="654" t="s">
        <v>312</v>
      </c>
      <c r="N2053" s="655">
        <v>43013537010000</v>
      </c>
      <c r="O2053" s="650" t="s">
        <v>1418</v>
      </c>
      <c r="P2053" s="650" t="s">
        <v>2725</v>
      </c>
      <c r="Q2053" s="564"/>
      <c r="R2053" s="564">
        <v>1</v>
      </c>
    </row>
    <row r="2054" spans="1:18" ht="15" customHeight="1" x14ac:dyDescent="0.25">
      <c r="A2054" s="553">
        <v>21</v>
      </c>
      <c r="B2054" s="553">
        <v>3</v>
      </c>
      <c r="C2054" s="553">
        <v>2</v>
      </c>
      <c r="D2054" s="553">
        <v>2</v>
      </c>
      <c r="E2054" s="553">
        <v>2</v>
      </c>
      <c r="F2054" s="553">
        <v>2</v>
      </c>
      <c r="G2054" s="553" t="s">
        <v>484</v>
      </c>
      <c r="H2054" s="650">
        <v>1375.72</v>
      </c>
      <c r="I2054" s="650">
        <v>1</v>
      </c>
      <c r="J2054" s="650">
        <v>46</v>
      </c>
      <c r="K2054" s="650">
        <v>9</v>
      </c>
      <c r="L2054" s="650">
        <v>4</v>
      </c>
      <c r="M2054" s="654" t="s">
        <v>312</v>
      </c>
      <c r="N2054" s="655">
        <v>43013537010000</v>
      </c>
      <c r="O2054" s="650" t="s">
        <v>1418</v>
      </c>
      <c r="P2054" s="650" t="s">
        <v>2726</v>
      </c>
      <c r="Q2054" s="564"/>
      <c r="R2054" s="564">
        <v>1</v>
      </c>
    </row>
    <row r="2055" spans="1:18" ht="15" customHeight="1" x14ac:dyDescent="0.25">
      <c r="A2055" s="553">
        <v>21</v>
      </c>
      <c r="B2055" s="553">
        <v>3</v>
      </c>
      <c r="C2055" s="553">
        <v>2</v>
      </c>
      <c r="D2055" s="553">
        <v>2</v>
      </c>
      <c r="E2055" s="553">
        <v>2</v>
      </c>
      <c r="F2055" s="553">
        <v>2</v>
      </c>
      <c r="G2055" s="553" t="s">
        <v>486</v>
      </c>
      <c r="H2055" s="650">
        <v>1323.52</v>
      </c>
      <c r="I2055" s="650">
        <v>0</v>
      </c>
      <c r="J2055" s="650">
        <v>13</v>
      </c>
      <c r="K2055" s="650">
        <v>19</v>
      </c>
      <c r="L2055" s="650">
        <v>1</v>
      </c>
      <c r="M2055" s="654" t="s">
        <v>312</v>
      </c>
      <c r="N2055" s="655">
        <v>43013537010000</v>
      </c>
      <c r="O2055" s="650" t="s">
        <v>1418</v>
      </c>
      <c r="P2055" s="650" t="s">
        <v>2727</v>
      </c>
      <c r="Q2055" s="564"/>
      <c r="R2055" s="564">
        <v>1</v>
      </c>
    </row>
    <row r="2056" spans="1:18" ht="15" customHeight="1" x14ac:dyDescent="0.25">
      <c r="A2056" s="553">
        <v>21</v>
      </c>
      <c r="B2056" s="553">
        <v>3</v>
      </c>
      <c r="C2056" s="553">
        <v>2</v>
      </c>
      <c r="D2056" s="553">
        <v>2</v>
      </c>
      <c r="E2056" s="553">
        <v>2</v>
      </c>
      <c r="F2056" s="553">
        <v>2</v>
      </c>
      <c r="G2056" s="502" t="s">
        <v>488</v>
      </c>
      <c r="H2056" s="650">
        <v>1327.85</v>
      </c>
      <c r="I2056" s="650">
        <v>0</v>
      </c>
      <c r="J2056" s="650">
        <v>40</v>
      </c>
      <c r="K2056" s="650">
        <v>3</v>
      </c>
      <c r="L2056" s="650">
        <v>1</v>
      </c>
      <c r="M2056" s="654" t="s">
        <v>312</v>
      </c>
      <c r="N2056" s="655">
        <v>43013537010000</v>
      </c>
      <c r="O2056" s="650" t="s">
        <v>1418</v>
      </c>
      <c r="P2056" s="650" t="s">
        <v>2728</v>
      </c>
      <c r="Q2056" s="564"/>
      <c r="R2056" s="564">
        <v>1</v>
      </c>
    </row>
    <row r="2057" spans="1:18" ht="15" customHeight="1" x14ac:dyDescent="0.25">
      <c r="A2057" s="553">
        <v>21</v>
      </c>
      <c r="B2057" s="553">
        <v>3</v>
      </c>
      <c r="C2057" s="553">
        <v>2</v>
      </c>
      <c r="D2057" s="553">
        <v>2</v>
      </c>
      <c r="E2057" s="553">
        <v>2</v>
      </c>
      <c r="F2057" s="553">
        <v>2</v>
      </c>
      <c r="G2057" s="553" t="s">
        <v>490</v>
      </c>
      <c r="H2057" s="650">
        <v>1325.73</v>
      </c>
      <c r="I2057" s="650">
        <v>0</v>
      </c>
      <c r="J2057" s="650">
        <v>27</v>
      </c>
      <c r="K2057" s="650">
        <v>5</v>
      </c>
      <c r="L2057" s="650">
        <v>1</v>
      </c>
      <c r="M2057" s="654" t="s">
        <v>312</v>
      </c>
      <c r="N2057" s="655">
        <v>43013537010000</v>
      </c>
      <c r="O2057" s="650" t="s">
        <v>1418</v>
      </c>
      <c r="P2057" s="650" t="s">
        <v>2729</v>
      </c>
      <c r="Q2057" s="564"/>
      <c r="R2057" s="564">
        <v>1</v>
      </c>
    </row>
    <row r="2058" spans="1:18" ht="15" customHeight="1" x14ac:dyDescent="0.25">
      <c r="A2058" s="553">
        <v>21</v>
      </c>
      <c r="B2058" s="553">
        <v>3</v>
      </c>
      <c r="C2058" s="553">
        <v>2</v>
      </c>
      <c r="D2058" s="553">
        <v>2</v>
      </c>
      <c r="E2058" s="553">
        <v>2</v>
      </c>
      <c r="F2058" s="553">
        <v>2</v>
      </c>
      <c r="G2058" s="553" t="s">
        <v>493</v>
      </c>
      <c r="H2058" s="650">
        <v>1325.7</v>
      </c>
      <c r="I2058" s="650">
        <v>0</v>
      </c>
      <c r="J2058" s="650">
        <v>26</v>
      </c>
      <c r="K2058" s="650">
        <v>6</v>
      </c>
      <c r="L2058" s="650">
        <v>1</v>
      </c>
      <c r="M2058" s="654" t="s">
        <v>312</v>
      </c>
      <c r="N2058" s="655">
        <v>43013537010000</v>
      </c>
      <c r="O2058" s="650" t="s">
        <v>1418</v>
      </c>
      <c r="P2058" s="650" t="s">
        <v>2730</v>
      </c>
      <c r="Q2058" s="564"/>
      <c r="R2058" s="564">
        <v>1</v>
      </c>
    </row>
    <row r="2059" spans="1:18" ht="15" customHeight="1" x14ac:dyDescent="0.25">
      <c r="A2059" s="553">
        <v>21</v>
      </c>
      <c r="B2059" s="553">
        <v>3</v>
      </c>
      <c r="C2059" s="553">
        <v>2</v>
      </c>
      <c r="D2059" s="553">
        <v>2</v>
      </c>
      <c r="E2059" s="553">
        <v>2</v>
      </c>
      <c r="F2059" s="553">
        <v>2</v>
      </c>
      <c r="G2059" s="553" t="s">
        <v>474</v>
      </c>
      <c r="H2059" s="650">
        <v>1323.3</v>
      </c>
      <c r="I2059" s="650">
        <v>89</v>
      </c>
      <c r="J2059" s="650">
        <v>26</v>
      </c>
      <c r="K2059" s="650">
        <v>3</v>
      </c>
      <c r="L2059" s="650">
        <v>1</v>
      </c>
      <c r="M2059" s="654" t="s">
        <v>312</v>
      </c>
      <c r="N2059" s="655">
        <v>43013537010000</v>
      </c>
      <c r="O2059" s="650" t="s">
        <v>1418</v>
      </c>
      <c r="P2059" s="650" t="s">
        <v>2731</v>
      </c>
      <c r="Q2059" s="564"/>
      <c r="R2059" s="564">
        <v>1</v>
      </c>
    </row>
    <row r="2060" spans="1:18" ht="15" customHeight="1" x14ac:dyDescent="0.25">
      <c r="A2060" s="553">
        <v>21</v>
      </c>
      <c r="B2060" s="553">
        <v>3</v>
      </c>
      <c r="C2060" s="553">
        <v>2</v>
      </c>
      <c r="D2060" s="553">
        <v>2</v>
      </c>
      <c r="E2060" s="553">
        <v>2</v>
      </c>
      <c r="F2060" s="553">
        <v>2</v>
      </c>
      <c r="G2060" s="502" t="s">
        <v>477</v>
      </c>
      <c r="H2060" s="650">
        <v>1301.71</v>
      </c>
      <c r="I2060" s="650">
        <v>89</v>
      </c>
      <c r="J2060" s="650">
        <v>2</v>
      </c>
      <c r="K2060" s="650">
        <v>57</v>
      </c>
      <c r="L2060" s="650">
        <v>2</v>
      </c>
      <c r="M2060" s="654" t="s">
        <v>312</v>
      </c>
      <c r="N2060" s="655">
        <v>43013537010000</v>
      </c>
      <c r="O2060" s="650" t="s">
        <v>1418</v>
      </c>
      <c r="P2060" s="650" t="s">
        <v>2732</v>
      </c>
      <c r="Q2060" s="564"/>
      <c r="R2060" s="564">
        <v>1</v>
      </c>
    </row>
    <row r="2061" spans="1:18" ht="15" customHeight="1" x14ac:dyDescent="0.25">
      <c r="A2061" s="553">
        <v>21</v>
      </c>
      <c r="B2061" s="553">
        <v>3</v>
      </c>
      <c r="C2061" s="553">
        <v>2</v>
      </c>
      <c r="D2061" s="553">
        <v>2</v>
      </c>
      <c r="E2061" s="553">
        <v>2</v>
      </c>
      <c r="F2061" s="553">
        <v>2</v>
      </c>
      <c r="G2061" s="553" t="s">
        <v>479</v>
      </c>
      <c r="H2061" s="650">
        <v>1317.105</v>
      </c>
      <c r="I2061" s="650">
        <v>88</v>
      </c>
      <c r="J2061" s="650">
        <v>50</v>
      </c>
      <c r="K2061" s="650">
        <v>10</v>
      </c>
      <c r="L2061" s="650">
        <v>2</v>
      </c>
      <c r="M2061" s="654" t="s">
        <v>312</v>
      </c>
      <c r="N2061" s="655">
        <v>43013537010000</v>
      </c>
      <c r="O2061" s="650" t="s">
        <v>1418</v>
      </c>
      <c r="P2061" s="650" t="s">
        <v>2733</v>
      </c>
      <c r="Q2061" s="564"/>
      <c r="R2061" s="564">
        <v>1</v>
      </c>
    </row>
    <row r="2062" spans="1:18" ht="15" customHeight="1" x14ac:dyDescent="0.25">
      <c r="A2062" s="553">
        <v>21</v>
      </c>
      <c r="B2062" s="553">
        <v>3</v>
      </c>
      <c r="C2062" s="553">
        <v>2</v>
      </c>
      <c r="D2062" s="553">
        <v>2</v>
      </c>
      <c r="E2062" s="553">
        <v>2</v>
      </c>
      <c r="F2062" s="553">
        <v>2</v>
      </c>
      <c r="G2062" s="553" t="s">
        <v>485</v>
      </c>
      <c r="H2062" s="650">
        <v>1317.105</v>
      </c>
      <c r="I2062" s="650">
        <v>88</v>
      </c>
      <c r="J2062" s="650">
        <v>50</v>
      </c>
      <c r="K2062" s="650">
        <v>10</v>
      </c>
      <c r="L2062" s="650">
        <v>2</v>
      </c>
      <c r="M2062" s="654" t="s">
        <v>312</v>
      </c>
      <c r="N2062" s="655">
        <v>43013537010000</v>
      </c>
      <c r="O2062" s="650" t="s">
        <v>1418</v>
      </c>
      <c r="P2062" s="650" t="s">
        <v>2734</v>
      </c>
      <c r="Q2062" s="564"/>
      <c r="R2062" s="564">
        <v>1</v>
      </c>
    </row>
    <row r="2063" spans="1:18" ht="15" customHeight="1" x14ac:dyDescent="0.25">
      <c r="A2063" s="553">
        <v>21</v>
      </c>
      <c r="B2063" s="553">
        <v>3</v>
      </c>
      <c r="C2063" s="553">
        <v>2</v>
      </c>
      <c r="D2063" s="553">
        <v>2</v>
      </c>
      <c r="E2063" s="553">
        <v>2</v>
      </c>
      <c r="F2063" s="553">
        <v>2</v>
      </c>
      <c r="G2063" s="553" t="s">
        <v>487</v>
      </c>
      <c r="H2063" s="650">
        <v>1316.8</v>
      </c>
      <c r="I2063" s="650">
        <v>88</v>
      </c>
      <c r="J2063" s="650">
        <v>13</v>
      </c>
      <c r="K2063" s="650">
        <v>4</v>
      </c>
      <c r="L2063" s="650">
        <v>3</v>
      </c>
      <c r="M2063" s="654" t="s">
        <v>312</v>
      </c>
      <c r="N2063" s="655">
        <v>43013537010000</v>
      </c>
      <c r="O2063" s="650" t="s">
        <v>1418</v>
      </c>
      <c r="P2063" s="650" t="s">
        <v>2735</v>
      </c>
      <c r="Q2063" s="564"/>
      <c r="R2063" s="564">
        <v>1</v>
      </c>
    </row>
    <row r="2064" spans="1:18" ht="15" customHeight="1" x14ac:dyDescent="0.25">
      <c r="A2064" s="553">
        <v>21</v>
      </c>
      <c r="B2064" s="553">
        <v>3</v>
      </c>
      <c r="C2064" s="553">
        <v>2</v>
      </c>
      <c r="D2064" s="553">
        <v>2</v>
      </c>
      <c r="E2064" s="553">
        <v>2</v>
      </c>
      <c r="F2064" s="553">
        <v>2</v>
      </c>
      <c r="G2064" s="502" t="s">
        <v>489</v>
      </c>
      <c r="H2064" s="501">
        <v>1312.7366666666669</v>
      </c>
      <c r="I2064" s="553">
        <v>88</v>
      </c>
      <c r="J2064" s="553">
        <v>28</v>
      </c>
      <c r="K2064" s="553">
        <v>41</v>
      </c>
      <c r="L2064" s="553">
        <v>3</v>
      </c>
      <c r="M2064" s="505" t="s">
        <v>312</v>
      </c>
      <c r="N2064" s="500">
        <v>43013537010000</v>
      </c>
      <c r="O2064" s="553" t="s">
        <v>1418</v>
      </c>
      <c r="P2064" s="650" t="s">
        <v>2736</v>
      </c>
      <c r="Q2064" s="564"/>
      <c r="R2064" s="564">
        <v>1</v>
      </c>
    </row>
    <row r="2065" spans="1:18" ht="15" customHeight="1" x14ac:dyDescent="0.25">
      <c r="A2065" s="553">
        <v>21</v>
      </c>
      <c r="B2065" s="553">
        <v>3</v>
      </c>
      <c r="C2065" s="553">
        <v>2</v>
      </c>
      <c r="D2065" s="553">
        <v>2</v>
      </c>
      <c r="E2065" s="553">
        <v>2</v>
      </c>
      <c r="F2065" s="553">
        <v>2</v>
      </c>
      <c r="G2065" s="553" t="s">
        <v>491</v>
      </c>
      <c r="H2065" s="501">
        <v>1312.7366666666669</v>
      </c>
      <c r="I2065" s="553">
        <v>88</v>
      </c>
      <c r="J2065" s="553">
        <v>28</v>
      </c>
      <c r="K2065" s="553">
        <v>41</v>
      </c>
      <c r="L2065" s="553">
        <v>3</v>
      </c>
      <c r="M2065" s="505" t="s">
        <v>312</v>
      </c>
      <c r="N2065" s="500">
        <v>43013537010000</v>
      </c>
      <c r="O2065" s="553" t="s">
        <v>1418</v>
      </c>
      <c r="P2065" s="650" t="s">
        <v>2737</v>
      </c>
      <c r="Q2065" s="564"/>
      <c r="R2065" s="564">
        <v>1</v>
      </c>
    </row>
    <row r="2066" spans="1:18" ht="15" customHeight="1" x14ac:dyDescent="0.25">
      <c r="A2066" s="553">
        <v>21</v>
      </c>
      <c r="B2066" s="553">
        <v>3</v>
      </c>
      <c r="C2066" s="553">
        <v>2</v>
      </c>
      <c r="D2066" s="553">
        <v>2</v>
      </c>
      <c r="E2066" s="553">
        <v>2</v>
      </c>
      <c r="F2066" s="553">
        <v>2</v>
      </c>
      <c r="G2066" s="553" t="s">
        <v>494</v>
      </c>
      <c r="H2066" s="501">
        <v>1312.7366666666669</v>
      </c>
      <c r="I2066" s="553">
        <v>88</v>
      </c>
      <c r="J2066" s="553">
        <v>28</v>
      </c>
      <c r="K2066" s="553">
        <v>41</v>
      </c>
      <c r="L2066" s="553">
        <v>3</v>
      </c>
      <c r="M2066" s="505" t="s">
        <v>312</v>
      </c>
      <c r="N2066" s="500">
        <v>43013537010000</v>
      </c>
      <c r="O2066" s="553" t="s">
        <v>1418</v>
      </c>
      <c r="P2066" s="650" t="s">
        <v>2738</v>
      </c>
      <c r="Q2066" s="564"/>
      <c r="R2066" s="564">
        <v>1</v>
      </c>
    </row>
    <row r="2067" spans="1:18" ht="15" customHeight="1" x14ac:dyDescent="0.25">
      <c r="A2067" s="553">
        <v>21</v>
      </c>
      <c r="B2067" s="553">
        <v>3</v>
      </c>
      <c r="C2067" s="553">
        <v>2</v>
      </c>
      <c r="D2067" s="553">
        <v>4</v>
      </c>
      <c r="E2067" s="553">
        <v>2</v>
      </c>
      <c r="F2067" s="553">
        <v>2</v>
      </c>
      <c r="G2067" s="553" t="s">
        <v>473</v>
      </c>
      <c r="H2067" s="553">
        <v>1308.43</v>
      </c>
      <c r="I2067" s="553">
        <v>0</v>
      </c>
      <c r="J2067" s="553">
        <v>2</v>
      </c>
      <c r="K2067" s="553">
        <v>58</v>
      </c>
      <c r="L2067" s="553">
        <v>4</v>
      </c>
      <c r="M2067" s="505" t="s">
        <v>137</v>
      </c>
      <c r="N2067" s="500">
        <v>43013539080000</v>
      </c>
      <c r="O2067" s="553" t="s">
        <v>2739</v>
      </c>
      <c r="P2067" s="650" t="s">
        <v>2740</v>
      </c>
      <c r="Q2067" s="564"/>
      <c r="R2067" s="564">
        <v>2</v>
      </c>
    </row>
    <row r="2068" spans="1:18" ht="15" customHeight="1" x14ac:dyDescent="0.25">
      <c r="A2068" s="553">
        <v>21</v>
      </c>
      <c r="B2068" s="553">
        <v>3</v>
      </c>
      <c r="C2068" s="553">
        <v>2</v>
      </c>
      <c r="D2068" s="553">
        <v>4</v>
      </c>
      <c r="E2068" s="553">
        <v>2</v>
      </c>
      <c r="F2068" s="553">
        <v>2</v>
      </c>
      <c r="G2068" s="502" t="s">
        <v>476</v>
      </c>
      <c r="H2068" s="553">
        <v>1308.43</v>
      </c>
      <c r="I2068" s="553">
        <v>0</v>
      </c>
      <c r="J2068" s="553">
        <v>2</v>
      </c>
      <c r="K2068" s="553">
        <v>58</v>
      </c>
      <c r="L2068" s="553">
        <v>4</v>
      </c>
      <c r="M2068" s="505" t="s">
        <v>137</v>
      </c>
      <c r="N2068" s="500">
        <v>43013539080000</v>
      </c>
      <c r="O2068" s="553" t="s">
        <v>2739</v>
      </c>
      <c r="P2068" s="650" t="s">
        <v>2741</v>
      </c>
      <c r="Q2068" s="564"/>
      <c r="R2068" s="564">
        <v>2</v>
      </c>
    </row>
    <row r="2069" spans="1:18" ht="15" customHeight="1" x14ac:dyDescent="0.25">
      <c r="A2069" s="553">
        <v>21</v>
      </c>
      <c r="B2069" s="553">
        <v>3</v>
      </c>
      <c r="C2069" s="553">
        <v>2</v>
      </c>
      <c r="D2069" s="553">
        <v>4</v>
      </c>
      <c r="E2069" s="553">
        <v>2</v>
      </c>
      <c r="F2069" s="553">
        <v>2</v>
      </c>
      <c r="G2069" s="553" t="s">
        <v>478</v>
      </c>
      <c r="H2069" s="553">
        <v>1309.5450000000001</v>
      </c>
      <c r="I2069" s="553">
        <v>0</v>
      </c>
      <c r="J2069" s="553">
        <v>2</v>
      </c>
      <c r="K2069" s="553">
        <v>0</v>
      </c>
      <c r="L2069" s="553">
        <v>4</v>
      </c>
      <c r="M2069" s="505" t="s">
        <v>137</v>
      </c>
      <c r="N2069" s="500">
        <v>43013539080000</v>
      </c>
      <c r="O2069" s="553" t="s">
        <v>2739</v>
      </c>
      <c r="P2069" s="650" t="s">
        <v>2742</v>
      </c>
      <c r="Q2069" s="564"/>
      <c r="R2069" s="564">
        <v>2</v>
      </c>
    </row>
    <row r="2070" spans="1:18" ht="15" customHeight="1" x14ac:dyDescent="0.25">
      <c r="A2070" s="553">
        <v>21</v>
      </c>
      <c r="B2070" s="553">
        <v>3</v>
      </c>
      <c r="C2070" s="553">
        <v>2</v>
      </c>
      <c r="D2070" s="553">
        <v>4</v>
      </c>
      <c r="E2070" s="553">
        <v>2</v>
      </c>
      <c r="F2070" s="553">
        <v>2</v>
      </c>
      <c r="G2070" s="553" t="s">
        <v>484</v>
      </c>
      <c r="H2070" s="553">
        <v>1309.5450000000001</v>
      </c>
      <c r="I2070" s="553">
        <v>0</v>
      </c>
      <c r="J2070" s="553">
        <v>2</v>
      </c>
      <c r="K2070" s="553">
        <v>0</v>
      </c>
      <c r="L2070" s="553">
        <v>4</v>
      </c>
      <c r="M2070" s="505" t="s">
        <v>137</v>
      </c>
      <c r="N2070" s="500">
        <v>43013539080000</v>
      </c>
      <c r="O2070" s="553" t="s">
        <v>2739</v>
      </c>
      <c r="P2070" s="650" t="s">
        <v>2743</v>
      </c>
      <c r="Q2070" s="564"/>
      <c r="R2070" s="564">
        <v>2</v>
      </c>
    </row>
    <row r="2071" spans="1:18" ht="15" customHeight="1" x14ac:dyDescent="0.25">
      <c r="A2071" s="553">
        <v>21</v>
      </c>
      <c r="B2071" s="553">
        <v>3</v>
      </c>
      <c r="C2071" s="553">
        <v>2</v>
      </c>
      <c r="D2071" s="553">
        <v>4</v>
      </c>
      <c r="E2071" s="553">
        <v>2</v>
      </c>
      <c r="F2071" s="553">
        <v>2</v>
      </c>
      <c r="G2071" s="553" t="s">
        <v>486</v>
      </c>
      <c r="H2071" s="553">
        <v>1314.55</v>
      </c>
      <c r="I2071" s="553">
        <v>0</v>
      </c>
      <c r="J2071" s="553">
        <v>5</v>
      </c>
      <c r="K2071" s="553">
        <v>45</v>
      </c>
      <c r="L2071" s="553">
        <v>4</v>
      </c>
      <c r="M2071" s="505" t="s">
        <v>137</v>
      </c>
      <c r="N2071" s="500">
        <v>43013539080000</v>
      </c>
      <c r="O2071" s="553" t="s">
        <v>2739</v>
      </c>
      <c r="P2071" s="650" t="s">
        <v>2744</v>
      </c>
      <c r="Q2071" s="564"/>
      <c r="R2071" s="564">
        <v>2</v>
      </c>
    </row>
    <row r="2072" spans="1:18" ht="15" customHeight="1" x14ac:dyDescent="0.25">
      <c r="A2072" s="553">
        <v>21</v>
      </c>
      <c r="B2072" s="553">
        <v>3</v>
      </c>
      <c r="C2072" s="553">
        <v>2</v>
      </c>
      <c r="D2072" s="553">
        <v>4</v>
      </c>
      <c r="E2072" s="553">
        <v>2</v>
      </c>
      <c r="F2072" s="553">
        <v>2</v>
      </c>
      <c r="G2072" s="502" t="s">
        <v>488</v>
      </c>
      <c r="H2072" s="553">
        <v>1314.42</v>
      </c>
      <c r="I2072" s="553">
        <v>0</v>
      </c>
      <c r="J2072" s="553">
        <v>5</v>
      </c>
      <c r="K2072" s="553">
        <v>23</v>
      </c>
      <c r="L2072" s="553">
        <v>4</v>
      </c>
      <c r="M2072" s="505" t="s">
        <v>137</v>
      </c>
      <c r="N2072" s="500">
        <v>43013539080000</v>
      </c>
      <c r="O2072" s="553" t="s">
        <v>2739</v>
      </c>
      <c r="P2072" s="650" t="s">
        <v>2745</v>
      </c>
      <c r="Q2072" s="564"/>
      <c r="R2072" s="564">
        <v>2</v>
      </c>
    </row>
    <row r="2073" spans="1:18" ht="15" customHeight="1" x14ac:dyDescent="0.25">
      <c r="A2073" s="553">
        <v>21</v>
      </c>
      <c r="B2073" s="553">
        <v>3</v>
      </c>
      <c r="C2073" s="553">
        <v>2</v>
      </c>
      <c r="D2073" s="553">
        <v>4</v>
      </c>
      <c r="E2073" s="553">
        <v>2</v>
      </c>
      <c r="F2073" s="553">
        <v>2</v>
      </c>
      <c r="G2073" s="553" t="s">
        <v>490</v>
      </c>
      <c r="H2073" s="553">
        <v>1314.6949999999999</v>
      </c>
      <c r="I2073" s="553">
        <v>0</v>
      </c>
      <c r="J2073" s="553">
        <v>1</v>
      </c>
      <c r="K2073" s="553">
        <v>3</v>
      </c>
      <c r="L2073" s="553">
        <v>4</v>
      </c>
      <c r="M2073" s="505" t="s">
        <v>137</v>
      </c>
      <c r="N2073" s="500">
        <v>43013539080000</v>
      </c>
      <c r="O2073" s="553" t="s">
        <v>2739</v>
      </c>
      <c r="P2073" s="650" t="s">
        <v>2746</v>
      </c>
      <c r="Q2073" s="564"/>
      <c r="R2073" s="564">
        <v>2</v>
      </c>
    </row>
    <row r="2074" spans="1:18" ht="15" customHeight="1" x14ac:dyDescent="0.25">
      <c r="A2074" s="553">
        <v>21</v>
      </c>
      <c r="B2074" s="553">
        <v>3</v>
      </c>
      <c r="C2074" s="553">
        <v>2</v>
      </c>
      <c r="D2074" s="553">
        <v>4</v>
      </c>
      <c r="E2074" s="553">
        <v>2</v>
      </c>
      <c r="F2074" s="553">
        <v>2</v>
      </c>
      <c r="G2074" s="553" t="s">
        <v>493</v>
      </c>
      <c r="H2074" s="553">
        <v>1314.6949999999999</v>
      </c>
      <c r="I2074" s="553">
        <v>0</v>
      </c>
      <c r="J2074" s="553">
        <v>1</v>
      </c>
      <c r="K2074" s="553">
        <v>3</v>
      </c>
      <c r="L2074" s="553">
        <v>4</v>
      </c>
      <c r="M2074" s="505" t="s">
        <v>137</v>
      </c>
      <c r="N2074" s="500">
        <v>43013539080000</v>
      </c>
      <c r="O2074" s="553" t="s">
        <v>2739</v>
      </c>
      <c r="P2074" s="650" t="s">
        <v>2747</v>
      </c>
      <c r="Q2074" s="564"/>
      <c r="R2074" s="564">
        <v>2</v>
      </c>
    </row>
    <row r="2075" spans="1:18" ht="15" customHeight="1" x14ac:dyDescent="0.25">
      <c r="A2075" s="553">
        <v>21</v>
      </c>
      <c r="B2075" s="553">
        <v>3</v>
      </c>
      <c r="C2075" s="553">
        <v>2</v>
      </c>
      <c r="D2075" s="553">
        <v>4</v>
      </c>
      <c r="E2075" s="553">
        <v>2</v>
      </c>
      <c r="F2075" s="553">
        <v>2</v>
      </c>
      <c r="G2075" s="553" t="s">
        <v>474</v>
      </c>
      <c r="H2075" s="553">
        <v>1331.7</v>
      </c>
      <c r="I2075" s="553">
        <v>87</v>
      </c>
      <c r="J2075" s="553">
        <v>57</v>
      </c>
      <c r="K2075" s="553">
        <v>54</v>
      </c>
      <c r="L2075" s="553">
        <v>2</v>
      </c>
      <c r="M2075" s="505" t="s">
        <v>137</v>
      </c>
      <c r="N2075" s="500">
        <v>43013539080000</v>
      </c>
      <c r="O2075" s="553" t="s">
        <v>2739</v>
      </c>
      <c r="P2075" s="650" t="s">
        <v>2748</v>
      </c>
      <c r="Q2075" s="564"/>
      <c r="R2075" s="564">
        <v>2</v>
      </c>
    </row>
    <row r="2076" spans="1:18" ht="15" customHeight="1" x14ac:dyDescent="0.25">
      <c r="A2076" s="553">
        <v>21</v>
      </c>
      <c r="B2076" s="553">
        <v>3</v>
      </c>
      <c r="C2076" s="553">
        <v>2</v>
      </c>
      <c r="D2076" s="553">
        <v>4</v>
      </c>
      <c r="E2076" s="553">
        <v>2</v>
      </c>
      <c r="F2076" s="553">
        <v>2</v>
      </c>
      <c r="G2076" s="502" t="s">
        <v>477</v>
      </c>
      <c r="H2076" s="553">
        <v>1331.7</v>
      </c>
      <c r="I2076" s="553">
        <v>87</v>
      </c>
      <c r="J2076" s="553">
        <v>57</v>
      </c>
      <c r="K2076" s="553">
        <v>54</v>
      </c>
      <c r="L2076" s="553">
        <v>2</v>
      </c>
      <c r="M2076" s="505" t="s">
        <v>137</v>
      </c>
      <c r="N2076" s="500">
        <v>43013539080000</v>
      </c>
      <c r="O2076" s="553" t="s">
        <v>2739</v>
      </c>
      <c r="P2076" s="650" t="s">
        <v>2749</v>
      </c>
      <c r="Q2076" s="564"/>
      <c r="R2076" s="564">
        <v>2</v>
      </c>
    </row>
    <row r="2077" spans="1:18" ht="15" customHeight="1" x14ac:dyDescent="0.25">
      <c r="A2077" s="553">
        <v>21</v>
      </c>
      <c r="B2077" s="553">
        <v>3</v>
      </c>
      <c r="C2077" s="553">
        <v>2</v>
      </c>
      <c r="D2077" s="553">
        <v>4</v>
      </c>
      <c r="E2077" s="553">
        <v>2</v>
      </c>
      <c r="F2077" s="553">
        <v>2</v>
      </c>
      <c r="G2077" s="553" t="s">
        <v>479</v>
      </c>
      <c r="H2077" s="553">
        <v>1331.8050000000001</v>
      </c>
      <c r="I2077" s="553">
        <v>88</v>
      </c>
      <c r="J2077" s="553">
        <v>31</v>
      </c>
      <c r="K2077" s="553">
        <v>49</v>
      </c>
      <c r="L2077" s="553">
        <v>2</v>
      </c>
      <c r="M2077" s="505" t="s">
        <v>137</v>
      </c>
      <c r="N2077" s="500">
        <v>43013539080000</v>
      </c>
      <c r="O2077" s="553" t="s">
        <v>2739</v>
      </c>
      <c r="P2077" s="650" t="s">
        <v>2750</v>
      </c>
      <c r="Q2077" s="564"/>
      <c r="R2077" s="564">
        <v>2</v>
      </c>
    </row>
    <row r="2078" spans="1:18" ht="15" customHeight="1" x14ac:dyDescent="0.25">
      <c r="A2078" s="553">
        <v>21</v>
      </c>
      <c r="B2078" s="553">
        <v>3</v>
      </c>
      <c r="C2078" s="553">
        <v>2</v>
      </c>
      <c r="D2078" s="553">
        <v>4</v>
      </c>
      <c r="E2078" s="553">
        <v>2</v>
      </c>
      <c r="F2078" s="553">
        <v>2</v>
      </c>
      <c r="G2078" s="553" t="s">
        <v>485</v>
      </c>
      <c r="H2078" s="553">
        <v>1331.8050000000001</v>
      </c>
      <c r="I2078" s="553">
        <v>88</v>
      </c>
      <c r="J2078" s="553">
        <v>31</v>
      </c>
      <c r="K2078" s="553">
        <v>49</v>
      </c>
      <c r="L2078" s="553">
        <v>2</v>
      </c>
      <c r="M2078" s="505" t="s">
        <v>137</v>
      </c>
      <c r="N2078" s="500">
        <v>43013539080000</v>
      </c>
      <c r="O2078" s="553" t="s">
        <v>2739</v>
      </c>
      <c r="P2078" s="650" t="s">
        <v>2751</v>
      </c>
      <c r="Q2078" s="564"/>
      <c r="R2078" s="564">
        <v>2</v>
      </c>
    </row>
    <row r="2079" spans="1:18" ht="15" customHeight="1" x14ac:dyDescent="0.25">
      <c r="A2079" s="553">
        <v>21</v>
      </c>
      <c r="B2079" s="553">
        <v>3</v>
      </c>
      <c r="C2079" s="553">
        <v>2</v>
      </c>
      <c r="D2079" s="553">
        <v>4</v>
      </c>
      <c r="E2079" s="553">
        <v>2</v>
      </c>
      <c r="F2079" s="553">
        <v>2</v>
      </c>
      <c r="G2079" s="553" t="s">
        <v>487</v>
      </c>
      <c r="H2079" s="553">
        <v>1333.325</v>
      </c>
      <c r="I2079" s="553">
        <v>88</v>
      </c>
      <c r="J2079" s="553">
        <v>16</v>
      </c>
      <c r="K2079" s="553">
        <v>42</v>
      </c>
      <c r="L2079" s="553">
        <v>2</v>
      </c>
      <c r="M2079" s="505" t="s">
        <v>137</v>
      </c>
      <c r="N2079" s="500">
        <v>43013539080000</v>
      </c>
      <c r="O2079" s="553" t="s">
        <v>2739</v>
      </c>
      <c r="P2079" s="650" t="s">
        <v>2752</v>
      </c>
      <c r="Q2079" s="564"/>
      <c r="R2079" s="564">
        <v>2</v>
      </c>
    </row>
    <row r="2080" spans="1:18" ht="15" customHeight="1" x14ac:dyDescent="0.25">
      <c r="A2080" s="553">
        <v>21</v>
      </c>
      <c r="B2080" s="553">
        <v>3</v>
      </c>
      <c r="C2080" s="553">
        <v>2</v>
      </c>
      <c r="D2080" s="553">
        <v>4</v>
      </c>
      <c r="E2080" s="553">
        <v>2</v>
      </c>
      <c r="F2080" s="553">
        <v>2</v>
      </c>
      <c r="G2080" s="502" t="s">
        <v>489</v>
      </c>
      <c r="H2080" s="553">
        <v>1333.325</v>
      </c>
      <c r="I2080" s="553">
        <v>88</v>
      </c>
      <c r="J2080" s="553">
        <v>16</v>
      </c>
      <c r="K2080" s="553">
        <v>42</v>
      </c>
      <c r="L2080" s="553">
        <v>2</v>
      </c>
      <c r="M2080" s="505" t="s">
        <v>137</v>
      </c>
      <c r="N2080" s="500">
        <v>43013539080000</v>
      </c>
      <c r="O2080" s="553" t="s">
        <v>2739</v>
      </c>
      <c r="P2080" s="650" t="s">
        <v>2753</v>
      </c>
      <c r="Q2080" s="564"/>
      <c r="R2080" s="564">
        <v>2</v>
      </c>
    </row>
    <row r="2081" spans="1:18" ht="15" customHeight="1" x14ac:dyDescent="0.25">
      <c r="A2081" s="553">
        <v>21</v>
      </c>
      <c r="B2081" s="553">
        <v>3</v>
      </c>
      <c r="C2081" s="553">
        <v>2</v>
      </c>
      <c r="D2081" s="553">
        <v>4</v>
      </c>
      <c r="E2081" s="553">
        <v>2</v>
      </c>
      <c r="F2081" s="553">
        <v>2</v>
      </c>
      <c r="G2081" s="553" t="s">
        <v>491</v>
      </c>
      <c r="H2081" s="553">
        <v>1333.16</v>
      </c>
      <c r="I2081" s="553">
        <v>88</v>
      </c>
      <c r="J2081" s="553">
        <v>18</v>
      </c>
      <c r="K2081" s="553">
        <v>40</v>
      </c>
      <c r="L2081" s="553">
        <v>2</v>
      </c>
      <c r="M2081" s="505" t="s">
        <v>137</v>
      </c>
      <c r="N2081" s="500">
        <v>43013539080000</v>
      </c>
      <c r="O2081" s="553" t="s">
        <v>2739</v>
      </c>
      <c r="P2081" s="650" t="s">
        <v>2754</v>
      </c>
      <c r="Q2081" s="564"/>
      <c r="R2081" s="564">
        <v>2</v>
      </c>
    </row>
    <row r="2082" spans="1:18" ht="15" customHeight="1" x14ac:dyDescent="0.25">
      <c r="A2082" s="553">
        <v>21</v>
      </c>
      <c r="B2082" s="553">
        <v>3</v>
      </c>
      <c r="C2082" s="553">
        <v>2</v>
      </c>
      <c r="D2082" s="553">
        <v>4</v>
      </c>
      <c r="E2082" s="553">
        <v>2</v>
      </c>
      <c r="F2082" s="553">
        <v>2</v>
      </c>
      <c r="G2082" s="553" t="s">
        <v>494</v>
      </c>
      <c r="H2082" s="553">
        <v>1333.16</v>
      </c>
      <c r="I2082" s="553">
        <v>88</v>
      </c>
      <c r="J2082" s="553">
        <v>18</v>
      </c>
      <c r="K2082" s="553">
        <v>40</v>
      </c>
      <c r="L2082" s="553">
        <v>2</v>
      </c>
      <c r="M2082" s="505" t="s">
        <v>137</v>
      </c>
      <c r="N2082" s="500">
        <v>43013539080000</v>
      </c>
      <c r="O2082" s="553" t="s">
        <v>2739</v>
      </c>
      <c r="P2082" s="650" t="s">
        <v>2755</v>
      </c>
      <c r="Q2082" s="564"/>
      <c r="R2082" s="564">
        <v>2</v>
      </c>
    </row>
    <row r="2083" spans="1:18" ht="15" customHeight="1" x14ac:dyDescent="0.25">
      <c r="A2083" s="553">
        <v>21</v>
      </c>
      <c r="B2083" s="553">
        <v>3</v>
      </c>
      <c r="C2083" s="553">
        <v>2</v>
      </c>
      <c r="D2083" s="553">
        <v>5</v>
      </c>
      <c r="E2083" s="553">
        <v>2</v>
      </c>
      <c r="F2083" s="553">
        <v>2</v>
      </c>
      <c r="G2083" s="553" t="s">
        <v>473</v>
      </c>
      <c r="H2083" s="553">
        <v>1319.5250000000001</v>
      </c>
      <c r="I2083" s="553">
        <v>0</v>
      </c>
      <c r="J2083" s="553">
        <v>1</v>
      </c>
      <c r="K2083" s="553">
        <v>12</v>
      </c>
      <c r="L2083" s="553">
        <v>2</v>
      </c>
      <c r="M2083" s="505" t="s">
        <v>137</v>
      </c>
      <c r="N2083" s="500">
        <v>43013539610000</v>
      </c>
      <c r="O2083" s="553" t="s">
        <v>2756</v>
      </c>
      <c r="P2083" s="650" t="s">
        <v>2757</v>
      </c>
      <c r="Q2083" s="564"/>
      <c r="R2083" s="564">
        <v>1</v>
      </c>
    </row>
    <row r="2084" spans="1:18" ht="15" customHeight="1" x14ac:dyDescent="0.25">
      <c r="A2084" s="553">
        <v>21</v>
      </c>
      <c r="B2084" s="553">
        <v>3</v>
      </c>
      <c r="C2084" s="553">
        <v>2</v>
      </c>
      <c r="D2084" s="553">
        <v>5</v>
      </c>
      <c r="E2084" s="553">
        <v>2</v>
      </c>
      <c r="F2084" s="553">
        <v>2</v>
      </c>
      <c r="G2084" s="502" t="s">
        <v>476</v>
      </c>
      <c r="H2084" s="553">
        <v>1319.5250000000001</v>
      </c>
      <c r="I2084" s="553">
        <v>0</v>
      </c>
      <c r="J2084" s="553">
        <v>1</v>
      </c>
      <c r="K2084" s="553">
        <v>12</v>
      </c>
      <c r="L2084" s="553">
        <v>2</v>
      </c>
      <c r="M2084" s="505" t="s">
        <v>137</v>
      </c>
      <c r="N2084" s="500">
        <v>43013539610000</v>
      </c>
      <c r="O2084" s="553" t="s">
        <v>2756</v>
      </c>
      <c r="P2084" s="650" t="s">
        <v>2758</v>
      </c>
      <c r="Q2084" s="564"/>
      <c r="R2084" s="564">
        <v>1</v>
      </c>
    </row>
    <row r="2085" spans="1:18" ht="15" customHeight="1" x14ac:dyDescent="0.25">
      <c r="A2085" s="553">
        <v>21</v>
      </c>
      <c r="B2085" s="553">
        <v>3</v>
      </c>
      <c r="C2085" s="553">
        <v>2</v>
      </c>
      <c r="D2085" s="553">
        <v>5</v>
      </c>
      <c r="E2085" s="553">
        <v>2</v>
      </c>
      <c r="F2085" s="553">
        <v>2</v>
      </c>
      <c r="G2085" s="553" t="s">
        <v>478</v>
      </c>
      <c r="H2085" s="553">
        <v>1328.91</v>
      </c>
      <c r="I2085" s="553">
        <v>0</v>
      </c>
      <c r="J2085" s="553">
        <v>11</v>
      </c>
      <c r="K2085" s="553">
        <v>23</v>
      </c>
      <c r="L2085" s="553">
        <v>4</v>
      </c>
      <c r="M2085" s="505" t="s">
        <v>137</v>
      </c>
      <c r="N2085" s="500">
        <v>43013539610000</v>
      </c>
      <c r="O2085" s="553" t="s">
        <v>2756</v>
      </c>
      <c r="P2085" s="650" t="s">
        <v>2759</v>
      </c>
      <c r="Q2085" s="564"/>
      <c r="R2085" s="564">
        <v>1</v>
      </c>
    </row>
    <row r="2086" spans="1:18" ht="15" customHeight="1" x14ac:dyDescent="0.25">
      <c r="A2086" s="553">
        <v>21</v>
      </c>
      <c r="B2086" s="553">
        <v>3</v>
      </c>
      <c r="C2086" s="553">
        <v>2</v>
      </c>
      <c r="D2086" s="553">
        <v>5</v>
      </c>
      <c r="E2086" s="553">
        <v>2</v>
      </c>
      <c r="F2086" s="553">
        <v>2</v>
      </c>
      <c r="G2086" s="553" t="s">
        <v>484</v>
      </c>
      <c r="H2086" s="553">
        <v>1328.82</v>
      </c>
      <c r="I2086" s="553">
        <v>0</v>
      </c>
      <c r="J2086" s="553">
        <v>12</v>
      </c>
      <c r="K2086" s="553">
        <v>47</v>
      </c>
      <c r="L2086" s="553">
        <v>4</v>
      </c>
      <c r="M2086" s="505" t="s">
        <v>137</v>
      </c>
      <c r="N2086" s="500">
        <v>43013539610000</v>
      </c>
      <c r="O2086" s="553" t="s">
        <v>2756</v>
      </c>
      <c r="P2086" s="650" t="s">
        <v>2760</v>
      </c>
      <c r="Q2086" s="564"/>
      <c r="R2086" s="564">
        <v>1</v>
      </c>
    </row>
    <row r="2087" spans="1:18" ht="15" customHeight="1" x14ac:dyDescent="0.25">
      <c r="A2087" s="553">
        <v>21</v>
      </c>
      <c r="B2087" s="553">
        <v>3</v>
      </c>
      <c r="C2087" s="553">
        <v>2</v>
      </c>
      <c r="D2087" s="553">
        <v>5</v>
      </c>
      <c r="E2087" s="553">
        <v>2</v>
      </c>
      <c r="F2087" s="553">
        <v>2</v>
      </c>
      <c r="G2087" s="553" t="s">
        <v>486</v>
      </c>
      <c r="H2087" s="553">
        <v>1320.29</v>
      </c>
      <c r="I2087" s="553">
        <v>0</v>
      </c>
      <c r="J2087" s="553">
        <v>14</v>
      </c>
      <c r="K2087" s="553">
        <v>3</v>
      </c>
      <c r="L2087" s="553">
        <v>4</v>
      </c>
      <c r="M2087" s="505" t="s">
        <v>137</v>
      </c>
      <c r="N2087" s="500">
        <v>43013539610000</v>
      </c>
      <c r="O2087" s="553" t="s">
        <v>2756</v>
      </c>
      <c r="P2087" s="650" t="s">
        <v>2761</v>
      </c>
      <c r="Q2087" s="564"/>
      <c r="R2087" s="564">
        <v>1</v>
      </c>
    </row>
    <row r="2088" spans="1:18" ht="15" customHeight="1" x14ac:dyDescent="0.25">
      <c r="A2088" s="553">
        <v>21</v>
      </c>
      <c r="B2088" s="553">
        <v>3</v>
      </c>
      <c r="C2088" s="553">
        <v>2</v>
      </c>
      <c r="D2088" s="553">
        <v>5</v>
      </c>
      <c r="E2088" s="553">
        <v>2</v>
      </c>
      <c r="F2088" s="553">
        <v>2</v>
      </c>
      <c r="G2088" s="502" t="s">
        <v>488</v>
      </c>
      <c r="H2088" s="553">
        <v>1320.29</v>
      </c>
      <c r="I2088" s="553">
        <v>0</v>
      </c>
      <c r="J2088" s="553">
        <v>14</v>
      </c>
      <c r="K2088" s="553">
        <v>3</v>
      </c>
      <c r="L2088" s="553">
        <v>4</v>
      </c>
      <c r="M2088" s="505" t="s">
        <v>137</v>
      </c>
      <c r="N2088" s="500">
        <v>43013539610000</v>
      </c>
      <c r="O2088" s="553" t="s">
        <v>2756</v>
      </c>
      <c r="P2088" s="650" t="s">
        <v>2762</v>
      </c>
      <c r="Q2088" s="564"/>
      <c r="R2088" s="564">
        <v>1</v>
      </c>
    </row>
    <row r="2089" spans="1:18" ht="15" customHeight="1" x14ac:dyDescent="0.25">
      <c r="A2089" s="553">
        <v>21</v>
      </c>
      <c r="B2089" s="553">
        <v>3</v>
      </c>
      <c r="C2089" s="553">
        <v>2</v>
      </c>
      <c r="D2089" s="553">
        <v>5</v>
      </c>
      <c r="E2089" s="553">
        <v>2</v>
      </c>
      <c r="F2089" s="553">
        <v>2</v>
      </c>
      <c r="G2089" s="553" t="s">
        <v>490</v>
      </c>
      <c r="H2089" s="553">
        <v>1320.29</v>
      </c>
      <c r="I2089" s="553">
        <v>0</v>
      </c>
      <c r="J2089" s="553">
        <v>14</v>
      </c>
      <c r="K2089" s="553">
        <v>3</v>
      </c>
      <c r="L2089" s="553">
        <v>4</v>
      </c>
      <c r="M2089" s="505" t="s">
        <v>137</v>
      </c>
      <c r="N2089" s="500">
        <v>43013539610000</v>
      </c>
      <c r="O2089" s="553" t="s">
        <v>2756</v>
      </c>
      <c r="P2089" s="650" t="s">
        <v>2763</v>
      </c>
      <c r="Q2089" s="564"/>
      <c r="R2089" s="564">
        <v>1</v>
      </c>
    </row>
    <row r="2090" spans="1:18" ht="15" customHeight="1" x14ac:dyDescent="0.25">
      <c r="A2090" s="553">
        <v>21</v>
      </c>
      <c r="B2090" s="553">
        <v>3</v>
      </c>
      <c r="C2090" s="553">
        <v>2</v>
      </c>
      <c r="D2090" s="553">
        <v>5</v>
      </c>
      <c r="E2090" s="553">
        <v>2</v>
      </c>
      <c r="F2090" s="553">
        <v>2</v>
      </c>
      <c r="G2090" s="553" t="s">
        <v>493</v>
      </c>
      <c r="H2090" s="553">
        <v>1320.29</v>
      </c>
      <c r="I2090" s="553">
        <v>0</v>
      </c>
      <c r="J2090" s="553">
        <v>14</v>
      </c>
      <c r="K2090" s="553">
        <v>3</v>
      </c>
      <c r="L2090" s="553">
        <v>4</v>
      </c>
      <c r="M2090" s="505" t="s">
        <v>137</v>
      </c>
      <c r="N2090" s="500">
        <v>43013539610000</v>
      </c>
      <c r="O2090" s="553" t="s">
        <v>2756</v>
      </c>
      <c r="P2090" s="650" t="s">
        <v>2764</v>
      </c>
      <c r="Q2090" s="564"/>
      <c r="R2090" s="564">
        <v>1</v>
      </c>
    </row>
    <row r="2091" spans="1:18" ht="15" customHeight="1" x14ac:dyDescent="0.25">
      <c r="A2091" s="553">
        <v>21</v>
      </c>
      <c r="B2091" s="553">
        <v>3</v>
      </c>
      <c r="C2091" s="553">
        <v>2</v>
      </c>
      <c r="D2091" s="553">
        <v>5</v>
      </c>
      <c r="E2091" s="553">
        <v>2</v>
      </c>
      <c r="F2091" s="553">
        <v>2</v>
      </c>
      <c r="G2091" s="553" t="s">
        <v>474</v>
      </c>
      <c r="H2091" s="553">
        <v>1347.29</v>
      </c>
      <c r="I2091" s="553">
        <v>89</v>
      </c>
      <c r="J2091" s="553">
        <v>53</v>
      </c>
      <c r="K2091" s="553">
        <v>24</v>
      </c>
      <c r="L2091" s="553">
        <v>1</v>
      </c>
      <c r="M2091" s="505" t="s">
        <v>137</v>
      </c>
      <c r="N2091" s="500">
        <v>43013539610000</v>
      </c>
      <c r="O2091" s="553" t="s">
        <v>2756</v>
      </c>
      <c r="P2091" s="650" t="s">
        <v>2765</v>
      </c>
      <c r="Q2091" s="564"/>
      <c r="R2091" s="564">
        <v>1</v>
      </c>
    </row>
    <row r="2092" spans="1:18" ht="15" customHeight="1" x14ac:dyDescent="0.25">
      <c r="A2092" s="553">
        <v>21</v>
      </c>
      <c r="B2092" s="553">
        <v>3</v>
      </c>
      <c r="C2092" s="553">
        <v>2</v>
      </c>
      <c r="D2092" s="553">
        <v>5</v>
      </c>
      <c r="E2092" s="553">
        <v>2</v>
      </c>
      <c r="F2092" s="553">
        <v>2</v>
      </c>
      <c r="G2092" s="502" t="s">
        <v>477</v>
      </c>
      <c r="H2092" s="553">
        <v>1347.29</v>
      </c>
      <c r="I2092" s="553">
        <v>89</v>
      </c>
      <c r="J2092" s="553">
        <v>53</v>
      </c>
      <c r="K2092" s="553">
        <v>24</v>
      </c>
      <c r="L2092" s="553">
        <v>1</v>
      </c>
      <c r="M2092" s="505" t="s">
        <v>137</v>
      </c>
      <c r="N2092" s="500">
        <v>43013539610000</v>
      </c>
      <c r="O2092" s="553" t="s">
        <v>2756</v>
      </c>
      <c r="P2092" s="650" t="s">
        <v>2766</v>
      </c>
      <c r="Q2092" s="564"/>
      <c r="R2092" s="564">
        <v>1</v>
      </c>
    </row>
    <row r="2093" spans="1:18" ht="15" customHeight="1" x14ac:dyDescent="0.25">
      <c r="A2093" s="553">
        <v>21</v>
      </c>
      <c r="B2093" s="553">
        <v>3</v>
      </c>
      <c r="C2093" s="553">
        <v>2</v>
      </c>
      <c r="D2093" s="553">
        <v>5</v>
      </c>
      <c r="E2093" s="553">
        <v>2</v>
      </c>
      <c r="F2093" s="553">
        <v>2</v>
      </c>
      <c r="G2093" s="553" t="s">
        <v>479</v>
      </c>
      <c r="H2093" s="553">
        <v>1319.0450000000001</v>
      </c>
      <c r="I2093" s="553">
        <v>89</v>
      </c>
      <c r="J2093" s="553">
        <v>26</v>
      </c>
      <c r="K2093" s="553">
        <v>15</v>
      </c>
      <c r="L2093" s="553">
        <v>3</v>
      </c>
      <c r="M2093" s="505" t="s">
        <v>137</v>
      </c>
      <c r="N2093" s="500">
        <v>43013539610000</v>
      </c>
      <c r="O2093" s="553" t="s">
        <v>2756</v>
      </c>
      <c r="P2093" s="650" t="s">
        <v>2767</v>
      </c>
      <c r="Q2093" s="564"/>
      <c r="R2093" s="564">
        <v>1</v>
      </c>
    </row>
    <row r="2094" spans="1:18" ht="15" customHeight="1" x14ac:dyDescent="0.25">
      <c r="A2094" s="553">
        <v>21</v>
      </c>
      <c r="B2094" s="553">
        <v>3</v>
      </c>
      <c r="C2094" s="553">
        <v>2</v>
      </c>
      <c r="D2094" s="553">
        <v>5</v>
      </c>
      <c r="E2094" s="553">
        <v>2</v>
      </c>
      <c r="F2094" s="553">
        <v>2</v>
      </c>
      <c r="G2094" s="553" t="s">
        <v>485</v>
      </c>
      <c r="H2094" s="553">
        <v>1319.0450000000001</v>
      </c>
      <c r="I2094" s="553">
        <v>89</v>
      </c>
      <c r="J2094" s="553">
        <v>26</v>
      </c>
      <c r="K2094" s="553">
        <v>15</v>
      </c>
      <c r="L2094" s="553">
        <v>3</v>
      </c>
      <c r="M2094" s="505" t="s">
        <v>137</v>
      </c>
      <c r="N2094" s="500">
        <v>43013539610000</v>
      </c>
      <c r="O2094" s="553" t="s">
        <v>2756</v>
      </c>
      <c r="P2094" s="650" t="s">
        <v>2768</v>
      </c>
      <c r="Q2094" s="564"/>
      <c r="R2094" s="564">
        <v>1</v>
      </c>
    </row>
    <row r="2095" spans="1:18" ht="15" customHeight="1" x14ac:dyDescent="0.25">
      <c r="A2095" s="553">
        <v>21</v>
      </c>
      <c r="B2095" s="553">
        <v>3</v>
      </c>
      <c r="C2095" s="553">
        <v>2</v>
      </c>
      <c r="D2095" s="553">
        <v>5</v>
      </c>
      <c r="E2095" s="553">
        <v>2</v>
      </c>
      <c r="F2095" s="553">
        <v>2</v>
      </c>
      <c r="G2095" s="553" t="s">
        <v>487</v>
      </c>
      <c r="H2095" s="553">
        <v>1336.4525000000001</v>
      </c>
      <c r="I2095" s="553">
        <v>89</v>
      </c>
      <c r="J2095" s="553">
        <v>36</v>
      </c>
      <c r="K2095" s="553">
        <v>36</v>
      </c>
      <c r="L2095" s="553">
        <v>2</v>
      </c>
      <c r="M2095" s="505" t="s">
        <v>137</v>
      </c>
      <c r="N2095" s="500">
        <v>43013539610000</v>
      </c>
      <c r="O2095" s="553" t="s">
        <v>2756</v>
      </c>
      <c r="P2095" s="650" t="s">
        <v>2769</v>
      </c>
      <c r="Q2095" s="564"/>
      <c r="R2095" s="564">
        <v>1</v>
      </c>
    </row>
    <row r="2096" spans="1:18" ht="15" customHeight="1" x14ac:dyDescent="0.25">
      <c r="A2096" s="553">
        <v>21</v>
      </c>
      <c r="B2096" s="553">
        <v>3</v>
      </c>
      <c r="C2096" s="553">
        <v>2</v>
      </c>
      <c r="D2096" s="553">
        <v>5</v>
      </c>
      <c r="E2096" s="553">
        <v>2</v>
      </c>
      <c r="F2096" s="553">
        <v>2</v>
      </c>
      <c r="G2096" s="502" t="s">
        <v>489</v>
      </c>
      <c r="H2096" s="553">
        <v>1336.4525000000001</v>
      </c>
      <c r="I2096" s="553">
        <v>89</v>
      </c>
      <c r="J2096" s="553">
        <v>36</v>
      </c>
      <c r="K2096" s="553">
        <v>36</v>
      </c>
      <c r="L2096" s="553">
        <v>2</v>
      </c>
      <c r="M2096" s="505" t="s">
        <v>137</v>
      </c>
      <c r="N2096" s="500">
        <v>43013539610000</v>
      </c>
      <c r="O2096" s="553" t="s">
        <v>2756</v>
      </c>
      <c r="P2096" s="650" t="s">
        <v>2770</v>
      </c>
      <c r="Q2096" s="564"/>
      <c r="R2096" s="564">
        <v>1</v>
      </c>
    </row>
    <row r="2097" spans="1:18" ht="15" customHeight="1" x14ac:dyDescent="0.25">
      <c r="A2097" s="553">
        <v>21</v>
      </c>
      <c r="B2097" s="553">
        <v>3</v>
      </c>
      <c r="C2097" s="553">
        <v>2</v>
      </c>
      <c r="D2097" s="553">
        <v>5</v>
      </c>
      <c r="E2097" s="553">
        <v>2</v>
      </c>
      <c r="F2097" s="553">
        <v>2</v>
      </c>
      <c r="G2097" s="553" t="s">
        <v>491</v>
      </c>
      <c r="H2097" s="553">
        <v>1336.4525000000001</v>
      </c>
      <c r="I2097" s="553">
        <v>89</v>
      </c>
      <c r="J2097" s="553">
        <v>36</v>
      </c>
      <c r="K2097" s="553">
        <v>36</v>
      </c>
      <c r="L2097" s="553">
        <v>2</v>
      </c>
      <c r="M2097" s="505" t="s">
        <v>137</v>
      </c>
      <c r="N2097" s="500">
        <v>43013539610000</v>
      </c>
      <c r="O2097" s="553" t="s">
        <v>2756</v>
      </c>
      <c r="P2097" s="650" t="s">
        <v>2771</v>
      </c>
      <c r="Q2097" s="564"/>
      <c r="R2097" s="564">
        <v>1</v>
      </c>
    </row>
    <row r="2098" spans="1:18" ht="15" customHeight="1" x14ac:dyDescent="0.25">
      <c r="A2098" s="553">
        <v>21</v>
      </c>
      <c r="B2098" s="553">
        <v>3</v>
      </c>
      <c r="C2098" s="553">
        <v>2</v>
      </c>
      <c r="D2098" s="553">
        <v>5</v>
      </c>
      <c r="E2098" s="553">
        <v>2</v>
      </c>
      <c r="F2098" s="553">
        <v>2</v>
      </c>
      <c r="G2098" s="553" t="s">
        <v>494</v>
      </c>
      <c r="H2098" s="553">
        <v>1336.4525000000001</v>
      </c>
      <c r="I2098" s="553">
        <v>89</v>
      </c>
      <c r="J2098" s="553">
        <v>36</v>
      </c>
      <c r="K2098" s="553">
        <v>36</v>
      </c>
      <c r="L2098" s="553">
        <v>2</v>
      </c>
      <c r="M2098" s="505" t="s">
        <v>137</v>
      </c>
      <c r="N2098" s="500">
        <v>43013539610000</v>
      </c>
      <c r="O2098" s="553" t="s">
        <v>2756</v>
      </c>
      <c r="P2098" s="650" t="s">
        <v>2772</v>
      </c>
      <c r="Q2098" s="564"/>
      <c r="R2098" s="564">
        <v>1</v>
      </c>
    </row>
    <row r="2099" spans="1:18" ht="15" customHeight="1" x14ac:dyDescent="0.25">
      <c r="A2099" s="564">
        <v>21</v>
      </c>
      <c r="B2099" s="564">
        <v>3</v>
      </c>
      <c r="C2099" s="564">
        <v>2</v>
      </c>
      <c r="D2099" s="564">
        <v>1</v>
      </c>
      <c r="E2099" s="564">
        <v>1</v>
      </c>
      <c r="F2099" s="564">
        <v>2</v>
      </c>
      <c r="G2099" s="564" t="s">
        <v>473</v>
      </c>
      <c r="H2099" s="564">
        <v>1338.57</v>
      </c>
      <c r="I2099" s="564">
        <v>1</v>
      </c>
      <c r="J2099" s="564">
        <v>29</v>
      </c>
      <c r="K2099" s="564">
        <v>32</v>
      </c>
      <c r="L2099" s="564">
        <v>4</v>
      </c>
      <c r="M2099" s="561" t="s">
        <v>137</v>
      </c>
      <c r="N2099" s="651">
        <v>4304756723</v>
      </c>
      <c r="O2099" s="564" t="s">
        <v>919</v>
      </c>
      <c r="P2099" s="564" t="s">
        <v>2773</v>
      </c>
      <c r="Q2099" s="564"/>
      <c r="R2099" s="564">
        <v>2</v>
      </c>
    </row>
    <row r="2100" spans="1:18" ht="15" customHeight="1" x14ac:dyDescent="0.25">
      <c r="A2100" s="564">
        <v>21</v>
      </c>
      <c r="B2100" s="564">
        <v>3</v>
      </c>
      <c r="C2100" s="564">
        <v>2</v>
      </c>
      <c r="D2100" s="564">
        <v>1</v>
      </c>
      <c r="E2100" s="564">
        <v>1</v>
      </c>
      <c r="F2100" s="564">
        <v>2</v>
      </c>
      <c r="G2100" s="521" t="s">
        <v>476</v>
      </c>
      <c r="H2100" s="564">
        <v>1314.53</v>
      </c>
      <c r="I2100" s="564">
        <v>1</v>
      </c>
      <c r="J2100" s="564">
        <v>26</v>
      </c>
      <c r="K2100" s="564">
        <v>25</v>
      </c>
      <c r="L2100" s="564">
        <v>4</v>
      </c>
      <c r="M2100" s="561" t="s">
        <v>137</v>
      </c>
      <c r="N2100" s="651">
        <v>4304756723</v>
      </c>
      <c r="O2100" s="564" t="s">
        <v>919</v>
      </c>
      <c r="P2100" s="564" t="s">
        <v>2774</v>
      </c>
      <c r="Q2100" s="564"/>
      <c r="R2100" s="564">
        <v>2</v>
      </c>
    </row>
    <row r="2101" spans="1:18" ht="15" customHeight="1" x14ac:dyDescent="0.25">
      <c r="A2101" s="564">
        <v>21</v>
      </c>
      <c r="B2101" s="564">
        <v>3</v>
      </c>
      <c r="C2101" s="564">
        <v>2</v>
      </c>
      <c r="D2101" s="564">
        <v>1</v>
      </c>
      <c r="E2101" s="564">
        <v>1</v>
      </c>
      <c r="F2101" s="564">
        <v>2</v>
      </c>
      <c r="G2101" s="564" t="s">
        <v>478</v>
      </c>
      <c r="H2101" s="564">
        <v>1319.41</v>
      </c>
      <c r="I2101" s="564">
        <v>0</v>
      </c>
      <c r="J2101" s="564">
        <v>27</v>
      </c>
      <c r="K2101" s="564">
        <v>12</v>
      </c>
      <c r="L2101" s="564">
        <v>2</v>
      </c>
      <c r="M2101" s="561" t="s">
        <v>137</v>
      </c>
      <c r="N2101" s="651">
        <v>4304756723</v>
      </c>
      <c r="O2101" s="564" t="s">
        <v>919</v>
      </c>
      <c r="P2101" s="564" t="s">
        <v>2775</v>
      </c>
      <c r="Q2101" s="564"/>
      <c r="R2101" s="564">
        <v>2</v>
      </c>
    </row>
    <row r="2102" spans="1:18" ht="15" customHeight="1" x14ac:dyDescent="0.25">
      <c r="A2102" s="564">
        <v>21</v>
      </c>
      <c r="B2102" s="564">
        <v>3</v>
      </c>
      <c r="C2102" s="564">
        <v>2</v>
      </c>
      <c r="D2102" s="564">
        <v>1</v>
      </c>
      <c r="E2102" s="564">
        <v>1</v>
      </c>
      <c r="F2102" s="564">
        <v>2</v>
      </c>
      <c r="G2102" s="564" t="s">
        <v>484</v>
      </c>
      <c r="H2102" s="564">
        <v>1319.41</v>
      </c>
      <c r="I2102" s="564">
        <v>0</v>
      </c>
      <c r="J2102" s="564">
        <v>27</v>
      </c>
      <c r="K2102" s="564">
        <v>12</v>
      </c>
      <c r="L2102" s="564">
        <v>2</v>
      </c>
      <c r="M2102" s="561" t="s">
        <v>137</v>
      </c>
      <c r="N2102" s="651">
        <v>4304756723</v>
      </c>
      <c r="O2102" s="564" t="s">
        <v>919</v>
      </c>
      <c r="P2102" s="564" t="s">
        <v>2776</v>
      </c>
      <c r="Q2102" s="564"/>
      <c r="R2102" s="564">
        <v>2</v>
      </c>
    </row>
    <row r="2103" spans="1:18" ht="15" customHeight="1" x14ac:dyDescent="0.25">
      <c r="A2103" s="564">
        <v>21</v>
      </c>
      <c r="B2103" s="564">
        <v>3</v>
      </c>
      <c r="C2103" s="564">
        <v>2</v>
      </c>
      <c r="D2103" s="564">
        <v>1</v>
      </c>
      <c r="E2103" s="564">
        <v>1</v>
      </c>
      <c r="F2103" s="564">
        <v>2</v>
      </c>
      <c r="G2103" s="564" t="s">
        <v>486</v>
      </c>
      <c r="H2103" s="564">
        <v>1326.345</v>
      </c>
      <c r="I2103" s="564">
        <v>0</v>
      </c>
      <c r="J2103" s="564">
        <v>29</v>
      </c>
      <c r="K2103" s="564">
        <v>9</v>
      </c>
      <c r="L2103" s="564">
        <v>4</v>
      </c>
      <c r="M2103" s="561" t="s">
        <v>137</v>
      </c>
      <c r="N2103" s="651">
        <v>4304756723</v>
      </c>
      <c r="O2103" s="564" t="s">
        <v>919</v>
      </c>
      <c r="P2103" s="564" t="s">
        <v>2777</v>
      </c>
      <c r="Q2103" s="564"/>
      <c r="R2103" s="564">
        <v>2</v>
      </c>
    </row>
    <row r="2104" spans="1:18" ht="15" customHeight="1" x14ac:dyDescent="0.25">
      <c r="A2104" s="564">
        <v>21</v>
      </c>
      <c r="B2104" s="564">
        <v>3</v>
      </c>
      <c r="C2104" s="564">
        <v>2</v>
      </c>
      <c r="D2104" s="564">
        <v>1</v>
      </c>
      <c r="E2104" s="564">
        <v>1</v>
      </c>
      <c r="F2104" s="564">
        <v>2</v>
      </c>
      <c r="G2104" s="521" t="s">
        <v>488</v>
      </c>
      <c r="H2104" s="564">
        <v>1326.345</v>
      </c>
      <c r="I2104" s="564">
        <v>0</v>
      </c>
      <c r="J2104" s="564">
        <v>29</v>
      </c>
      <c r="K2104" s="564">
        <v>9</v>
      </c>
      <c r="L2104" s="564">
        <v>4</v>
      </c>
      <c r="M2104" s="561" t="s">
        <v>137</v>
      </c>
      <c r="N2104" s="651">
        <v>4304756723</v>
      </c>
      <c r="O2104" s="564" t="s">
        <v>919</v>
      </c>
      <c r="P2104" s="564" t="s">
        <v>2778</v>
      </c>
      <c r="Q2104" s="564"/>
      <c r="R2104" s="564">
        <v>2</v>
      </c>
    </row>
    <row r="2105" spans="1:18" ht="15" customHeight="1" x14ac:dyDescent="0.25">
      <c r="A2105" s="564">
        <v>21</v>
      </c>
      <c r="B2105" s="564">
        <v>3</v>
      </c>
      <c r="C2105" s="564">
        <v>2</v>
      </c>
      <c r="D2105" s="564">
        <v>1</v>
      </c>
      <c r="E2105" s="564">
        <v>1</v>
      </c>
      <c r="F2105" s="564">
        <v>2</v>
      </c>
      <c r="G2105" s="564" t="s">
        <v>490</v>
      </c>
      <c r="H2105" s="564">
        <v>1332.62</v>
      </c>
      <c r="I2105" s="564">
        <v>0</v>
      </c>
      <c r="J2105" s="564">
        <v>34</v>
      </c>
      <c r="K2105" s="564">
        <v>51</v>
      </c>
      <c r="L2105" s="564">
        <v>4</v>
      </c>
      <c r="M2105" s="561" t="s">
        <v>137</v>
      </c>
      <c r="N2105" s="651">
        <v>4304756723</v>
      </c>
      <c r="O2105" s="564" t="s">
        <v>919</v>
      </c>
      <c r="P2105" s="564" t="s">
        <v>2779</v>
      </c>
      <c r="Q2105" s="564"/>
      <c r="R2105" s="564">
        <v>2</v>
      </c>
    </row>
    <row r="2106" spans="1:18" ht="15" customHeight="1" x14ac:dyDescent="0.25">
      <c r="A2106" s="564">
        <v>21</v>
      </c>
      <c r="B2106" s="564">
        <v>3</v>
      </c>
      <c r="C2106" s="564">
        <v>2</v>
      </c>
      <c r="D2106" s="564">
        <v>1</v>
      </c>
      <c r="E2106" s="564">
        <v>1</v>
      </c>
      <c r="F2106" s="564">
        <v>2</v>
      </c>
      <c r="G2106" s="564" t="s">
        <v>493</v>
      </c>
      <c r="H2106" s="564">
        <v>1332.88</v>
      </c>
      <c r="I2106" s="564">
        <v>0</v>
      </c>
      <c r="J2106" s="564">
        <v>32</v>
      </c>
      <c r="K2106" s="564">
        <v>56</v>
      </c>
      <c r="L2106" s="564">
        <v>4</v>
      </c>
      <c r="M2106" s="561" t="s">
        <v>137</v>
      </c>
      <c r="N2106" s="651">
        <v>4304756723</v>
      </c>
      <c r="O2106" s="564" t="s">
        <v>919</v>
      </c>
      <c r="P2106" s="564" t="s">
        <v>2780</v>
      </c>
      <c r="Q2106" s="564"/>
      <c r="R2106" s="564">
        <v>2</v>
      </c>
    </row>
    <row r="2107" spans="1:18" ht="15" customHeight="1" x14ac:dyDescent="0.25">
      <c r="A2107" s="564">
        <v>21</v>
      </c>
      <c r="B2107" s="564">
        <v>3</v>
      </c>
      <c r="C2107" s="564">
        <v>2</v>
      </c>
      <c r="D2107" s="564">
        <v>1</v>
      </c>
      <c r="E2107" s="564">
        <v>1</v>
      </c>
      <c r="F2107" s="564">
        <v>2</v>
      </c>
      <c r="G2107" s="564" t="s">
        <v>474</v>
      </c>
      <c r="H2107" s="564">
        <v>1320.86</v>
      </c>
      <c r="I2107" s="564">
        <v>88</v>
      </c>
      <c r="J2107" s="564">
        <v>51</v>
      </c>
      <c r="K2107" s="564">
        <v>5</v>
      </c>
      <c r="L2107" s="564">
        <v>3</v>
      </c>
      <c r="M2107" s="561" t="s">
        <v>137</v>
      </c>
      <c r="N2107" s="651">
        <v>4304756723</v>
      </c>
      <c r="O2107" s="564" t="s">
        <v>919</v>
      </c>
      <c r="P2107" s="564" t="s">
        <v>2781</v>
      </c>
      <c r="Q2107" s="564"/>
      <c r="R2107" s="564">
        <v>2</v>
      </c>
    </row>
    <row r="2108" spans="1:18" ht="15" customHeight="1" x14ac:dyDescent="0.25">
      <c r="A2108" s="564">
        <v>21</v>
      </c>
      <c r="B2108" s="564">
        <v>3</v>
      </c>
      <c r="C2108" s="564">
        <v>2</v>
      </c>
      <c r="D2108" s="564">
        <v>1</v>
      </c>
      <c r="E2108" s="564">
        <v>1</v>
      </c>
      <c r="F2108" s="564">
        <v>2</v>
      </c>
      <c r="G2108" s="521" t="s">
        <v>477</v>
      </c>
      <c r="H2108" s="564">
        <v>1320.86</v>
      </c>
      <c r="I2108" s="564">
        <v>88</v>
      </c>
      <c r="J2108" s="564">
        <v>51</v>
      </c>
      <c r="K2108" s="564">
        <v>5</v>
      </c>
      <c r="L2108" s="564">
        <v>3</v>
      </c>
      <c r="M2108" s="561" t="s">
        <v>137</v>
      </c>
      <c r="N2108" s="651">
        <v>4304756723</v>
      </c>
      <c r="O2108" s="564" t="s">
        <v>919</v>
      </c>
      <c r="P2108" s="564" t="s">
        <v>2782</v>
      </c>
      <c r="Q2108" s="564"/>
      <c r="R2108" s="564">
        <v>2</v>
      </c>
    </row>
    <row r="2109" spans="1:18" ht="15" customHeight="1" x14ac:dyDescent="0.25">
      <c r="A2109" s="564">
        <v>21</v>
      </c>
      <c r="B2109" s="564">
        <v>3</v>
      </c>
      <c r="C2109" s="564">
        <v>2</v>
      </c>
      <c r="D2109" s="564">
        <v>1</v>
      </c>
      <c r="E2109" s="564">
        <v>1</v>
      </c>
      <c r="F2109" s="564">
        <v>2</v>
      </c>
      <c r="G2109" s="564" t="s">
        <v>479</v>
      </c>
      <c r="H2109" s="564">
        <v>1333.7850000000001</v>
      </c>
      <c r="I2109" s="564">
        <v>88</v>
      </c>
      <c r="J2109" s="564">
        <v>37</v>
      </c>
      <c r="K2109" s="564">
        <v>31</v>
      </c>
      <c r="L2109" s="564">
        <v>3</v>
      </c>
      <c r="M2109" s="561" t="s">
        <v>137</v>
      </c>
      <c r="N2109" s="651">
        <v>4304756723</v>
      </c>
      <c r="O2109" s="564" t="s">
        <v>919</v>
      </c>
      <c r="P2109" s="564" t="s">
        <v>2783</v>
      </c>
      <c r="Q2109" s="564"/>
      <c r="R2109" s="564">
        <v>2</v>
      </c>
    </row>
    <row r="2110" spans="1:18" ht="15" customHeight="1" x14ac:dyDescent="0.25">
      <c r="A2110" s="564">
        <v>21</v>
      </c>
      <c r="B2110" s="564">
        <v>3</v>
      </c>
      <c r="C2110" s="564">
        <v>2</v>
      </c>
      <c r="D2110" s="564">
        <v>1</v>
      </c>
      <c r="E2110" s="564">
        <v>1</v>
      </c>
      <c r="F2110" s="564">
        <v>2</v>
      </c>
      <c r="G2110" s="564" t="s">
        <v>485</v>
      </c>
      <c r="H2110" s="564">
        <v>1333.7850000000001</v>
      </c>
      <c r="I2110" s="564">
        <v>88</v>
      </c>
      <c r="J2110" s="564">
        <v>37</v>
      </c>
      <c r="K2110" s="564">
        <v>31</v>
      </c>
      <c r="L2110" s="564">
        <v>3</v>
      </c>
      <c r="M2110" s="561" t="s">
        <v>137</v>
      </c>
      <c r="N2110" s="651">
        <v>4304756723</v>
      </c>
      <c r="O2110" s="564" t="s">
        <v>919</v>
      </c>
      <c r="P2110" s="564" t="s">
        <v>2784</v>
      </c>
      <c r="Q2110" s="564"/>
      <c r="R2110" s="564">
        <v>2</v>
      </c>
    </row>
    <row r="2111" spans="1:18" ht="15" customHeight="1" x14ac:dyDescent="0.25">
      <c r="A2111" s="564">
        <v>21</v>
      </c>
      <c r="B2111" s="564">
        <v>3</v>
      </c>
      <c r="C2111" s="564">
        <v>2</v>
      </c>
      <c r="D2111" s="564">
        <v>1</v>
      </c>
      <c r="E2111" s="564">
        <v>1</v>
      </c>
      <c r="F2111" s="564">
        <v>2</v>
      </c>
      <c r="G2111" s="564" t="s">
        <v>487</v>
      </c>
      <c r="H2111" s="564">
        <v>1327.625</v>
      </c>
      <c r="I2111" s="564">
        <v>89</v>
      </c>
      <c r="J2111" s="564">
        <v>1</v>
      </c>
      <c r="K2111" s="564">
        <v>45</v>
      </c>
      <c r="L2111" s="564">
        <v>3</v>
      </c>
      <c r="M2111" s="561" t="s">
        <v>137</v>
      </c>
      <c r="N2111" s="651">
        <v>4304756723</v>
      </c>
      <c r="O2111" s="564" t="s">
        <v>919</v>
      </c>
      <c r="P2111" s="564" t="s">
        <v>2785</v>
      </c>
      <c r="Q2111" s="564"/>
      <c r="R2111" s="564">
        <v>2</v>
      </c>
    </row>
    <row r="2112" spans="1:18" ht="15" customHeight="1" x14ac:dyDescent="0.25">
      <c r="A2112" s="564">
        <v>21</v>
      </c>
      <c r="B2112" s="564">
        <v>3</v>
      </c>
      <c r="C2112" s="564">
        <v>2</v>
      </c>
      <c r="D2112" s="564">
        <v>1</v>
      </c>
      <c r="E2112" s="564">
        <v>1</v>
      </c>
      <c r="F2112" s="564">
        <v>2</v>
      </c>
      <c r="G2112" s="521" t="s">
        <v>489</v>
      </c>
      <c r="H2112" s="564">
        <v>1327.625</v>
      </c>
      <c r="I2112" s="564">
        <v>89</v>
      </c>
      <c r="J2112" s="564">
        <v>1</v>
      </c>
      <c r="K2112" s="564">
        <v>45</v>
      </c>
      <c r="L2112" s="564">
        <v>3</v>
      </c>
      <c r="M2112" s="561" t="s">
        <v>137</v>
      </c>
      <c r="N2112" s="651">
        <v>4304756723</v>
      </c>
      <c r="O2112" s="564" t="s">
        <v>919</v>
      </c>
      <c r="P2112" s="564" t="s">
        <v>2786</v>
      </c>
      <c r="Q2112" s="564"/>
      <c r="R2112" s="564">
        <v>2</v>
      </c>
    </row>
    <row r="2113" spans="1:18" ht="15" customHeight="1" x14ac:dyDescent="0.25">
      <c r="A2113" s="564">
        <v>21</v>
      </c>
      <c r="B2113" s="564">
        <v>3</v>
      </c>
      <c r="C2113" s="564">
        <v>2</v>
      </c>
      <c r="D2113" s="564">
        <v>1</v>
      </c>
      <c r="E2113" s="564">
        <v>1</v>
      </c>
      <c r="F2113" s="564">
        <v>2</v>
      </c>
      <c r="G2113" s="564" t="s">
        <v>491</v>
      </c>
      <c r="H2113" s="564">
        <v>1327.625</v>
      </c>
      <c r="I2113" s="564">
        <v>89</v>
      </c>
      <c r="J2113" s="564">
        <v>1</v>
      </c>
      <c r="K2113" s="564">
        <v>45</v>
      </c>
      <c r="L2113" s="564">
        <v>3</v>
      </c>
      <c r="M2113" s="561" t="s">
        <v>137</v>
      </c>
      <c r="N2113" s="651">
        <v>4304756723</v>
      </c>
      <c r="O2113" s="564" t="s">
        <v>919</v>
      </c>
      <c r="P2113" s="564" t="s">
        <v>2787</v>
      </c>
      <c r="Q2113" s="564"/>
      <c r="R2113" s="564">
        <v>2</v>
      </c>
    </row>
    <row r="2114" spans="1:18" ht="15" customHeight="1" x14ac:dyDescent="0.25">
      <c r="A2114" s="564">
        <v>21</v>
      </c>
      <c r="B2114" s="564">
        <v>3</v>
      </c>
      <c r="C2114" s="564">
        <v>2</v>
      </c>
      <c r="D2114" s="564">
        <v>1</v>
      </c>
      <c r="E2114" s="564">
        <v>1</v>
      </c>
      <c r="F2114" s="564">
        <v>2</v>
      </c>
      <c r="G2114" s="564" t="s">
        <v>494</v>
      </c>
      <c r="H2114" s="564">
        <v>1327.625</v>
      </c>
      <c r="I2114" s="564">
        <v>89</v>
      </c>
      <c r="J2114" s="564">
        <v>1</v>
      </c>
      <c r="K2114" s="564">
        <v>45</v>
      </c>
      <c r="L2114" s="564">
        <v>3</v>
      </c>
      <c r="M2114" s="561" t="s">
        <v>137</v>
      </c>
      <c r="N2114" s="651">
        <v>4304756723</v>
      </c>
      <c r="O2114" s="564" t="s">
        <v>919</v>
      </c>
      <c r="P2114" s="564" t="s">
        <v>2788</v>
      </c>
      <c r="Q2114" s="564"/>
      <c r="R2114" s="564">
        <v>2</v>
      </c>
    </row>
    <row r="2115" spans="1:18" s="495" customFormat="1" ht="15" customHeight="1" x14ac:dyDescent="0.25">
      <c r="A2115" s="553">
        <v>22</v>
      </c>
      <c r="B2115" s="553">
        <v>2</v>
      </c>
      <c r="C2115" s="553">
        <v>2</v>
      </c>
      <c r="D2115" s="553">
        <v>1</v>
      </c>
      <c r="E2115" s="553">
        <v>2</v>
      </c>
      <c r="F2115" s="553">
        <v>2</v>
      </c>
      <c r="G2115" s="553" t="s">
        <v>473</v>
      </c>
      <c r="H2115" s="553">
        <v>1320.0550000000001</v>
      </c>
      <c r="I2115" s="553">
        <v>0</v>
      </c>
      <c r="J2115" s="553">
        <v>27</v>
      </c>
      <c r="K2115" s="553">
        <v>2</v>
      </c>
      <c r="L2115" s="553">
        <v>4</v>
      </c>
      <c r="M2115" s="505" t="s">
        <v>137</v>
      </c>
      <c r="N2115" s="500">
        <v>43013539170000</v>
      </c>
      <c r="O2115" s="553" t="s">
        <v>1897</v>
      </c>
      <c r="P2115" s="650" t="s">
        <v>2789</v>
      </c>
      <c r="Q2115" s="564"/>
      <c r="R2115" s="564">
        <v>1</v>
      </c>
    </row>
    <row r="2116" spans="1:18" s="495" customFormat="1" ht="15" customHeight="1" x14ac:dyDescent="0.25">
      <c r="A2116" s="553">
        <v>22</v>
      </c>
      <c r="B2116" s="553">
        <v>2</v>
      </c>
      <c r="C2116" s="553">
        <v>2</v>
      </c>
      <c r="D2116" s="553">
        <v>1</v>
      </c>
      <c r="E2116" s="553">
        <v>2</v>
      </c>
      <c r="F2116" s="553">
        <v>2</v>
      </c>
      <c r="G2116" s="502" t="s">
        <v>476</v>
      </c>
      <c r="H2116" s="553">
        <v>1320.0550000000001</v>
      </c>
      <c r="I2116" s="553">
        <v>0</v>
      </c>
      <c r="J2116" s="553">
        <v>27</v>
      </c>
      <c r="K2116" s="553">
        <v>2</v>
      </c>
      <c r="L2116" s="553">
        <v>4</v>
      </c>
      <c r="M2116" s="505" t="s">
        <v>137</v>
      </c>
      <c r="N2116" s="500">
        <v>43013539170000</v>
      </c>
      <c r="O2116" s="553" t="s">
        <v>1897</v>
      </c>
      <c r="P2116" s="650" t="s">
        <v>2790</v>
      </c>
      <c r="Q2116" s="564"/>
      <c r="R2116" s="564">
        <v>1</v>
      </c>
    </row>
    <row r="2117" spans="1:18" s="495" customFormat="1" ht="15" customHeight="1" x14ac:dyDescent="0.25">
      <c r="A2117" s="553">
        <v>22</v>
      </c>
      <c r="B2117" s="553">
        <v>2</v>
      </c>
      <c r="C2117" s="553">
        <v>2</v>
      </c>
      <c r="D2117" s="553">
        <v>1</v>
      </c>
      <c r="E2117" s="553">
        <v>2</v>
      </c>
      <c r="F2117" s="553">
        <v>2</v>
      </c>
      <c r="G2117" s="553" t="s">
        <v>478</v>
      </c>
      <c r="H2117" s="553">
        <v>1315.1849999999999</v>
      </c>
      <c r="I2117" s="553">
        <v>0</v>
      </c>
      <c r="J2117" s="553">
        <v>25</v>
      </c>
      <c r="K2117" s="553">
        <v>17</v>
      </c>
      <c r="L2117" s="553">
        <v>4</v>
      </c>
      <c r="M2117" s="505" t="s">
        <v>137</v>
      </c>
      <c r="N2117" s="500">
        <v>43013539170000</v>
      </c>
      <c r="O2117" s="553" t="s">
        <v>1897</v>
      </c>
      <c r="P2117" s="650" t="s">
        <v>2791</v>
      </c>
      <c r="Q2117" s="564"/>
      <c r="R2117" s="564">
        <v>1</v>
      </c>
    </row>
    <row r="2118" spans="1:18" s="495" customFormat="1" ht="15" customHeight="1" x14ac:dyDescent="0.25">
      <c r="A2118" s="553">
        <v>22</v>
      </c>
      <c r="B2118" s="553">
        <v>2</v>
      </c>
      <c r="C2118" s="553">
        <v>2</v>
      </c>
      <c r="D2118" s="553">
        <v>1</v>
      </c>
      <c r="E2118" s="553">
        <v>2</v>
      </c>
      <c r="F2118" s="553">
        <v>2</v>
      </c>
      <c r="G2118" s="553" t="s">
        <v>484</v>
      </c>
      <c r="H2118" s="553">
        <v>1315.1849999999999</v>
      </c>
      <c r="I2118" s="553">
        <v>0</v>
      </c>
      <c r="J2118" s="553">
        <v>25</v>
      </c>
      <c r="K2118" s="553">
        <v>17</v>
      </c>
      <c r="L2118" s="553">
        <v>4</v>
      </c>
      <c r="M2118" s="505" t="s">
        <v>137</v>
      </c>
      <c r="N2118" s="500">
        <v>43013539170000</v>
      </c>
      <c r="O2118" s="553" t="s">
        <v>1897</v>
      </c>
      <c r="P2118" s="650" t="s">
        <v>2792</v>
      </c>
      <c r="Q2118" s="564"/>
      <c r="R2118" s="564">
        <v>1</v>
      </c>
    </row>
    <row r="2119" spans="1:18" s="495" customFormat="1" ht="15" customHeight="1" x14ac:dyDescent="0.25">
      <c r="A2119" s="553">
        <v>22</v>
      </c>
      <c r="B2119" s="553">
        <v>2</v>
      </c>
      <c r="C2119" s="553">
        <v>2</v>
      </c>
      <c r="D2119" s="553">
        <v>1</v>
      </c>
      <c r="E2119" s="553">
        <v>2</v>
      </c>
      <c r="F2119" s="553">
        <v>2</v>
      </c>
      <c r="G2119" s="553" t="s">
        <v>486</v>
      </c>
      <c r="H2119" s="553">
        <v>1320.04</v>
      </c>
      <c r="I2119" s="553">
        <v>0</v>
      </c>
      <c r="J2119" s="553">
        <v>20</v>
      </c>
      <c r="K2119" s="553">
        <v>51</v>
      </c>
      <c r="L2119" s="553">
        <v>1</v>
      </c>
      <c r="M2119" s="505" t="s">
        <v>137</v>
      </c>
      <c r="N2119" s="500">
        <v>43013539170000</v>
      </c>
      <c r="O2119" s="553" t="s">
        <v>1897</v>
      </c>
      <c r="P2119" s="650" t="s">
        <v>2793</v>
      </c>
      <c r="Q2119" s="564"/>
      <c r="R2119" s="564">
        <v>1</v>
      </c>
    </row>
    <row r="2120" spans="1:18" s="495" customFormat="1" ht="15" customHeight="1" x14ac:dyDescent="0.25">
      <c r="A2120" s="553">
        <v>22</v>
      </c>
      <c r="B2120" s="553">
        <v>2</v>
      </c>
      <c r="C2120" s="553">
        <v>2</v>
      </c>
      <c r="D2120" s="553">
        <v>1</v>
      </c>
      <c r="E2120" s="553">
        <v>2</v>
      </c>
      <c r="F2120" s="553">
        <v>2</v>
      </c>
      <c r="G2120" s="502" t="s">
        <v>488</v>
      </c>
      <c r="H2120" s="553">
        <v>1320.04</v>
      </c>
      <c r="I2120" s="553">
        <v>0</v>
      </c>
      <c r="J2120" s="553">
        <v>20</v>
      </c>
      <c r="K2120" s="553">
        <v>51</v>
      </c>
      <c r="L2120" s="553">
        <v>1</v>
      </c>
      <c r="M2120" s="505" t="s">
        <v>137</v>
      </c>
      <c r="N2120" s="500">
        <v>43013539170000</v>
      </c>
      <c r="O2120" s="553" t="s">
        <v>1897</v>
      </c>
      <c r="P2120" s="650" t="s">
        <v>2794</v>
      </c>
      <c r="Q2120" s="564"/>
      <c r="R2120" s="564">
        <v>1</v>
      </c>
    </row>
    <row r="2121" spans="1:18" s="495" customFormat="1" ht="15" customHeight="1" x14ac:dyDescent="0.25">
      <c r="A2121" s="553">
        <v>22</v>
      </c>
      <c r="B2121" s="553">
        <v>2</v>
      </c>
      <c r="C2121" s="553">
        <v>2</v>
      </c>
      <c r="D2121" s="553">
        <v>1</v>
      </c>
      <c r="E2121" s="553">
        <v>2</v>
      </c>
      <c r="F2121" s="553">
        <v>2</v>
      </c>
      <c r="G2121" s="553" t="s">
        <v>490</v>
      </c>
      <c r="H2121" s="553">
        <v>1319.9</v>
      </c>
      <c r="I2121" s="553">
        <v>0</v>
      </c>
      <c r="J2121" s="553">
        <v>25</v>
      </c>
      <c r="K2121" s="553">
        <v>42</v>
      </c>
      <c r="L2121" s="553">
        <v>4</v>
      </c>
      <c r="M2121" s="505" t="s">
        <v>137</v>
      </c>
      <c r="N2121" s="500">
        <v>43013539170000</v>
      </c>
      <c r="O2121" s="553" t="s">
        <v>1897</v>
      </c>
      <c r="P2121" s="650" t="s">
        <v>2795</v>
      </c>
      <c r="Q2121" s="564"/>
      <c r="R2121" s="564">
        <v>1</v>
      </c>
    </row>
    <row r="2122" spans="1:18" s="495" customFormat="1" ht="15" customHeight="1" x14ac:dyDescent="0.25">
      <c r="A2122" s="553">
        <v>22</v>
      </c>
      <c r="B2122" s="553">
        <v>2</v>
      </c>
      <c r="C2122" s="553">
        <v>2</v>
      </c>
      <c r="D2122" s="553">
        <v>1</v>
      </c>
      <c r="E2122" s="553">
        <v>2</v>
      </c>
      <c r="F2122" s="553">
        <v>2</v>
      </c>
      <c r="G2122" s="553" t="s">
        <v>493</v>
      </c>
      <c r="H2122" s="553">
        <v>1319.9</v>
      </c>
      <c r="I2122" s="553">
        <v>0</v>
      </c>
      <c r="J2122" s="553">
        <v>25</v>
      </c>
      <c r="K2122" s="553">
        <v>42</v>
      </c>
      <c r="L2122" s="553">
        <v>4</v>
      </c>
      <c r="M2122" s="505" t="s">
        <v>137</v>
      </c>
      <c r="N2122" s="500">
        <v>43013539170000</v>
      </c>
      <c r="O2122" s="553" t="s">
        <v>1897</v>
      </c>
      <c r="P2122" s="650" t="s">
        <v>2796</v>
      </c>
      <c r="Q2122" s="564"/>
      <c r="R2122" s="564">
        <v>1</v>
      </c>
    </row>
    <row r="2123" spans="1:18" s="495" customFormat="1" ht="15" customHeight="1" x14ac:dyDescent="0.25">
      <c r="A2123" s="553">
        <v>22</v>
      </c>
      <c r="B2123" s="553">
        <v>2</v>
      </c>
      <c r="C2123" s="553">
        <v>2</v>
      </c>
      <c r="D2123" s="553">
        <v>1</v>
      </c>
      <c r="E2123" s="553">
        <v>2</v>
      </c>
      <c r="F2123" s="553">
        <v>2</v>
      </c>
      <c r="G2123" s="553" t="s">
        <v>474</v>
      </c>
      <c r="H2123" s="553">
        <v>1321.9649999999999</v>
      </c>
      <c r="I2123" s="553">
        <v>89</v>
      </c>
      <c r="J2123" s="553">
        <v>36</v>
      </c>
      <c r="K2123" s="553">
        <v>59</v>
      </c>
      <c r="L2123" s="553">
        <v>3</v>
      </c>
      <c r="M2123" s="505" t="s">
        <v>137</v>
      </c>
      <c r="N2123" s="500">
        <v>43013539170000</v>
      </c>
      <c r="O2123" s="553" t="s">
        <v>1897</v>
      </c>
      <c r="P2123" s="650" t="s">
        <v>2797</v>
      </c>
      <c r="Q2123" s="564"/>
      <c r="R2123" s="564">
        <v>1</v>
      </c>
    </row>
    <row r="2124" spans="1:18" s="495" customFormat="1" ht="15" customHeight="1" x14ac:dyDescent="0.25">
      <c r="A2124" s="553">
        <v>22</v>
      </c>
      <c r="B2124" s="553">
        <v>2</v>
      </c>
      <c r="C2124" s="553">
        <v>2</v>
      </c>
      <c r="D2124" s="553">
        <v>1</v>
      </c>
      <c r="E2124" s="553">
        <v>2</v>
      </c>
      <c r="F2124" s="553">
        <v>2</v>
      </c>
      <c r="G2124" s="502" t="s">
        <v>477</v>
      </c>
      <c r="H2124" s="553">
        <v>1321.9649999999999</v>
      </c>
      <c r="I2124" s="553">
        <v>89</v>
      </c>
      <c r="J2124" s="553">
        <v>36</v>
      </c>
      <c r="K2124" s="553">
        <v>59</v>
      </c>
      <c r="L2124" s="553">
        <v>3</v>
      </c>
      <c r="M2124" s="505" t="s">
        <v>137</v>
      </c>
      <c r="N2124" s="500">
        <v>43013539170000</v>
      </c>
      <c r="O2124" s="553" t="s">
        <v>1897</v>
      </c>
      <c r="P2124" s="650" t="s">
        <v>2798</v>
      </c>
      <c r="Q2124" s="564"/>
      <c r="R2124" s="564">
        <v>1</v>
      </c>
    </row>
    <row r="2125" spans="1:18" s="495" customFormat="1" ht="15" customHeight="1" x14ac:dyDescent="0.25">
      <c r="A2125" s="553">
        <v>22</v>
      </c>
      <c r="B2125" s="553">
        <v>2</v>
      </c>
      <c r="C2125" s="553">
        <v>2</v>
      </c>
      <c r="D2125" s="553">
        <v>1</v>
      </c>
      <c r="E2125" s="553">
        <v>2</v>
      </c>
      <c r="F2125" s="553">
        <v>2</v>
      </c>
      <c r="G2125" s="553" t="s">
        <v>479</v>
      </c>
      <c r="H2125" s="553">
        <v>1321.9649999999999</v>
      </c>
      <c r="I2125" s="553">
        <v>89</v>
      </c>
      <c r="J2125" s="553">
        <v>36</v>
      </c>
      <c r="K2125" s="553">
        <v>59</v>
      </c>
      <c r="L2125" s="553">
        <v>3</v>
      </c>
      <c r="M2125" s="505" t="s">
        <v>137</v>
      </c>
      <c r="N2125" s="500">
        <v>43013539170000</v>
      </c>
      <c r="O2125" s="553" t="s">
        <v>1897</v>
      </c>
      <c r="P2125" s="650" t="s">
        <v>2799</v>
      </c>
      <c r="Q2125" s="564"/>
      <c r="R2125" s="564">
        <v>1</v>
      </c>
    </row>
    <row r="2126" spans="1:18" s="495" customFormat="1" ht="15" customHeight="1" x14ac:dyDescent="0.25">
      <c r="A2126" s="553">
        <v>22</v>
      </c>
      <c r="B2126" s="553">
        <v>2</v>
      </c>
      <c r="C2126" s="553">
        <v>2</v>
      </c>
      <c r="D2126" s="553">
        <v>1</v>
      </c>
      <c r="E2126" s="553">
        <v>2</v>
      </c>
      <c r="F2126" s="553">
        <v>2</v>
      </c>
      <c r="G2126" s="553" t="s">
        <v>485</v>
      </c>
      <c r="H2126" s="553">
        <v>1321.9649999999999</v>
      </c>
      <c r="I2126" s="553">
        <v>89</v>
      </c>
      <c r="J2126" s="553">
        <v>36</v>
      </c>
      <c r="K2126" s="553">
        <v>59</v>
      </c>
      <c r="L2126" s="553">
        <v>3</v>
      </c>
      <c r="M2126" s="505" t="s">
        <v>137</v>
      </c>
      <c r="N2126" s="500">
        <v>43013539170000</v>
      </c>
      <c r="O2126" s="553" t="s">
        <v>1897</v>
      </c>
      <c r="P2126" s="650" t="s">
        <v>2800</v>
      </c>
      <c r="Q2126" s="564"/>
      <c r="R2126" s="564">
        <v>1</v>
      </c>
    </row>
    <row r="2127" spans="1:18" s="495" customFormat="1" ht="15" customHeight="1" x14ac:dyDescent="0.25">
      <c r="A2127" s="553">
        <v>22</v>
      </c>
      <c r="B2127" s="553">
        <v>2</v>
      </c>
      <c r="C2127" s="553">
        <v>2</v>
      </c>
      <c r="D2127" s="553">
        <v>1</v>
      </c>
      <c r="E2127" s="553">
        <v>2</v>
      </c>
      <c r="F2127" s="553">
        <v>2</v>
      </c>
      <c r="G2127" s="553" t="s">
        <v>487</v>
      </c>
      <c r="H2127" s="553">
        <v>1320.865</v>
      </c>
      <c r="I2127" s="553">
        <v>89</v>
      </c>
      <c r="J2127" s="553">
        <v>50</v>
      </c>
      <c r="K2127" s="553">
        <v>9</v>
      </c>
      <c r="L2127" s="553">
        <v>3</v>
      </c>
      <c r="M2127" s="505" t="s">
        <v>137</v>
      </c>
      <c r="N2127" s="500">
        <v>43013539170000</v>
      </c>
      <c r="O2127" s="553" t="s">
        <v>1897</v>
      </c>
      <c r="P2127" s="650" t="s">
        <v>2801</v>
      </c>
      <c r="Q2127" s="564"/>
      <c r="R2127" s="564">
        <v>1</v>
      </c>
    </row>
    <row r="2128" spans="1:18" s="495" customFormat="1" ht="15" customHeight="1" x14ac:dyDescent="0.25">
      <c r="A2128" s="553">
        <v>22</v>
      </c>
      <c r="B2128" s="553">
        <v>2</v>
      </c>
      <c r="C2128" s="553">
        <v>2</v>
      </c>
      <c r="D2128" s="553">
        <v>1</v>
      </c>
      <c r="E2128" s="553">
        <v>2</v>
      </c>
      <c r="F2128" s="553">
        <v>2</v>
      </c>
      <c r="G2128" s="502" t="s">
        <v>489</v>
      </c>
      <c r="H2128" s="553">
        <v>1320.865</v>
      </c>
      <c r="I2128" s="553">
        <v>89</v>
      </c>
      <c r="J2128" s="553">
        <v>50</v>
      </c>
      <c r="K2128" s="553">
        <v>9</v>
      </c>
      <c r="L2128" s="553">
        <v>3</v>
      </c>
      <c r="M2128" s="505" t="s">
        <v>137</v>
      </c>
      <c r="N2128" s="500">
        <v>43013539170000</v>
      </c>
      <c r="O2128" s="553" t="s">
        <v>1897</v>
      </c>
      <c r="P2128" s="650" t="s">
        <v>2802</v>
      </c>
      <c r="Q2128" s="564"/>
      <c r="R2128" s="564">
        <v>1</v>
      </c>
    </row>
    <row r="2129" spans="1:18" s="495" customFormat="1" ht="15" customHeight="1" x14ac:dyDescent="0.25">
      <c r="A2129" s="553">
        <v>22</v>
      </c>
      <c r="B2129" s="553">
        <v>2</v>
      </c>
      <c r="C2129" s="553">
        <v>2</v>
      </c>
      <c r="D2129" s="553">
        <v>1</v>
      </c>
      <c r="E2129" s="553">
        <v>2</v>
      </c>
      <c r="F2129" s="553">
        <v>2</v>
      </c>
      <c r="G2129" s="553" t="s">
        <v>491</v>
      </c>
      <c r="H2129" s="553">
        <v>1320.865</v>
      </c>
      <c r="I2129" s="553">
        <v>89</v>
      </c>
      <c r="J2129" s="553">
        <v>36</v>
      </c>
      <c r="K2129" s="553">
        <v>3</v>
      </c>
      <c r="L2129" s="553">
        <v>3</v>
      </c>
      <c r="M2129" s="505" t="s">
        <v>137</v>
      </c>
      <c r="N2129" s="500">
        <v>43013539170000</v>
      </c>
      <c r="O2129" s="553" t="s">
        <v>1897</v>
      </c>
      <c r="P2129" s="650" t="s">
        <v>2803</v>
      </c>
      <c r="Q2129" s="564"/>
      <c r="R2129" s="564">
        <v>1</v>
      </c>
    </row>
    <row r="2130" spans="1:18" s="495" customFormat="1" ht="15" customHeight="1" x14ac:dyDescent="0.25">
      <c r="A2130" s="553">
        <v>22</v>
      </c>
      <c r="B2130" s="553">
        <v>2</v>
      </c>
      <c r="C2130" s="553">
        <v>2</v>
      </c>
      <c r="D2130" s="553">
        <v>1</v>
      </c>
      <c r="E2130" s="553">
        <v>2</v>
      </c>
      <c r="F2130" s="553">
        <v>2</v>
      </c>
      <c r="G2130" s="553" t="s">
        <v>494</v>
      </c>
      <c r="H2130" s="553">
        <v>1320.865</v>
      </c>
      <c r="I2130" s="553">
        <v>89</v>
      </c>
      <c r="J2130" s="553">
        <v>36</v>
      </c>
      <c r="K2130" s="553">
        <v>3</v>
      </c>
      <c r="L2130" s="553">
        <v>3</v>
      </c>
      <c r="M2130" s="505" t="s">
        <v>137</v>
      </c>
      <c r="N2130" s="500">
        <v>43013539170000</v>
      </c>
      <c r="O2130" s="553" t="s">
        <v>1897</v>
      </c>
      <c r="P2130" s="650" t="s">
        <v>2804</v>
      </c>
      <c r="Q2130" s="564"/>
      <c r="R2130" s="564">
        <v>1</v>
      </c>
    </row>
    <row r="2131" spans="1:18" s="484" customFormat="1" ht="15" customHeight="1" x14ac:dyDescent="0.25">
      <c r="A2131" s="553">
        <v>22</v>
      </c>
      <c r="B2131" s="553">
        <v>2</v>
      </c>
      <c r="C2131" s="553">
        <v>2</v>
      </c>
      <c r="D2131" s="553">
        <v>3</v>
      </c>
      <c r="E2131" s="553">
        <v>2</v>
      </c>
      <c r="F2131" s="553">
        <v>2</v>
      </c>
      <c r="G2131" s="553" t="s">
        <v>473</v>
      </c>
      <c r="H2131" s="553">
        <v>1313.9</v>
      </c>
      <c r="I2131" s="553">
        <v>1</v>
      </c>
      <c r="J2131" s="553">
        <v>17</v>
      </c>
      <c r="K2131" s="553">
        <v>48</v>
      </c>
      <c r="L2131" s="553">
        <v>2</v>
      </c>
      <c r="M2131" s="505" t="s">
        <v>137</v>
      </c>
      <c r="N2131" s="652">
        <v>43013537920000</v>
      </c>
      <c r="O2131" s="553" t="s">
        <v>2805</v>
      </c>
      <c r="P2131" s="650" t="s">
        <v>2806</v>
      </c>
      <c r="Q2131" s="564"/>
      <c r="R2131" s="564">
        <v>2</v>
      </c>
    </row>
    <row r="2132" spans="1:18" s="484" customFormat="1" ht="15" customHeight="1" x14ac:dyDescent="0.25">
      <c r="A2132" s="553">
        <v>22</v>
      </c>
      <c r="B2132" s="553">
        <v>2</v>
      </c>
      <c r="C2132" s="553">
        <v>2</v>
      </c>
      <c r="D2132" s="553">
        <v>3</v>
      </c>
      <c r="E2132" s="553">
        <v>2</v>
      </c>
      <c r="F2132" s="553">
        <v>2</v>
      </c>
      <c r="G2132" s="502" t="s">
        <v>476</v>
      </c>
      <c r="H2132" s="553">
        <v>1313.9</v>
      </c>
      <c r="I2132" s="553">
        <v>1</v>
      </c>
      <c r="J2132" s="553">
        <v>17</v>
      </c>
      <c r="K2132" s="553">
        <v>48</v>
      </c>
      <c r="L2132" s="553">
        <v>2</v>
      </c>
      <c r="M2132" s="505" t="s">
        <v>137</v>
      </c>
      <c r="N2132" s="652">
        <v>43013537920000</v>
      </c>
      <c r="O2132" s="553" t="s">
        <v>2805</v>
      </c>
      <c r="P2132" s="650" t="s">
        <v>2807</v>
      </c>
      <c r="Q2132" s="564"/>
      <c r="R2132" s="564">
        <v>2</v>
      </c>
    </row>
    <row r="2133" spans="1:18" s="484" customFormat="1" ht="15" customHeight="1" x14ac:dyDescent="0.25">
      <c r="A2133" s="553">
        <v>22</v>
      </c>
      <c r="B2133" s="553">
        <v>2</v>
      </c>
      <c r="C2133" s="553">
        <v>2</v>
      </c>
      <c r="D2133" s="553">
        <v>3</v>
      </c>
      <c r="E2133" s="553">
        <v>2</v>
      </c>
      <c r="F2133" s="553">
        <v>2</v>
      </c>
      <c r="G2133" s="553" t="s">
        <v>478</v>
      </c>
      <c r="H2133" s="553">
        <v>1314.2850000000001</v>
      </c>
      <c r="I2133" s="553">
        <v>0</v>
      </c>
      <c r="J2133" s="553">
        <v>8</v>
      </c>
      <c r="K2133" s="553">
        <v>31</v>
      </c>
      <c r="L2133" s="553">
        <v>2</v>
      </c>
      <c r="M2133" s="505" t="s">
        <v>137</v>
      </c>
      <c r="N2133" s="652">
        <v>43013537920000</v>
      </c>
      <c r="O2133" s="553" t="s">
        <v>2805</v>
      </c>
      <c r="P2133" s="650" t="s">
        <v>2808</v>
      </c>
      <c r="Q2133" s="564"/>
      <c r="R2133" s="564">
        <v>2</v>
      </c>
    </row>
    <row r="2134" spans="1:18" s="484" customFormat="1" ht="15" customHeight="1" x14ac:dyDescent="0.25">
      <c r="A2134" s="553">
        <v>22</v>
      </c>
      <c r="B2134" s="553">
        <v>2</v>
      </c>
      <c r="C2134" s="553">
        <v>2</v>
      </c>
      <c r="D2134" s="553">
        <v>3</v>
      </c>
      <c r="E2134" s="553">
        <v>2</v>
      </c>
      <c r="F2134" s="553">
        <v>2</v>
      </c>
      <c r="G2134" s="553" t="s">
        <v>484</v>
      </c>
      <c r="H2134" s="553">
        <v>1314.2850000000001</v>
      </c>
      <c r="I2134" s="553">
        <v>0</v>
      </c>
      <c r="J2134" s="553">
        <v>8</v>
      </c>
      <c r="K2134" s="553">
        <v>31</v>
      </c>
      <c r="L2134" s="553">
        <v>2</v>
      </c>
      <c r="M2134" s="505" t="s">
        <v>137</v>
      </c>
      <c r="N2134" s="652">
        <v>43013537920000</v>
      </c>
      <c r="O2134" s="553" t="s">
        <v>2805</v>
      </c>
      <c r="P2134" s="650" t="s">
        <v>2809</v>
      </c>
      <c r="Q2134" s="564"/>
      <c r="R2134" s="564">
        <v>2</v>
      </c>
    </row>
    <row r="2135" spans="1:18" s="484" customFormat="1" ht="15" customHeight="1" x14ac:dyDescent="0.25">
      <c r="A2135" s="553">
        <v>22</v>
      </c>
      <c r="B2135" s="553">
        <v>2</v>
      </c>
      <c r="C2135" s="553">
        <v>2</v>
      </c>
      <c r="D2135" s="553">
        <v>3</v>
      </c>
      <c r="E2135" s="553">
        <v>2</v>
      </c>
      <c r="F2135" s="553">
        <v>2</v>
      </c>
      <c r="G2135" s="553" t="s">
        <v>486</v>
      </c>
      <c r="H2135" s="553">
        <v>1321.105</v>
      </c>
      <c r="I2135" s="553">
        <v>1</v>
      </c>
      <c r="J2135" s="553">
        <v>44</v>
      </c>
      <c r="K2135" s="553">
        <v>30</v>
      </c>
      <c r="L2135" s="553">
        <v>2</v>
      </c>
      <c r="M2135" s="505" t="s">
        <v>137</v>
      </c>
      <c r="N2135" s="652">
        <v>43013537920000</v>
      </c>
      <c r="O2135" s="553" t="s">
        <v>2805</v>
      </c>
      <c r="P2135" s="650" t="s">
        <v>2810</v>
      </c>
      <c r="Q2135" s="564"/>
      <c r="R2135" s="564">
        <v>2</v>
      </c>
    </row>
    <row r="2136" spans="1:18" s="484" customFormat="1" ht="15" customHeight="1" x14ac:dyDescent="0.25">
      <c r="A2136" s="553">
        <v>22</v>
      </c>
      <c r="B2136" s="553">
        <v>2</v>
      </c>
      <c r="C2136" s="553">
        <v>2</v>
      </c>
      <c r="D2136" s="553">
        <v>3</v>
      </c>
      <c r="E2136" s="553">
        <v>2</v>
      </c>
      <c r="F2136" s="553">
        <v>2</v>
      </c>
      <c r="G2136" s="502" t="s">
        <v>488</v>
      </c>
      <c r="H2136" s="553">
        <v>1321.105</v>
      </c>
      <c r="I2136" s="553">
        <v>1</v>
      </c>
      <c r="J2136" s="553">
        <v>44</v>
      </c>
      <c r="K2136" s="553">
        <v>30</v>
      </c>
      <c r="L2136" s="553">
        <v>2</v>
      </c>
      <c r="M2136" s="505" t="s">
        <v>137</v>
      </c>
      <c r="N2136" s="652">
        <v>43013537920000</v>
      </c>
      <c r="O2136" s="553" t="s">
        <v>2805</v>
      </c>
      <c r="P2136" s="650" t="s">
        <v>2811</v>
      </c>
      <c r="Q2136" s="564"/>
      <c r="R2136" s="564">
        <v>2</v>
      </c>
    </row>
    <row r="2137" spans="1:18" s="484" customFormat="1" ht="15" customHeight="1" x14ac:dyDescent="0.25">
      <c r="A2137" s="553">
        <v>22</v>
      </c>
      <c r="B2137" s="553">
        <v>2</v>
      </c>
      <c r="C2137" s="553">
        <v>2</v>
      </c>
      <c r="D2137" s="553">
        <v>3</v>
      </c>
      <c r="E2137" s="553">
        <v>2</v>
      </c>
      <c r="F2137" s="553">
        <v>2</v>
      </c>
      <c r="G2137" s="553" t="s">
        <v>490</v>
      </c>
      <c r="H2137" s="553">
        <v>1306.3499999999999</v>
      </c>
      <c r="I2137" s="553">
        <v>0</v>
      </c>
      <c r="J2137" s="553">
        <v>2</v>
      </c>
      <c r="K2137" s="553">
        <v>28</v>
      </c>
      <c r="L2137" s="553">
        <v>2</v>
      </c>
      <c r="M2137" s="505" t="s">
        <v>137</v>
      </c>
      <c r="N2137" s="652">
        <v>43013537920000</v>
      </c>
      <c r="O2137" s="553" t="s">
        <v>2805</v>
      </c>
      <c r="P2137" s="650" t="s">
        <v>2812</v>
      </c>
      <c r="Q2137" s="564"/>
      <c r="R2137" s="564">
        <v>2</v>
      </c>
    </row>
    <row r="2138" spans="1:18" s="484" customFormat="1" ht="15" customHeight="1" x14ac:dyDescent="0.25">
      <c r="A2138" s="553">
        <v>22</v>
      </c>
      <c r="B2138" s="553">
        <v>2</v>
      </c>
      <c r="C2138" s="553">
        <v>2</v>
      </c>
      <c r="D2138" s="553">
        <v>3</v>
      </c>
      <c r="E2138" s="553">
        <v>2</v>
      </c>
      <c r="F2138" s="553">
        <v>2</v>
      </c>
      <c r="G2138" s="553" t="s">
        <v>493</v>
      </c>
      <c r="H2138" s="553">
        <v>1306.3499999999999</v>
      </c>
      <c r="I2138" s="553">
        <v>0</v>
      </c>
      <c r="J2138" s="553">
        <v>2</v>
      </c>
      <c r="K2138" s="553">
        <v>28</v>
      </c>
      <c r="L2138" s="553">
        <v>2</v>
      </c>
      <c r="M2138" s="505" t="s">
        <v>137</v>
      </c>
      <c r="N2138" s="652">
        <v>43013537920000</v>
      </c>
      <c r="O2138" s="553" t="s">
        <v>2805</v>
      </c>
      <c r="P2138" s="650" t="s">
        <v>2813</v>
      </c>
      <c r="Q2138" s="564"/>
      <c r="R2138" s="564">
        <v>2</v>
      </c>
    </row>
    <row r="2139" spans="1:18" s="484" customFormat="1" ht="15" customHeight="1" x14ac:dyDescent="0.25">
      <c r="A2139" s="553">
        <v>22</v>
      </c>
      <c r="B2139" s="553">
        <v>2</v>
      </c>
      <c r="C2139" s="553">
        <v>2</v>
      </c>
      <c r="D2139" s="553">
        <v>3</v>
      </c>
      <c r="E2139" s="553">
        <v>2</v>
      </c>
      <c r="F2139" s="553">
        <v>2</v>
      </c>
      <c r="G2139" s="553" t="s">
        <v>474</v>
      </c>
      <c r="H2139" s="553">
        <v>1325.48</v>
      </c>
      <c r="I2139" s="553">
        <v>89</v>
      </c>
      <c r="J2139" s="553">
        <v>44</v>
      </c>
      <c r="K2139" s="553">
        <v>27</v>
      </c>
      <c r="L2139" s="553">
        <v>4</v>
      </c>
      <c r="M2139" s="505" t="s">
        <v>137</v>
      </c>
      <c r="N2139" s="652">
        <v>43013537920000</v>
      </c>
      <c r="O2139" s="553" t="s">
        <v>2805</v>
      </c>
      <c r="P2139" s="650" t="s">
        <v>2814</v>
      </c>
      <c r="Q2139" s="564"/>
      <c r="R2139" s="564">
        <v>2</v>
      </c>
    </row>
    <row r="2140" spans="1:18" s="484" customFormat="1" ht="15" customHeight="1" x14ac:dyDescent="0.25">
      <c r="A2140" s="553">
        <v>22</v>
      </c>
      <c r="B2140" s="553">
        <v>2</v>
      </c>
      <c r="C2140" s="553">
        <v>2</v>
      </c>
      <c r="D2140" s="553">
        <v>3</v>
      </c>
      <c r="E2140" s="553">
        <v>2</v>
      </c>
      <c r="F2140" s="553">
        <v>2</v>
      </c>
      <c r="G2140" s="502" t="s">
        <v>477</v>
      </c>
      <c r="H2140" s="553">
        <v>1325.48</v>
      </c>
      <c r="I2140" s="553">
        <v>89</v>
      </c>
      <c r="J2140" s="553">
        <v>44</v>
      </c>
      <c r="K2140" s="553">
        <v>27</v>
      </c>
      <c r="L2140" s="553">
        <v>4</v>
      </c>
      <c r="M2140" s="505" t="s">
        <v>137</v>
      </c>
      <c r="N2140" s="652">
        <v>43013537920000</v>
      </c>
      <c r="O2140" s="553" t="s">
        <v>2805</v>
      </c>
      <c r="P2140" s="650" t="s">
        <v>2815</v>
      </c>
      <c r="Q2140" s="564"/>
      <c r="R2140" s="564">
        <v>2</v>
      </c>
    </row>
    <row r="2141" spans="1:18" s="484" customFormat="1" ht="15" customHeight="1" x14ac:dyDescent="0.25">
      <c r="A2141" s="553">
        <v>22</v>
      </c>
      <c r="B2141" s="553">
        <v>2</v>
      </c>
      <c r="C2141" s="553">
        <v>2</v>
      </c>
      <c r="D2141" s="553">
        <v>3</v>
      </c>
      <c r="E2141" s="553">
        <v>2</v>
      </c>
      <c r="F2141" s="553">
        <v>2</v>
      </c>
      <c r="G2141" s="553" t="s">
        <v>479</v>
      </c>
      <c r="H2141" s="553">
        <v>1325.48</v>
      </c>
      <c r="I2141" s="553">
        <v>89</v>
      </c>
      <c r="J2141" s="553">
        <v>44</v>
      </c>
      <c r="K2141" s="553">
        <v>27</v>
      </c>
      <c r="L2141" s="553">
        <v>4</v>
      </c>
      <c r="M2141" s="505" t="s">
        <v>137</v>
      </c>
      <c r="N2141" s="652">
        <v>43013537920000</v>
      </c>
      <c r="O2141" s="553" t="s">
        <v>2805</v>
      </c>
      <c r="P2141" s="650" t="s">
        <v>2816</v>
      </c>
      <c r="Q2141" s="564"/>
      <c r="R2141" s="564">
        <v>2</v>
      </c>
    </row>
    <row r="2142" spans="1:18" s="484" customFormat="1" ht="15" customHeight="1" x14ac:dyDescent="0.25">
      <c r="A2142" s="553">
        <v>22</v>
      </c>
      <c r="B2142" s="553">
        <v>2</v>
      </c>
      <c r="C2142" s="553">
        <v>2</v>
      </c>
      <c r="D2142" s="553">
        <v>3</v>
      </c>
      <c r="E2142" s="553">
        <v>2</v>
      </c>
      <c r="F2142" s="553">
        <v>2</v>
      </c>
      <c r="G2142" s="553" t="s">
        <v>485</v>
      </c>
      <c r="H2142" s="553">
        <v>1325.48</v>
      </c>
      <c r="I2142" s="553">
        <v>89</v>
      </c>
      <c r="J2142" s="553">
        <v>44</v>
      </c>
      <c r="K2142" s="553">
        <v>27</v>
      </c>
      <c r="L2142" s="553">
        <v>4</v>
      </c>
      <c r="M2142" s="505" t="s">
        <v>137</v>
      </c>
      <c r="N2142" s="652">
        <v>43013537920000</v>
      </c>
      <c r="O2142" s="553" t="s">
        <v>2805</v>
      </c>
      <c r="P2142" s="650" t="s">
        <v>2817</v>
      </c>
      <c r="Q2142" s="564"/>
      <c r="R2142" s="564">
        <v>2</v>
      </c>
    </row>
    <row r="2143" spans="1:18" s="484" customFormat="1" ht="15" customHeight="1" x14ac:dyDescent="0.25">
      <c r="A2143" s="553">
        <v>22</v>
      </c>
      <c r="B2143" s="553">
        <v>2</v>
      </c>
      <c r="C2143" s="553">
        <v>2</v>
      </c>
      <c r="D2143" s="553">
        <v>3</v>
      </c>
      <c r="E2143" s="553">
        <v>2</v>
      </c>
      <c r="F2143" s="553">
        <v>2</v>
      </c>
      <c r="G2143" s="553" t="s">
        <v>487</v>
      </c>
      <c r="H2143" s="553">
        <v>1321.4275</v>
      </c>
      <c r="I2143" s="553">
        <v>89</v>
      </c>
      <c r="J2143" s="553">
        <v>45</v>
      </c>
      <c r="K2143" s="553">
        <v>42</v>
      </c>
      <c r="L2143" s="553">
        <v>4</v>
      </c>
      <c r="M2143" s="505" t="s">
        <v>137</v>
      </c>
      <c r="N2143" s="652">
        <v>43013537920000</v>
      </c>
      <c r="O2143" s="553" t="s">
        <v>2805</v>
      </c>
      <c r="P2143" s="650" t="s">
        <v>2818</v>
      </c>
      <c r="Q2143" s="564"/>
      <c r="R2143" s="564">
        <v>2</v>
      </c>
    </row>
    <row r="2144" spans="1:18" s="484" customFormat="1" ht="15" customHeight="1" x14ac:dyDescent="0.25">
      <c r="A2144" s="553">
        <v>22</v>
      </c>
      <c r="B2144" s="553">
        <v>2</v>
      </c>
      <c r="C2144" s="553">
        <v>2</v>
      </c>
      <c r="D2144" s="553">
        <v>3</v>
      </c>
      <c r="E2144" s="553">
        <v>2</v>
      </c>
      <c r="F2144" s="553">
        <v>2</v>
      </c>
      <c r="G2144" s="502" t="s">
        <v>489</v>
      </c>
      <c r="H2144" s="553">
        <v>1321.4275</v>
      </c>
      <c r="I2144" s="553">
        <v>89</v>
      </c>
      <c r="J2144" s="553">
        <v>45</v>
      </c>
      <c r="K2144" s="553">
        <v>42</v>
      </c>
      <c r="L2144" s="553">
        <v>4</v>
      </c>
      <c r="M2144" s="505" t="s">
        <v>137</v>
      </c>
      <c r="N2144" s="652">
        <v>43013537920000</v>
      </c>
      <c r="O2144" s="553" t="s">
        <v>2805</v>
      </c>
      <c r="P2144" s="650" t="s">
        <v>2819</v>
      </c>
      <c r="Q2144" s="564"/>
      <c r="R2144" s="564">
        <v>2</v>
      </c>
    </row>
    <row r="2145" spans="1:18" s="484" customFormat="1" ht="15" customHeight="1" x14ac:dyDescent="0.25">
      <c r="A2145" s="553">
        <v>22</v>
      </c>
      <c r="B2145" s="553">
        <v>2</v>
      </c>
      <c r="C2145" s="553">
        <v>2</v>
      </c>
      <c r="D2145" s="553">
        <v>3</v>
      </c>
      <c r="E2145" s="553">
        <v>2</v>
      </c>
      <c r="F2145" s="553">
        <v>2</v>
      </c>
      <c r="G2145" s="553" t="s">
        <v>491</v>
      </c>
      <c r="H2145" s="553">
        <v>1321.4275</v>
      </c>
      <c r="I2145" s="553">
        <v>89</v>
      </c>
      <c r="J2145" s="553">
        <v>45</v>
      </c>
      <c r="K2145" s="553">
        <v>42</v>
      </c>
      <c r="L2145" s="553">
        <v>4</v>
      </c>
      <c r="M2145" s="505" t="s">
        <v>137</v>
      </c>
      <c r="N2145" s="652">
        <v>43013537920000</v>
      </c>
      <c r="O2145" s="553" t="s">
        <v>2805</v>
      </c>
      <c r="P2145" s="650" t="s">
        <v>2820</v>
      </c>
      <c r="Q2145" s="564"/>
      <c r="R2145" s="564">
        <v>2</v>
      </c>
    </row>
    <row r="2146" spans="1:18" s="484" customFormat="1" ht="15" customHeight="1" x14ac:dyDescent="0.25">
      <c r="A2146" s="553">
        <v>22</v>
      </c>
      <c r="B2146" s="553">
        <v>2</v>
      </c>
      <c r="C2146" s="553">
        <v>2</v>
      </c>
      <c r="D2146" s="553">
        <v>3</v>
      </c>
      <c r="E2146" s="553">
        <v>2</v>
      </c>
      <c r="F2146" s="553">
        <v>2</v>
      </c>
      <c r="G2146" s="553" t="s">
        <v>494</v>
      </c>
      <c r="H2146" s="553">
        <v>1321.4275</v>
      </c>
      <c r="I2146" s="553">
        <v>89</v>
      </c>
      <c r="J2146" s="553">
        <v>45</v>
      </c>
      <c r="K2146" s="553">
        <v>42</v>
      </c>
      <c r="L2146" s="553">
        <v>4</v>
      </c>
      <c r="M2146" s="505" t="s">
        <v>137</v>
      </c>
      <c r="N2146" s="652">
        <v>43013537920000</v>
      </c>
      <c r="O2146" s="553" t="s">
        <v>2805</v>
      </c>
      <c r="P2146" s="650" t="s">
        <v>2821</v>
      </c>
      <c r="Q2146" s="564"/>
      <c r="R2146" s="564">
        <v>2</v>
      </c>
    </row>
    <row r="2147" spans="1:18" ht="15" customHeight="1" x14ac:dyDescent="0.25">
      <c r="A2147" s="553">
        <v>22</v>
      </c>
      <c r="B2147" s="553">
        <v>3</v>
      </c>
      <c r="C2147" s="553">
        <v>2</v>
      </c>
      <c r="D2147" s="553">
        <v>1</v>
      </c>
      <c r="E2147" s="553">
        <v>2</v>
      </c>
      <c r="F2147" s="553">
        <v>2</v>
      </c>
      <c r="G2147" s="553" t="s">
        <v>473</v>
      </c>
      <c r="H2147" s="553">
        <v>1318.89</v>
      </c>
      <c r="I2147" s="553">
        <v>0</v>
      </c>
      <c r="J2147" s="553">
        <v>14</v>
      </c>
      <c r="K2147" s="553">
        <v>57</v>
      </c>
      <c r="L2147" s="553">
        <v>2</v>
      </c>
      <c r="M2147" s="505" t="s">
        <v>137</v>
      </c>
      <c r="N2147" s="500">
        <v>43013534790000</v>
      </c>
      <c r="O2147" s="553" t="s">
        <v>1931</v>
      </c>
      <c r="P2147" s="650" t="s">
        <v>2822</v>
      </c>
      <c r="Q2147" s="564"/>
      <c r="R2147" s="564">
        <v>1</v>
      </c>
    </row>
    <row r="2148" spans="1:18" ht="15" customHeight="1" x14ac:dyDescent="0.25">
      <c r="A2148" s="553">
        <v>22</v>
      </c>
      <c r="B2148" s="553">
        <v>3</v>
      </c>
      <c r="C2148" s="553">
        <v>2</v>
      </c>
      <c r="D2148" s="553">
        <v>1</v>
      </c>
      <c r="E2148" s="553">
        <v>2</v>
      </c>
      <c r="F2148" s="553">
        <v>2</v>
      </c>
      <c r="G2148" s="502" t="s">
        <v>476</v>
      </c>
      <c r="H2148" s="553">
        <v>1318.89</v>
      </c>
      <c r="I2148" s="553">
        <v>0</v>
      </c>
      <c r="J2148" s="553">
        <v>14</v>
      </c>
      <c r="K2148" s="553">
        <v>57</v>
      </c>
      <c r="L2148" s="553">
        <v>2</v>
      </c>
      <c r="M2148" s="505" t="s">
        <v>137</v>
      </c>
      <c r="N2148" s="500">
        <v>43013534790000</v>
      </c>
      <c r="O2148" s="553" t="s">
        <v>1931</v>
      </c>
      <c r="P2148" s="650" t="s">
        <v>2823</v>
      </c>
      <c r="Q2148" s="564"/>
      <c r="R2148" s="564">
        <v>1</v>
      </c>
    </row>
    <row r="2149" spans="1:18" ht="15" customHeight="1" x14ac:dyDescent="0.25">
      <c r="A2149" s="553">
        <v>22</v>
      </c>
      <c r="B2149" s="553">
        <v>3</v>
      </c>
      <c r="C2149" s="553">
        <v>2</v>
      </c>
      <c r="D2149" s="553">
        <v>1</v>
      </c>
      <c r="E2149" s="553">
        <v>2</v>
      </c>
      <c r="F2149" s="553">
        <v>2</v>
      </c>
      <c r="G2149" s="553" t="s">
        <v>478</v>
      </c>
      <c r="H2149" s="553">
        <v>1336.0350000000001</v>
      </c>
      <c r="I2149" s="553">
        <v>0</v>
      </c>
      <c r="J2149" s="553">
        <v>14</v>
      </c>
      <c r="K2149" s="553">
        <v>57</v>
      </c>
      <c r="L2149" s="553">
        <v>2</v>
      </c>
      <c r="M2149" s="505" t="s">
        <v>137</v>
      </c>
      <c r="N2149" s="500">
        <v>43013534790000</v>
      </c>
      <c r="O2149" s="553" t="s">
        <v>1931</v>
      </c>
      <c r="P2149" s="650" t="s">
        <v>2824</v>
      </c>
      <c r="Q2149" s="564"/>
      <c r="R2149" s="564">
        <v>1</v>
      </c>
    </row>
    <row r="2150" spans="1:18" ht="15" customHeight="1" x14ac:dyDescent="0.25">
      <c r="A2150" s="553">
        <v>22</v>
      </c>
      <c r="B2150" s="553">
        <v>3</v>
      </c>
      <c r="C2150" s="553">
        <v>2</v>
      </c>
      <c r="D2150" s="553">
        <v>1</v>
      </c>
      <c r="E2150" s="553">
        <v>2</v>
      </c>
      <c r="F2150" s="553">
        <v>2</v>
      </c>
      <c r="G2150" s="553" t="s">
        <v>484</v>
      </c>
      <c r="H2150" s="553">
        <v>1336.0350000000001</v>
      </c>
      <c r="I2150" s="553">
        <v>0</v>
      </c>
      <c r="J2150" s="553">
        <v>14</v>
      </c>
      <c r="K2150" s="553">
        <v>57</v>
      </c>
      <c r="L2150" s="553">
        <v>2</v>
      </c>
      <c r="M2150" s="505" t="s">
        <v>137</v>
      </c>
      <c r="N2150" s="500">
        <v>43013534790000</v>
      </c>
      <c r="O2150" s="553" t="s">
        <v>1931</v>
      </c>
      <c r="P2150" s="650" t="s">
        <v>2825</v>
      </c>
      <c r="Q2150" s="564"/>
      <c r="R2150" s="564">
        <v>1</v>
      </c>
    </row>
    <row r="2151" spans="1:18" ht="15" customHeight="1" x14ac:dyDescent="0.25">
      <c r="A2151" s="553">
        <v>22</v>
      </c>
      <c r="B2151" s="553">
        <v>3</v>
      </c>
      <c r="C2151" s="553">
        <v>2</v>
      </c>
      <c r="D2151" s="553">
        <v>1</v>
      </c>
      <c r="E2151" s="553">
        <v>2</v>
      </c>
      <c r="F2151" s="553">
        <v>2</v>
      </c>
      <c r="G2151" s="553" t="s">
        <v>486</v>
      </c>
      <c r="H2151" s="553">
        <v>1384.0050000000001</v>
      </c>
      <c r="I2151" s="553">
        <v>0</v>
      </c>
      <c r="J2151" s="553">
        <v>10</v>
      </c>
      <c r="K2151" s="553">
        <v>57</v>
      </c>
      <c r="L2151" s="553">
        <v>2</v>
      </c>
      <c r="M2151" s="505" t="s">
        <v>137</v>
      </c>
      <c r="N2151" s="500">
        <v>43013534790000</v>
      </c>
      <c r="O2151" s="553" t="s">
        <v>1931</v>
      </c>
      <c r="P2151" s="650" t="s">
        <v>2826</v>
      </c>
      <c r="Q2151" s="564"/>
      <c r="R2151" s="564">
        <v>1</v>
      </c>
    </row>
    <row r="2152" spans="1:18" ht="15" customHeight="1" x14ac:dyDescent="0.25">
      <c r="A2152" s="553">
        <v>22</v>
      </c>
      <c r="B2152" s="553">
        <v>3</v>
      </c>
      <c r="C2152" s="553">
        <v>2</v>
      </c>
      <c r="D2152" s="553">
        <v>1</v>
      </c>
      <c r="E2152" s="553">
        <v>2</v>
      </c>
      <c r="F2152" s="553">
        <v>2</v>
      </c>
      <c r="G2152" s="502" t="s">
        <v>488</v>
      </c>
      <c r="H2152" s="553">
        <v>1384.0050000000001</v>
      </c>
      <c r="I2152" s="553">
        <v>0</v>
      </c>
      <c r="J2152" s="553">
        <v>10</v>
      </c>
      <c r="K2152" s="553">
        <v>57</v>
      </c>
      <c r="L2152" s="553">
        <v>2</v>
      </c>
      <c r="M2152" s="505" t="s">
        <v>137</v>
      </c>
      <c r="N2152" s="500">
        <v>43013534790000</v>
      </c>
      <c r="O2152" s="553" t="s">
        <v>1931</v>
      </c>
      <c r="P2152" s="650" t="s">
        <v>2827</v>
      </c>
      <c r="Q2152" s="564"/>
      <c r="R2152" s="564">
        <v>1</v>
      </c>
    </row>
    <row r="2153" spans="1:18" ht="15" customHeight="1" x14ac:dyDescent="0.25">
      <c r="A2153" s="553">
        <v>22</v>
      </c>
      <c r="B2153" s="553">
        <v>3</v>
      </c>
      <c r="C2153" s="553">
        <v>2</v>
      </c>
      <c r="D2153" s="553">
        <v>1</v>
      </c>
      <c r="E2153" s="553">
        <v>2</v>
      </c>
      <c r="F2153" s="553">
        <v>2</v>
      </c>
      <c r="G2153" s="553" t="s">
        <v>490</v>
      </c>
      <c r="H2153" s="553">
        <v>1319.2249999999999</v>
      </c>
      <c r="I2153" s="553">
        <v>0</v>
      </c>
      <c r="J2153" s="553">
        <v>2</v>
      </c>
      <c r="K2153" s="553">
        <v>34</v>
      </c>
      <c r="L2153" s="553">
        <v>2</v>
      </c>
      <c r="M2153" s="505" t="s">
        <v>137</v>
      </c>
      <c r="N2153" s="500">
        <v>43013534790000</v>
      </c>
      <c r="O2153" s="553" t="s">
        <v>1931</v>
      </c>
      <c r="P2153" s="650" t="s">
        <v>2828</v>
      </c>
      <c r="Q2153" s="564"/>
      <c r="R2153" s="564">
        <v>1</v>
      </c>
    </row>
    <row r="2154" spans="1:18" ht="15" customHeight="1" x14ac:dyDescent="0.25">
      <c r="A2154" s="553">
        <v>22</v>
      </c>
      <c r="B2154" s="553">
        <v>3</v>
      </c>
      <c r="C2154" s="553">
        <v>2</v>
      </c>
      <c r="D2154" s="553">
        <v>1</v>
      </c>
      <c r="E2154" s="553">
        <v>2</v>
      </c>
      <c r="F2154" s="553">
        <v>2</v>
      </c>
      <c r="G2154" s="553" t="s">
        <v>493</v>
      </c>
      <c r="H2154" s="553">
        <v>1319.2249999999999</v>
      </c>
      <c r="I2154" s="553">
        <v>0</v>
      </c>
      <c r="J2154" s="553">
        <v>2</v>
      </c>
      <c r="K2154" s="553">
        <v>34</v>
      </c>
      <c r="L2154" s="553">
        <v>2</v>
      </c>
      <c r="M2154" s="505" t="s">
        <v>137</v>
      </c>
      <c r="N2154" s="500">
        <v>43013534790000</v>
      </c>
      <c r="O2154" s="553" t="s">
        <v>1931</v>
      </c>
      <c r="P2154" s="650" t="s">
        <v>2829</v>
      </c>
      <c r="Q2154" s="564"/>
      <c r="R2154" s="564">
        <v>1</v>
      </c>
    </row>
    <row r="2155" spans="1:18" ht="15" customHeight="1" x14ac:dyDescent="0.25">
      <c r="A2155" s="553">
        <v>22</v>
      </c>
      <c r="B2155" s="553">
        <v>3</v>
      </c>
      <c r="C2155" s="553">
        <v>2</v>
      </c>
      <c r="D2155" s="553">
        <v>1</v>
      </c>
      <c r="E2155" s="553">
        <v>2</v>
      </c>
      <c r="F2155" s="553">
        <v>2</v>
      </c>
      <c r="G2155" s="553" t="s">
        <v>474</v>
      </c>
      <c r="H2155" s="553">
        <v>1309.125</v>
      </c>
      <c r="I2155" s="553">
        <v>89</v>
      </c>
      <c r="J2155" s="553">
        <v>54</v>
      </c>
      <c r="K2155" s="553">
        <v>32</v>
      </c>
      <c r="L2155" s="553">
        <v>2</v>
      </c>
      <c r="M2155" s="505" t="s">
        <v>137</v>
      </c>
      <c r="N2155" s="500">
        <v>43013534790000</v>
      </c>
      <c r="O2155" s="553" t="s">
        <v>1931</v>
      </c>
      <c r="P2155" s="650" t="s">
        <v>2830</v>
      </c>
      <c r="Q2155" s="564"/>
      <c r="R2155" s="564">
        <v>1</v>
      </c>
    </row>
    <row r="2156" spans="1:18" ht="15" customHeight="1" x14ac:dyDescent="0.25">
      <c r="A2156" s="553">
        <v>22</v>
      </c>
      <c r="B2156" s="553">
        <v>3</v>
      </c>
      <c r="C2156" s="553">
        <v>2</v>
      </c>
      <c r="D2156" s="553">
        <v>1</v>
      </c>
      <c r="E2156" s="553">
        <v>2</v>
      </c>
      <c r="F2156" s="553">
        <v>2</v>
      </c>
      <c r="G2156" s="502" t="s">
        <v>477</v>
      </c>
      <c r="H2156" s="553">
        <v>1309.125</v>
      </c>
      <c r="I2156" s="553">
        <v>89</v>
      </c>
      <c r="J2156" s="553">
        <v>54</v>
      </c>
      <c r="K2156" s="553">
        <v>32</v>
      </c>
      <c r="L2156" s="553">
        <v>2</v>
      </c>
      <c r="M2156" s="505" t="s">
        <v>137</v>
      </c>
      <c r="N2156" s="500">
        <v>43013534790000</v>
      </c>
      <c r="O2156" s="553" t="s">
        <v>1931</v>
      </c>
      <c r="P2156" s="650" t="s">
        <v>2831</v>
      </c>
      <c r="Q2156" s="564"/>
      <c r="R2156" s="564">
        <v>1</v>
      </c>
    </row>
    <row r="2157" spans="1:18" ht="15" customHeight="1" x14ac:dyDescent="0.25">
      <c r="A2157" s="553">
        <v>22</v>
      </c>
      <c r="B2157" s="553">
        <v>3</v>
      </c>
      <c r="C2157" s="553">
        <v>2</v>
      </c>
      <c r="D2157" s="553">
        <v>1</v>
      </c>
      <c r="E2157" s="553">
        <v>2</v>
      </c>
      <c r="F2157" s="553">
        <v>2</v>
      </c>
      <c r="G2157" s="553" t="s">
        <v>479</v>
      </c>
      <c r="H2157" s="553">
        <v>1331.53</v>
      </c>
      <c r="I2157" s="553">
        <v>89</v>
      </c>
      <c r="J2157" s="553">
        <v>54</v>
      </c>
      <c r="K2157" s="553">
        <v>32</v>
      </c>
      <c r="L2157" s="553">
        <v>2</v>
      </c>
      <c r="M2157" s="505" t="s">
        <v>137</v>
      </c>
      <c r="N2157" s="500">
        <v>43013534790000</v>
      </c>
      <c r="O2157" s="553" t="s">
        <v>1931</v>
      </c>
      <c r="P2157" s="650" t="s">
        <v>2832</v>
      </c>
      <c r="Q2157" s="564"/>
      <c r="R2157" s="564">
        <v>1</v>
      </c>
    </row>
    <row r="2158" spans="1:18" ht="15" customHeight="1" x14ac:dyDescent="0.25">
      <c r="A2158" s="553">
        <v>22</v>
      </c>
      <c r="B2158" s="553">
        <v>3</v>
      </c>
      <c r="C2158" s="553">
        <v>2</v>
      </c>
      <c r="D2158" s="553">
        <v>1</v>
      </c>
      <c r="E2158" s="553">
        <v>2</v>
      </c>
      <c r="F2158" s="553">
        <v>2</v>
      </c>
      <c r="G2158" s="553" t="s">
        <v>485</v>
      </c>
      <c r="H2158" s="553">
        <v>1331.53</v>
      </c>
      <c r="I2158" s="553">
        <v>89</v>
      </c>
      <c r="J2158" s="553">
        <v>54</v>
      </c>
      <c r="K2158" s="553">
        <v>32</v>
      </c>
      <c r="L2158" s="553">
        <v>2</v>
      </c>
      <c r="M2158" s="505" t="s">
        <v>137</v>
      </c>
      <c r="N2158" s="500">
        <v>43013534790000</v>
      </c>
      <c r="O2158" s="553" t="s">
        <v>1931</v>
      </c>
      <c r="P2158" s="650" t="s">
        <v>2833</v>
      </c>
      <c r="Q2158" s="564"/>
      <c r="R2158" s="564">
        <v>1</v>
      </c>
    </row>
    <row r="2159" spans="1:18" ht="15" customHeight="1" x14ac:dyDescent="0.25">
      <c r="A2159" s="553">
        <v>22</v>
      </c>
      <c r="B2159" s="553">
        <v>3</v>
      </c>
      <c r="C2159" s="553">
        <v>2</v>
      </c>
      <c r="D2159" s="553">
        <v>1</v>
      </c>
      <c r="E2159" s="553">
        <v>2</v>
      </c>
      <c r="F2159" s="553">
        <v>2</v>
      </c>
      <c r="G2159" s="553" t="s">
        <v>487</v>
      </c>
      <c r="H2159" s="553">
        <v>1312.325</v>
      </c>
      <c r="I2159" s="553">
        <v>89</v>
      </c>
      <c r="J2159" s="553">
        <v>57</v>
      </c>
      <c r="K2159" s="553">
        <v>38</v>
      </c>
      <c r="L2159" s="553">
        <v>2</v>
      </c>
      <c r="M2159" s="505" t="s">
        <v>137</v>
      </c>
      <c r="N2159" s="500">
        <v>43013534790000</v>
      </c>
      <c r="O2159" s="553" t="s">
        <v>1931</v>
      </c>
      <c r="P2159" s="650" t="s">
        <v>2834</v>
      </c>
      <c r="Q2159" s="564"/>
      <c r="R2159" s="564">
        <v>1</v>
      </c>
    </row>
    <row r="2160" spans="1:18" ht="15" customHeight="1" x14ac:dyDescent="0.25">
      <c r="A2160" s="553">
        <v>22</v>
      </c>
      <c r="B2160" s="553">
        <v>3</v>
      </c>
      <c r="C2160" s="553">
        <v>2</v>
      </c>
      <c r="D2160" s="553">
        <v>1</v>
      </c>
      <c r="E2160" s="553">
        <v>2</v>
      </c>
      <c r="F2160" s="553">
        <v>2</v>
      </c>
      <c r="G2160" s="502" t="s">
        <v>489</v>
      </c>
      <c r="H2160" s="553">
        <v>1312.325</v>
      </c>
      <c r="I2160" s="553">
        <v>89</v>
      </c>
      <c r="J2160" s="553">
        <v>57</v>
      </c>
      <c r="K2160" s="553">
        <v>38</v>
      </c>
      <c r="L2160" s="553">
        <v>2</v>
      </c>
      <c r="M2160" s="505" t="s">
        <v>137</v>
      </c>
      <c r="N2160" s="500">
        <v>43013534790000</v>
      </c>
      <c r="O2160" s="553" t="s">
        <v>1931</v>
      </c>
      <c r="P2160" s="650" t="s">
        <v>2835</v>
      </c>
      <c r="Q2160" s="564"/>
      <c r="R2160" s="564">
        <v>1</v>
      </c>
    </row>
    <row r="2161" spans="1:18" ht="15" customHeight="1" x14ac:dyDescent="0.25">
      <c r="A2161" s="553">
        <v>22</v>
      </c>
      <c r="B2161" s="553">
        <v>3</v>
      </c>
      <c r="C2161" s="553">
        <v>2</v>
      </c>
      <c r="D2161" s="553">
        <v>1</v>
      </c>
      <c r="E2161" s="553">
        <v>2</v>
      </c>
      <c r="F2161" s="553">
        <v>2</v>
      </c>
      <c r="G2161" s="553" t="s">
        <v>491</v>
      </c>
      <c r="H2161" s="553">
        <v>1312.325</v>
      </c>
      <c r="I2161" s="553">
        <v>89</v>
      </c>
      <c r="J2161" s="553">
        <v>57</v>
      </c>
      <c r="K2161" s="553">
        <v>38</v>
      </c>
      <c r="L2161" s="553">
        <v>2</v>
      </c>
      <c r="M2161" s="505" t="s">
        <v>137</v>
      </c>
      <c r="N2161" s="500">
        <v>43013534790000</v>
      </c>
      <c r="O2161" s="553" t="s">
        <v>1931</v>
      </c>
      <c r="P2161" s="650" t="s">
        <v>2836</v>
      </c>
      <c r="Q2161" s="564"/>
      <c r="R2161" s="564">
        <v>1</v>
      </c>
    </row>
    <row r="2162" spans="1:18" ht="15" customHeight="1" x14ac:dyDescent="0.25">
      <c r="A2162" s="553">
        <v>22</v>
      </c>
      <c r="B2162" s="553">
        <v>3</v>
      </c>
      <c r="C2162" s="553">
        <v>2</v>
      </c>
      <c r="D2162" s="553">
        <v>1</v>
      </c>
      <c r="E2162" s="553">
        <v>2</v>
      </c>
      <c r="F2162" s="553">
        <v>2</v>
      </c>
      <c r="G2162" s="553" t="s">
        <v>494</v>
      </c>
      <c r="H2162" s="553">
        <v>1312.325</v>
      </c>
      <c r="I2162" s="553">
        <v>89</v>
      </c>
      <c r="J2162" s="553">
        <v>57</v>
      </c>
      <c r="K2162" s="553">
        <v>38</v>
      </c>
      <c r="L2162" s="553">
        <v>2</v>
      </c>
      <c r="M2162" s="505" t="s">
        <v>137</v>
      </c>
      <c r="N2162" s="500">
        <v>43013534790000</v>
      </c>
      <c r="O2162" s="553" t="s">
        <v>1931</v>
      </c>
      <c r="P2162" s="650" t="s">
        <v>2837</v>
      </c>
      <c r="Q2162" s="564"/>
      <c r="R2162" s="564">
        <v>1</v>
      </c>
    </row>
    <row r="2163" spans="1:18" ht="15" customHeight="1" x14ac:dyDescent="0.25">
      <c r="A2163" s="553">
        <v>22</v>
      </c>
      <c r="B2163" s="553">
        <v>3</v>
      </c>
      <c r="C2163" s="553">
        <v>2</v>
      </c>
      <c r="D2163" s="553">
        <v>4</v>
      </c>
      <c r="E2163" s="553">
        <v>2</v>
      </c>
      <c r="F2163" s="553">
        <v>2</v>
      </c>
      <c r="G2163" s="553" t="s">
        <v>473</v>
      </c>
      <c r="H2163" s="553">
        <v>1314.55</v>
      </c>
      <c r="I2163" s="553">
        <v>0</v>
      </c>
      <c r="J2163" s="553">
        <v>5</v>
      </c>
      <c r="K2163" s="553">
        <v>45</v>
      </c>
      <c r="L2163" s="553">
        <v>4</v>
      </c>
      <c r="M2163" s="505" t="s">
        <v>137</v>
      </c>
      <c r="N2163" s="500">
        <v>43013539080000</v>
      </c>
      <c r="O2163" s="553" t="s">
        <v>2739</v>
      </c>
      <c r="P2163" s="650" t="s">
        <v>2838</v>
      </c>
      <c r="Q2163" s="564"/>
      <c r="R2163" s="564">
        <v>2</v>
      </c>
    </row>
    <row r="2164" spans="1:18" ht="15" customHeight="1" x14ac:dyDescent="0.25">
      <c r="A2164" s="553">
        <v>22</v>
      </c>
      <c r="B2164" s="553">
        <v>3</v>
      </c>
      <c r="C2164" s="553">
        <v>2</v>
      </c>
      <c r="D2164" s="553">
        <v>4</v>
      </c>
      <c r="E2164" s="553">
        <v>2</v>
      </c>
      <c r="F2164" s="553">
        <v>2</v>
      </c>
      <c r="G2164" s="502" t="s">
        <v>476</v>
      </c>
      <c r="H2164" s="553">
        <v>1314.42</v>
      </c>
      <c r="I2164" s="553">
        <v>0</v>
      </c>
      <c r="J2164" s="553">
        <v>5</v>
      </c>
      <c r="K2164" s="553">
        <v>23</v>
      </c>
      <c r="L2164" s="553">
        <v>4</v>
      </c>
      <c r="M2164" s="505" t="s">
        <v>137</v>
      </c>
      <c r="N2164" s="500">
        <v>43013539080000</v>
      </c>
      <c r="O2164" s="553" t="s">
        <v>2739</v>
      </c>
      <c r="P2164" s="650" t="s">
        <v>2839</v>
      </c>
      <c r="Q2164" s="564"/>
      <c r="R2164" s="564">
        <v>2</v>
      </c>
    </row>
    <row r="2165" spans="1:18" ht="15" customHeight="1" x14ac:dyDescent="0.25">
      <c r="A2165" s="553">
        <v>22</v>
      </c>
      <c r="B2165" s="553">
        <v>3</v>
      </c>
      <c r="C2165" s="553">
        <v>2</v>
      </c>
      <c r="D2165" s="553">
        <v>4</v>
      </c>
      <c r="E2165" s="553">
        <v>2</v>
      </c>
      <c r="F2165" s="553">
        <v>2</v>
      </c>
      <c r="G2165" s="553" t="s">
        <v>478</v>
      </c>
      <c r="H2165" s="553">
        <v>1314.6949999999999</v>
      </c>
      <c r="I2165" s="553">
        <v>0</v>
      </c>
      <c r="J2165" s="553">
        <v>1</v>
      </c>
      <c r="K2165" s="553">
        <v>3</v>
      </c>
      <c r="L2165" s="553">
        <v>4</v>
      </c>
      <c r="M2165" s="505" t="s">
        <v>137</v>
      </c>
      <c r="N2165" s="500">
        <v>43013539080000</v>
      </c>
      <c r="O2165" s="553" t="s">
        <v>2739</v>
      </c>
      <c r="P2165" s="650" t="s">
        <v>2840</v>
      </c>
      <c r="Q2165" s="564"/>
      <c r="R2165" s="564">
        <v>2</v>
      </c>
    </row>
    <row r="2166" spans="1:18" ht="15" customHeight="1" x14ac:dyDescent="0.25">
      <c r="A2166" s="553">
        <v>22</v>
      </c>
      <c r="B2166" s="553">
        <v>3</v>
      </c>
      <c r="C2166" s="553">
        <v>2</v>
      </c>
      <c r="D2166" s="553">
        <v>4</v>
      </c>
      <c r="E2166" s="553">
        <v>2</v>
      </c>
      <c r="F2166" s="553">
        <v>2</v>
      </c>
      <c r="G2166" s="553" t="s">
        <v>484</v>
      </c>
      <c r="H2166" s="553">
        <v>1314.6949999999999</v>
      </c>
      <c r="I2166" s="553">
        <v>0</v>
      </c>
      <c r="J2166" s="553">
        <v>1</v>
      </c>
      <c r="K2166" s="553">
        <v>3</v>
      </c>
      <c r="L2166" s="553">
        <v>4</v>
      </c>
      <c r="M2166" s="505" t="s">
        <v>137</v>
      </c>
      <c r="N2166" s="500">
        <v>43013539080000</v>
      </c>
      <c r="O2166" s="553" t="s">
        <v>2739</v>
      </c>
      <c r="P2166" s="650" t="s">
        <v>2841</v>
      </c>
      <c r="Q2166" s="564"/>
      <c r="R2166" s="564">
        <v>2</v>
      </c>
    </row>
    <row r="2167" spans="1:18" ht="15" customHeight="1" x14ac:dyDescent="0.25">
      <c r="A2167" s="553">
        <v>22</v>
      </c>
      <c r="B2167" s="553">
        <v>3</v>
      </c>
      <c r="C2167" s="553">
        <v>2</v>
      </c>
      <c r="D2167" s="553">
        <v>4</v>
      </c>
      <c r="E2167" s="553">
        <v>2</v>
      </c>
      <c r="F2167" s="553">
        <v>2</v>
      </c>
      <c r="G2167" s="553" t="s">
        <v>486</v>
      </c>
      <c r="H2167" s="553">
        <v>1310.655</v>
      </c>
      <c r="I2167" s="553">
        <v>0</v>
      </c>
      <c r="J2167" s="553">
        <v>5</v>
      </c>
      <c r="K2167" s="553">
        <v>16</v>
      </c>
      <c r="L2167" s="553">
        <v>1</v>
      </c>
      <c r="M2167" s="505" t="s">
        <v>137</v>
      </c>
      <c r="N2167" s="500">
        <v>43013539080000</v>
      </c>
      <c r="O2167" s="553" t="s">
        <v>2739</v>
      </c>
      <c r="P2167" s="650" t="s">
        <v>2842</v>
      </c>
      <c r="Q2167" s="564"/>
      <c r="R2167" s="564">
        <v>2</v>
      </c>
    </row>
    <row r="2168" spans="1:18" ht="15" customHeight="1" x14ac:dyDescent="0.25">
      <c r="A2168" s="553">
        <v>22</v>
      </c>
      <c r="B2168" s="553">
        <v>3</v>
      </c>
      <c r="C2168" s="553">
        <v>2</v>
      </c>
      <c r="D2168" s="553">
        <v>4</v>
      </c>
      <c r="E2168" s="553">
        <v>2</v>
      </c>
      <c r="F2168" s="553">
        <v>2</v>
      </c>
      <c r="G2168" s="502" t="s">
        <v>488</v>
      </c>
      <c r="H2168" s="553">
        <v>1310.655</v>
      </c>
      <c r="I2168" s="553">
        <v>0</v>
      </c>
      <c r="J2168" s="553">
        <v>5</v>
      </c>
      <c r="K2168" s="553">
        <v>16</v>
      </c>
      <c r="L2168" s="553">
        <v>1</v>
      </c>
      <c r="M2168" s="505" t="s">
        <v>137</v>
      </c>
      <c r="N2168" s="500">
        <v>43013539080000</v>
      </c>
      <c r="O2168" s="553" t="s">
        <v>2739</v>
      </c>
      <c r="P2168" s="650" t="s">
        <v>2843</v>
      </c>
      <c r="Q2168" s="564"/>
      <c r="R2168" s="564">
        <v>2</v>
      </c>
    </row>
    <row r="2169" spans="1:18" ht="15" customHeight="1" x14ac:dyDescent="0.25">
      <c r="A2169" s="553">
        <v>22</v>
      </c>
      <c r="B2169" s="553">
        <v>3</v>
      </c>
      <c r="C2169" s="553">
        <v>2</v>
      </c>
      <c r="D2169" s="553">
        <v>4</v>
      </c>
      <c r="E2169" s="553">
        <v>2</v>
      </c>
      <c r="F2169" s="553">
        <v>2</v>
      </c>
      <c r="G2169" s="553" t="s">
        <v>490</v>
      </c>
      <c r="H2169" s="553">
        <v>1309.42</v>
      </c>
      <c r="I2169" s="553">
        <v>0</v>
      </c>
      <c r="J2169" s="553">
        <v>7</v>
      </c>
      <c r="K2169" s="553">
        <v>45</v>
      </c>
      <c r="L2169" s="553">
        <v>4</v>
      </c>
      <c r="M2169" s="505" t="s">
        <v>137</v>
      </c>
      <c r="N2169" s="500">
        <v>43013539080000</v>
      </c>
      <c r="O2169" s="553" t="s">
        <v>2739</v>
      </c>
      <c r="P2169" s="650" t="s">
        <v>2844</v>
      </c>
      <c r="Q2169" s="564"/>
      <c r="R2169" s="564">
        <v>2</v>
      </c>
    </row>
    <row r="2170" spans="1:18" ht="15" customHeight="1" x14ac:dyDescent="0.25">
      <c r="A2170" s="553">
        <v>22</v>
      </c>
      <c r="B2170" s="553">
        <v>3</v>
      </c>
      <c r="C2170" s="553">
        <v>2</v>
      </c>
      <c r="D2170" s="553">
        <v>4</v>
      </c>
      <c r="E2170" s="553">
        <v>2</v>
      </c>
      <c r="F2170" s="553">
        <v>2</v>
      </c>
      <c r="G2170" s="553" t="s">
        <v>493</v>
      </c>
      <c r="H2170" s="553">
        <v>1309.42</v>
      </c>
      <c r="I2170" s="553">
        <v>0</v>
      </c>
      <c r="J2170" s="553">
        <v>7</v>
      </c>
      <c r="K2170" s="553">
        <v>45</v>
      </c>
      <c r="L2170" s="553">
        <v>4</v>
      </c>
      <c r="M2170" s="505" t="s">
        <v>137</v>
      </c>
      <c r="N2170" s="500">
        <v>43013539080000</v>
      </c>
      <c r="O2170" s="553" t="s">
        <v>2739</v>
      </c>
      <c r="P2170" s="650" t="s">
        <v>2845</v>
      </c>
      <c r="Q2170" s="564"/>
      <c r="R2170" s="564">
        <v>2</v>
      </c>
    </row>
    <row r="2171" spans="1:18" ht="15" customHeight="1" x14ac:dyDescent="0.25">
      <c r="A2171" s="553">
        <v>22</v>
      </c>
      <c r="B2171" s="553">
        <v>3</v>
      </c>
      <c r="C2171" s="553">
        <v>2</v>
      </c>
      <c r="D2171" s="553">
        <v>4</v>
      </c>
      <c r="E2171" s="553">
        <v>2</v>
      </c>
      <c r="F2171" s="553">
        <v>2</v>
      </c>
      <c r="G2171" s="553" t="s">
        <v>474</v>
      </c>
      <c r="H2171" s="553">
        <v>1331.7</v>
      </c>
      <c r="I2171" s="553">
        <v>87</v>
      </c>
      <c r="J2171" s="553">
        <v>57</v>
      </c>
      <c r="K2171" s="553">
        <v>54</v>
      </c>
      <c r="L2171" s="553">
        <v>2</v>
      </c>
      <c r="M2171" s="505" t="s">
        <v>137</v>
      </c>
      <c r="N2171" s="500">
        <v>43013539080000</v>
      </c>
      <c r="O2171" s="553" t="s">
        <v>2739</v>
      </c>
      <c r="P2171" s="650" t="s">
        <v>2846</v>
      </c>
      <c r="Q2171" s="564"/>
      <c r="R2171" s="564">
        <v>2</v>
      </c>
    </row>
    <row r="2172" spans="1:18" ht="15" customHeight="1" x14ac:dyDescent="0.25">
      <c r="A2172" s="553">
        <v>22</v>
      </c>
      <c r="B2172" s="553">
        <v>3</v>
      </c>
      <c r="C2172" s="553">
        <v>2</v>
      </c>
      <c r="D2172" s="553">
        <v>4</v>
      </c>
      <c r="E2172" s="553">
        <v>2</v>
      </c>
      <c r="F2172" s="553">
        <v>2</v>
      </c>
      <c r="G2172" s="502" t="s">
        <v>477</v>
      </c>
      <c r="H2172" s="553">
        <v>1331.7</v>
      </c>
      <c r="I2172" s="553">
        <v>87</v>
      </c>
      <c r="J2172" s="553">
        <v>57</v>
      </c>
      <c r="K2172" s="553">
        <v>54</v>
      </c>
      <c r="L2172" s="553">
        <v>2</v>
      </c>
      <c r="M2172" s="505" t="s">
        <v>137</v>
      </c>
      <c r="N2172" s="500">
        <v>43013539080000</v>
      </c>
      <c r="O2172" s="553" t="s">
        <v>2739</v>
      </c>
      <c r="P2172" s="650" t="s">
        <v>2847</v>
      </c>
      <c r="Q2172" s="564"/>
      <c r="R2172" s="564">
        <v>2</v>
      </c>
    </row>
    <row r="2173" spans="1:18" ht="15" customHeight="1" x14ac:dyDescent="0.25">
      <c r="A2173" s="553">
        <v>22</v>
      </c>
      <c r="B2173" s="553">
        <v>3</v>
      </c>
      <c r="C2173" s="553">
        <v>2</v>
      </c>
      <c r="D2173" s="553">
        <v>4</v>
      </c>
      <c r="E2173" s="553">
        <v>2</v>
      </c>
      <c r="F2173" s="553">
        <v>2</v>
      </c>
      <c r="G2173" s="553" t="s">
        <v>479</v>
      </c>
      <c r="H2173" s="553">
        <v>1331.8050000000001</v>
      </c>
      <c r="I2173" s="553">
        <v>88</v>
      </c>
      <c r="J2173" s="553">
        <v>31</v>
      </c>
      <c r="K2173" s="553">
        <v>49</v>
      </c>
      <c r="L2173" s="553">
        <v>2</v>
      </c>
      <c r="M2173" s="505" t="s">
        <v>137</v>
      </c>
      <c r="N2173" s="500">
        <v>43013539080000</v>
      </c>
      <c r="O2173" s="553" t="s">
        <v>2739</v>
      </c>
      <c r="P2173" s="650" t="s">
        <v>2848</v>
      </c>
      <c r="Q2173" s="564"/>
      <c r="R2173" s="564">
        <v>2</v>
      </c>
    </row>
    <row r="2174" spans="1:18" ht="15" customHeight="1" x14ac:dyDescent="0.25">
      <c r="A2174" s="553">
        <v>22</v>
      </c>
      <c r="B2174" s="553">
        <v>3</v>
      </c>
      <c r="C2174" s="553">
        <v>2</v>
      </c>
      <c r="D2174" s="553">
        <v>4</v>
      </c>
      <c r="E2174" s="553">
        <v>2</v>
      </c>
      <c r="F2174" s="553">
        <v>2</v>
      </c>
      <c r="G2174" s="553" t="s">
        <v>485</v>
      </c>
      <c r="H2174" s="553">
        <v>1331.8050000000001</v>
      </c>
      <c r="I2174" s="553">
        <v>88</v>
      </c>
      <c r="J2174" s="553">
        <v>31</v>
      </c>
      <c r="K2174" s="553">
        <v>49</v>
      </c>
      <c r="L2174" s="553">
        <v>2</v>
      </c>
      <c r="M2174" s="505" t="s">
        <v>137</v>
      </c>
      <c r="N2174" s="500">
        <v>43013539080000</v>
      </c>
      <c r="O2174" s="553" t="s">
        <v>2739</v>
      </c>
      <c r="P2174" s="650" t="s">
        <v>2849</v>
      </c>
      <c r="Q2174" s="564"/>
      <c r="R2174" s="564">
        <v>2</v>
      </c>
    </row>
    <row r="2175" spans="1:18" ht="15" customHeight="1" x14ac:dyDescent="0.25">
      <c r="A2175" s="553">
        <v>22</v>
      </c>
      <c r="B2175" s="553">
        <v>3</v>
      </c>
      <c r="C2175" s="553">
        <v>2</v>
      </c>
      <c r="D2175" s="553">
        <v>4</v>
      </c>
      <c r="E2175" s="553">
        <v>2</v>
      </c>
      <c r="F2175" s="553">
        <v>2</v>
      </c>
      <c r="G2175" s="553" t="s">
        <v>487</v>
      </c>
      <c r="H2175" s="553">
        <v>1333.325</v>
      </c>
      <c r="I2175" s="553">
        <v>88</v>
      </c>
      <c r="J2175" s="553">
        <v>16</v>
      </c>
      <c r="K2175" s="553">
        <v>42</v>
      </c>
      <c r="L2175" s="553">
        <v>2</v>
      </c>
      <c r="M2175" s="505" t="s">
        <v>137</v>
      </c>
      <c r="N2175" s="500">
        <v>43013539080000</v>
      </c>
      <c r="O2175" s="553" t="s">
        <v>2739</v>
      </c>
      <c r="P2175" s="650" t="s">
        <v>2850</v>
      </c>
      <c r="Q2175" s="564"/>
      <c r="R2175" s="564">
        <v>2</v>
      </c>
    </row>
    <row r="2176" spans="1:18" ht="15" customHeight="1" x14ac:dyDescent="0.25">
      <c r="A2176" s="553">
        <v>22</v>
      </c>
      <c r="B2176" s="553">
        <v>3</v>
      </c>
      <c r="C2176" s="553">
        <v>2</v>
      </c>
      <c r="D2176" s="553">
        <v>4</v>
      </c>
      <c r="E2176" s="553">
        <v>2</v>
      </c>
      <c r="F2176" s="553">
        <v>2</v>
      </c>
      <c r="G2176" s="502" t="s">
        <v>489</v>
      </c>
      <c r="H2176" s="650">
        <v>1333.325</v>
      </c>
      <c r="I2176" s="650">
        <v>88</v>
      </c>
      <c r="J2176" s="650">
        <v>16</v>
      </c>
      <c r="K2176" s="650">
        <v>42</v>
      </c>
      <c r="L2176" s="650">
        <v>2</v>
      </c>
      <c r="M2176" s="654" t="s">
        <v>137</v>
      </c>
      <c r="N2176" s="655">
        <v>43013539080000</v>
      </c>
      <c r="O2176" s="650" t="s">
        <v>2739</v>
      </c>
      <c r="P2176" s="650" t="s">
        <v>2851</v>
      </c>
      <c r="Q2176" s="564"/>
      <c r="R2176" s="564">
        <v>2</v>
      </c>
    </row>
    <row r="2177" spans="1:18" ht="15" customHeight="1" x14ac:dyDescent="0.25">
      <c r="A2177" s="553">
        <v>22</v>
      </c>
      <c r="B2177" s="553">
        <v>3</v>
      </c>
      <c r="C2177" s="553">
        <v>2</v>
      </c>
      <c r="D2177" s="553">
        <v>4</v>
      </c>
      <c r="E2177" s="553">
        <v>2</v>
      </c>
      <c r="F2177" s="553">
        <v>2</v>
      </c>
      <c r="G2177" s="553" t="s">
        <v>491</v>
      </c>
      <c r="H2177" s="650">
        <v>1333.16</v>
      </c>
      <c r="I2177" s="650">
        <v>88</v>
      </c>
      <c r="J2177" s="650">
        <v>18</v>
      </c>
      <c r="K2177" s="650">
        <v>40</v>
      </c>
      <c r="L2177" s="650">
        <v>2</v>
      </c>
      <c r="M2177" s="654" t="s">
        <v>137</v>
      </c>
      <c r="N2177" s="655">
        <v>43013539080000</v>
      </c>
      <c r="O2177" s="650" t="s">
        <v>2739</v>
      </c>
      <c r="P2177" s="650" t="s">
        <v>2852</v>
      </c>
      <c r="Q2177" s="564"/>
      <c r="R2177" s="564">
        <v>2</v>
      </c>
    </row>
    <row r="2178" spans="1:18" ht="15" customHeight="1" x14ac:dyDescent="0.25">
      <c r="A2178" s="553">
        <v>22</v>
      </c>
      <c r="B2178" s="553">
        <v>3</v>
      </c>
      <c r="C2178" s="553">
        <v>2</v>
      </c>
      <c r="D2178" s="553">
        <v>4</v>
      </c>
      <c r="E2178" s="553">
        <v>2</v>
      </c>
      <c r="F2178" s="553">
        <v>2</v>
      </c>
      <c r="G2178" s="553" t="s">
        <v>494</v>
      </c>
      <c r="H2178" s="650">
        <v>1333.16</v>
      </c>
      <c r="I2178" s="650">
        <v>88</v>
      </c>
      <c r="J2178" s="650">
        <v>18</v>
      </c>
      <c r="K2178" s="650">
        <v>40</v>
      </c>
      <c r="L2178" s="650">
        <v>2</v>
      </c>
      <c r="M2178" s="654" t="s">
        <v>137</v>
      </c>
      <c r="N2178" s="655">
        <v>43013539080000</v>
      </c>
      <c r="O2178" s="650" t="s">
        <v>2739</v>
      </c>
      <c r="P2178" s="650" t="s">
        <v>2853</v>
      </c>
      <c r="Q2178" s="564"/>
      <c r="R2178" s="564">
        <v>2</v>
      </c>
    </row>
    <row r="2179" spans="1:18" ht="15" customHeight="1" x14ac:dyDescent="0.25">
      <c r="A2179" s="553">
        <v>22</v>
      </c>
      <c r="B2179" s="553">
        <v>3</v>
      </c>
      <c r="C2179" s="553">
        <v>2</v>
      </c>
      <c r="D2179" s="553">
        <v>5</v>
      </c>
      <c r="E2179" s="553">
        <v>2</v>
      </c>
      <c r="F2179" s="553">
        <v>2</v>
      </c>
      <c r="G2179" s="553" t="s">
        <v>473</v>
      </c>
      <c r="H2179" s="650">
        <v>1320.29</v>
      </c>
      <c r="I2179" s="650">
        <v>0</v>
      </c>
      <c r="J2179" s="650">
        <v>14</v>
      </c>
      <c r="K2179" s="650">
        <v>3</v>
      </c>
      <c r="L2179" s="650">
        <v>4</v>
      </c>
      <c r="M2179" s="654" t="s">
        <v>137</v>
      </c>
      <c r="N2179" s="655">
        <v>43013539610000</v>
      </c>
      <c r="O2179" s="650" t="s">
        <v>2756</v>
      </c>
      <c r="P2179" s="650" t="s">
        <v>2854</v>
      </c>
      <c r="Q2179" s="564"/>
      <c r="R2179" s="564">
        <v>1</v>
      </c>
    </row>
    <row r="2180" spans="1:18" ht="15" customHeight="1" x14ac:dyDescent="0.25">
      <c r="A2180" s="553">
        <v>22</v>
      </c>
      <c r="B2180" s="553">
        <v>3</v>
      </c>
      <c r="C2180" s="553">
        <v>2</v>
      </c>
      <c r="D2180" s="553">
        <v>5</v>
      </c>
      <c r="E2180" s="553">
        <v>2</v>
      </c>
      <c r="F2180" s="553">
        <v>2</v>
      </c>
      <c r="G2180" s="502" t="s">
        <v>476</v>
      </c>
      <c r="H2180" s="650">
        <v>1320.29</v>
      </c>
      <c r="I2180" s="650">
        <v>0</v>
      </c>
      <c r="J2180" s="650">
        <v>14</v>
      </c>
      <c r="K2180" s="650">
        <v>3</v>
      </c>
      <c r="L2180" s="650">
        <v>4</v>
      </c>
      <c r="M2180" s="654" t="s">
        <v>137</v>
      </c>
      <c r="N2180" s="655">
        <v>43013539610000</v>
      </c>
      <c r="O2180" s="650" t="s">
        <v>2756</v>
      </c>
      <c r="P2180" s="650" t="s">
        <v>2855</v>
      </c>
      <c r="Q2180" s="564"/>
      <c r="R2180" s="564">
        <v>1</v>
      </c>
    </row>
    <row r="2181" spans="1:18" ht="15" customHeight="1" x14ac:dyDescent="0.25">
      <c r="A2181" s="553">
        <v>22</v>
      </c>
      <c r="B2181" s="553">
        <v>3</v>
      </c>
      <c r="C2181" s="553">
        <v>2</v>
      </c>
      <c r="D2181" s="553">
        <v>5</v>
      </c>
      <c r="E2181" s="553">
        <v>2</v>
      </c>
      <c r="F2181" s="553">
        <v>2</v>
      </c>
      <c r="G2181" s="553" t="s">
        <v>478</v>
      </c>
      <c r="H2181" s="650">
        <v>1320.29</v>
      </c>
      <c r="I2181" s="650">
        <v>0</v>
      </c>
      <c r="J2181" s="650">
        <v>14</v>
      </c>
      <c r="K2181" s="650">
        <v>3</v>
      </c>
      <c r="L2181" s="650">
        <v>4</v>
      </c>
      <c r="M2181" s="654" t="s">
        <v>137</v>
      </c>
      <c r="N2181" s="655">
        <v>43013539610000</v>
      </c>
      <c r="O2181" s="650" t="s">
        <v>2756</v>
      </c>
      <c r="P2181" s="650" t="s">
        <v>2856</v>
      </c>
      <c r="Q2181" s="564"/>
      <c r="R2181" s="564">
        <v>1</v>
      </c>
    </row>
    <row r="2182" spans="1:18" ht="15" customHeight="1" x14ac:dyDescent="0.25">
      <c r="A2182" s="553">
        <v>22</v>
      </c>
      <c r="B2182" s="553">
        <v>3</v>
      </c>
      <c r="C2182" s="553">
        <v>2</v>
      </c>
      <c r="D2182" s="553">
        <v>5</v>
      </c>
      <c r="E2182" s="553">
        <v>2</v>
      </c>
      <c r="F2182" s="553">
        <v>2</v>
      </c>
      <c r="G2182" s="553" t="s">
        <v>484</v>
      </c>
      <c r="H2182" s="650">
        <v>1320.29</v>
      </c>
      <c r="I2182" s="650">
        <v>0</v>
      </c>
      <c r="J2182" s="650">
        <v>14</v>
      </c>
      <c r="K2182" s="650">
        <v>3</v>
      </c>
      <c r="L2182" s="650">
        <v>4</v>
      </c>
      <c r="M2182" s="654" t="s">
        <v>137</v>
      </c>
      <c r="N2182" s="655">
        <v>43013539610000</v>
      </c>
      <c r="O2182" s="650" t="s">
        <v>2756</v>
      </c>
      <c r="P2182" s="650" t="s">
        <v>2857</v>
      </c>
      <c r="Q2182" s="564"/>
      <c r="R2182" s="564">
        <v>1</v>
      </c>
    </row>
    <row r="2183" spans="1:18" ht="15" customHeight="1" x14ac:dyDescent="0.25">
      <c r="A2183" s="553">
        <v>22</v>
      </c>
      <c r="B2183" s="553">
        <v>3</v>
      </c>
      <c r="C2183" s="553">
        <v>2</v>
      </c>
      <c r="D2183" s="553">
        <v>5</v>
      </c>
      <c r="E2183" s="553">
        <v>2</v>
      </c>
      <c r="F2183" s="553">
        <v>2</v>
      </c>
      <c r="G2183" s="553" t="s">
        <v>486</v>
      </c>
      <c r="H2183" s="650">
        <v>1315.335</v>
      </c>
      <c r="I2183" s="650">
        <v>0</v>
      </c>
      <c r="J2183" s="650">
        <v>3</v>
      </c>
      <c r="K2183" s="650">
        <v>30</v>
      </c>
      <c r="L2183" s="650">
        <v>4</v>
      </c>
      <c r="M2183" s="654" t="s">
        <v>137</v>
      </c>
      <c r="N2183" s="655">
        <v>43013539610000</v>
      </c>
      <c r="O2183" s="650" t="s">
        <v>2756</v>
      </c>
      <c r="P2183" s="650" t="s">
        <v>2858</v>
      </c>
      <c r="Q2183" s="564"/>
      <c r="R2183" s="564">
        <v>1</v>
      </c>
    </row>
    <row r="2184" spans="1:18" ht="15" customHeight="1" x14ac:dyDescent="0.25">
      <c r="A2184" s="553">
        <v>22</v>
      </c>
      <c r="B2184" s="553">
        <v>3</v>
      </c>
      <c r="C2184" s="553">
        <v>2</v>
      </c>
      <c r="D2184" s="553">
        <v>5</v>
      </c>
      <c r="E2184" s="553">
        <v>2</v>
      </c>
      <c r="F2184" s="553">
        <v>2</v>
      </c>
      <c r="G2184" s="502" t="s">
        <v>488</v>
      </c>
      <c r="H2184" s="650">
        <v>1315.335</v>
      </c>
      <c r="I2184" s="650">
        <v>0</v>
      </c>
      <c r="J2184" s="650">
        <v>3</v>
      </c>
      <c r="K2184" s="650">
        <v>30</v>
      </c>
      <c r="L2184" s="650">
        <v>4</v>
      </c>
      <c r="M2184" s="654" t="s">
        <v>137</v>
      </c>
      <c r="N2184" s="655">
        <v>43013539610000</v>
      </c>
      <c r="O2184" s="650" t="s">
        <v>2756</v>
      </c>
      <c r="P2184" s="650" t="s">
        <v>2859</v>
      </c>
      <c r="Q2184" s="564"/>
      <c r="R2184" s="564">
        <v>1</v>
      </c>
    </row>
    <row r="2185" spans="1:18" ht="15" customHeight="1" x14ac:dyDescent="0.25">
      <c r="A2185" s="553">
        <v>22</v>
      </c>
      <c r="B2185" s="553">
        <v>3</v>
      </c>
      <c r="C2185" s="553">
        <v>2</v>
      </c>
      <c r="D2185" s="553">
        <v>5</v>
      </c>
      <c r="E2185" s="553">
        <v>2</v>
      </c>
      <c r="F2185" s="553">
        <v>2</v>
      </c>
      <c r="G2185" s="553" t="s">
        <v>490</v>
      </c>
      <c r="H2185" s="650">
        <v>1317.7</v>
      </c>
      <c r="I2185" s="650">
        <v>0</v>
      </c>
      <c r="J2185" s="650">
        <v>3</v>
      </c>
      <c r="K2185" s="650">
        <v>2</v>
      </c>
      <c r="L2185" s="650">
        <v>4</v>
      </c>
      <c r="M2185" s="654" t="s">
        <v>137</v>
      </c>
      <c r="N2185" s="655">
        <v>43013539610000</v>
      </c>
      <c r="O2185" s="650" t="s">
        <v>2756</v>
      </c>
      <c r="P2185" s="650" t="s">
        <v>2860</v>
      </c>
      <c r="Q2185" s="564"/>
      <c r="R2185" s="564">
        <v>1</v>
      </c>
    </row>
    <row r="2186" spans="1:18" ht="15" customHeight="1" x14ac:dyDescent="0.25">
      <c r="A2186" s="553">
        <v>22</v>
      </c>
      <c r="B2186" s="553">
        <v>3</v>
      </c>
      <c r="C2186" s="553">
        <v>2</v>
      </c>
      <c r="D2186" s="553">
        <v>5</v>
      </c>
      <c r="E2186" s="553">
        <v>2</v>
      </c>
      <c r="F2186" s="553">
        <v>2</v>
      </c>
      <c r="G2186" s="553" t="s">
        <v>493</v>
      </c>
      <c r="H2186" s="650">
        <v>1317.7</v>
      </c>
      <c r="I2186" s="650">
        <v>0</v>
      </c>
      <c r="J2186" s="650">
        <v>3</v>
      </c>
      <c r="K2186" s="650">
        <v>2</v>
      </c>
      <c r="L2186" s="650">
        <v>4</v>
      </c>
      <c r="M2186" s="654" t="s">
        <v>137</v>
      </c>
      <c r="N2186" s="655">
        <v>43013539610000</v>
      </c>
      <c r="O2186" s="650" t="s">
        <v>2756</v>
      </c>
      <c r="P2186" s="650" t="s">
        <v>2861</v>
      </c>
      <c r="Q2186" s="564"/>
      <c r="R2186" s="564">
        <v>1</v>
      </c>
    </row>
    <row r="2187" spans="1:18" ht="15" customHeight="1" x14ac:dyDescent="0.25">
      <c r="A2187" s="553">
        <v>22</v>
      </c>
      <c r="B2187" s="553">
        <v>3</v>
      </c>
      <c r="C2187" s="553">
        <v>2</v>
      </c>
      <c r="D2187" s="553">
        <v>5</v>
      </c>
      <c r="E2187" s="553">
        <v>2</v>
      </c>
      <c r="F2187" s="553">
        <v>2</v>
      </c>
      <c r="G2187" s="553" t="s">
        <v>474</v>
      </c>
      <c r="H2187" s="650">
        <v>1312.31</v>
      </c>
      <c r="I2187" s="650">
        <v>89</v>
      </c>
      <c r="J2187" s="650">
        <v>53</v>
      </c>
      <c r="K2187" s="650">
        <v>24</v>
      </c>
      <c r="L2187" s="650">
        <v>1</v>
      </c>
      <c r="M2187" s="654" t="s">
        <v>137</v>
      </c>
      <c r="N2187" s="655">
        <v>43013539610000</v>
      </c>
      <c r="O2187" s="650" t="s">
        <v>2756</v>
      </c>
      <c r="P2187" s="650" t="s">
        <v>2862</v>
      </c>
      <c r="Q2187" s="564"/>
      <c r="R2187" s="564">
        <v>1</v>
      </c>
    </row>
    <row r="2188" spans="1:18" ht="15" customHeight="1" x14ac:dyDescent="0.25">
      <c r="A2188" s="553">
        <v>22</v>
      </c>
      <c r="B2188" s="553">
        <v>3</v>
      </c>
      <c r="C2188" s="553">
        <v>2</v>
      </c>
      <c r="D2188" s="553">
        <v>5</v>
      </c>
      <c r="E2188" s="553">
        <v>2</v>
      </c>
      <c r="F2188" s="553">
        <v>2</v>
      </c>
      <c r="G2188" s="502" t="s">
        <v>477</v>
      </c>
      <c r="H2188" s="650">
        <v>1312.31</v>
      </c>
      <c r="I2188" s="650">
        <v>89</v>
      </c>
      <c r="J2188" s="650">
        <v>53</v>
      </c>
      <c r="K2188" s="650">
        <v>24</v>
      </c>
      <c r="L2188" s="650">
        <v>1</v>
      </c>
      <c r="M2188" s="654" t="s">
        <v>137</v>
      </c>
      <c r="N2188" s="655">
        <v>43013539610000</v>
      </c>
      <c r="O2188" s="650" t="s">
        <v>2756</v>
      </c>
      <c r="P2188" s="650" t="s">
        <v>2863</v>
      </c>
      <c r="Q2188" s="564"/>
      <c r="R2188" s="564">
        <v>1</v>
      </c>
    </row>
    <row r="2189" spans="1:18" ht="15" customHeight="1" x14ac:dyDescent="0.25">
      <c r="A2189" s="553">
        <v>22</v>
      </c>
      <c r="B2189" s="553">
        <v>3</v>
      </c>
      <c r="C2189" s="553">
        <v>2</v>
      </c>
      <c r="D2189" s="553">
        <v>5</v>
      </c>
      <c r="E2189" s="553">
        <v>2</v>
      </c>
      <c r="F2189" s="553">
        <v>2</v>
      </c>
      <c r="G2189" s="553" t="s">
        <v>479</v>
      </c>
      <c r="H2189" s="650">
        <v>1312.31</v>
      </c>
      <c r="I2189" s="650">
        <v>89</v>
      </c>
      <c r="J2189" s="650">
        <v>53</v>
      </c>
      <c r="K2189" s="650">
        <v>24</v>
      </c>
      <c r="L2189" s="650">
        <v>1</v>
      </c>
      <c r="M2189" s="654" t="s">
        <v>137</v>
      </c>
      <c r="N2189" s="655">
        <v>43013539610000</v>
      </c>
      <c r="O2189" s="650" t="s">
        <v>2756</v>
      </c>
      <c r="P2189" s="650" t="s">
        <v>2864</v>
      </c>
      <c r="Q2189" s="564"/>
      <c r="R2189" s="564">
        <v>1</v>
      </c>
    </row>
    <row r="2190" spans="1:18" ht="15" customHeight="1" x14ac:dyDescent="0.25">
      <c r="A2190" s="553">
        <v>22</v>
      </c>
      <c r="B2190" s="553">
        <v>3</v>
      </c>
      <c r="C2190" s="553">
        <v>2</v>
      </c>
      <c r="D2190" s="553">
        <v>5</v>
      </c>
      <c r="E2190" s="553">
        <v>2</v>
      </c>
      <c r="F2190" s="553">
        <v>2</v>
      </c>
      <c r="G2190" s="553" t="s">
        <v>485</v>
      </c>
      <c r="H2190" s="650">
        <v>1312.31</v>
      </c>
      <c r="I2190" s="650">
        <v>89</v>
      </c>
      <c r="J2190" s="650">
        <v>53</v>
      </c>
      <c r="K2190" s="650">
        <v>24</v>
      </c>
      <c r="L2190" s="650">
        <v>1</v>
      </c>
      <c r="M2190" s="654" t="s">
        <v>137</v>
      </c>
      <c r="N2190" s="655">
        <v>43013539610000</v>
      </c>
      <c r="O2190" s="650" t="s">
        <v>2756</v>
      </c>
      <c r="P2190" s="650" t="s">
        <v>2865</v>
      </c>
      <c r="Q2190" s="564"/>
      <c r="R2190" s="564">
        <v>1</v>
      </c>
    </row>
    <row r="2191" spans="1:18" ht="15" customHeight="1" x14ac:dyDescent="0.25">
      <c r="A2191" s="553">
        <v>22</v>
      </c>
      <c r="B2191" s="553">
        <v>3</v>
      </c>
      <c r="C2191" s="553">
        <v>2</v>
      </c>
      <c r="D2191" s="553">
        <v>5</v>
      </c>
      <c r="E2191" s="553">
        <v>2</v>
      </c>
      <c r="F2191" s="553">
        <v>2</v>
      </c>
      <c r="G2191" s="553" t="s">
        <v>487</v>
      </c>
      <c r="H2191" s="650">
        <v>1308.165</v>
      </c>
      <c r="I2191" s="650">
        <v>89</v>
      </c>
      <c r="J2191" s="650">
        <v>56</v>
      </c>
      <c r="K2191" s="650">
        <v>44</v>
      </c>
      <c r="L2191" s="650">
        <v>2</v>
      </c>
      <c r="M2191" s="654" t="s">
        <v>137</v>
      </c>
      <c r="N2191" s="655">
        <v>43013539610000</v>
      </c>
      <c r="O2191" s="650" t="s">
        <v>2756</v>
      </c>
      <c r="P2191" s="650" t="s">
        <v>2866</v>
      </c>
      <c r="Q2191" s="564"/>
      <c r="R2191" s="564">
        <v>1</v>
      </c>
    </row>
    <row r="2192" spans="1:18" ht="15" customHeight="1" x14ac:dyDescent="0.25">
      <c r="A2192" s="553">
        <v>22</v>
      </c>
      <c r="B2192" s="553">
        <v>3</v>
      </c>
      <c r="C2192" s="553">
        <v>2</v>
      </c>
      <c r="D2192" s="553">
        <v>5</v>
      </c>
      <c r="E2192" s="553">
        <v>2</v>
      </c>
      <c r="F2192" s="553">
        <v>2</v>
      </c>
      <c r="G2192" s="502" t="s">
        <v>489</v>
      </c>
      <c r="H2192" s="553">
        <v>1308.165</v>
      </c>
      <c r="I2192" s="553">
        <v>89</v>
      </c>
      <c r="J2192" s="553">
        <v>56</v>
      </c>
      <c r="K2192" s="553">
        <v>44</v>
      </c>
      <c r="L2192" s="553">
        <v>2</v>
      </c>
      <c r="M2192" s="505" t="s">
        <v>137</v>
      </c>
      <c r="N2192" s="500">
        <v>43013539610000</v>
      </c>
      <c r="O2192" s="553" t="s">
        <v>2756</v>
      </c>
      <c r="P2192" s="650" t="s">
        <v>2867</v>
      </c>
      <c r="Q2192" s="564"/>
      <c r="R2192" s="564">
        <v>1</v>
      </c>
    </row>
    <row r="2193" spans="1:18" ht="15" customHeight="1" x14ac:dyDescent="0.25">
      <c r="A2193" s="553">
        <v>22</v>
      </c>
      <c r="B2193" s="553">
        <v>3</v>
      </c>
      <c r="C2193" s="553">
        <v>2</v>
      </c>
      <c r="D2193" s="553">
        <v>5</v>
      </c>
      <c r="E2193" s="553">
        <v>2</v>
      </c>
      <c r="F2193" s="553">
        <v>2</v>
      </c>
      <c r="G2193" s="553" t="s">
        <v>491</v>
      </c>
      <c r="H2193" s="553">
        <v>1308.165</v>
      </c>
      <c r="I2193" s="553">
        <v>89</v>
      </c>
      <c r="J2193" s="553">
        <v>56</v>
      </c>
      <c r="K2193" s="553">
        <v>44</v>
      </c>
      <c r="L2193" s="553">
        <v>2</v>
      </c>
      <c r="M2193" s="505" t="s">
        <v>137</v>
      </c>
      <c r="N2193" s="500">
        <v>43013539610000</v>
      </c>
      <c r="O2193" s="553" t="s">
        <v>2756</v>
      </c>
      <c r="P2193" s="650" t="s">
        <v>2868</v>
      </c>
      <c r="Q2193" s="564"/>
      <c r="R2193" s="564">
        <v>1</v>
      </c>
    </row>
    <row r="2194" spans="1:18" ht="15" customHeight="1" x14ac:dyDescent="0.25">
      <c r="A2194" s="553">
        <v>22</v>
      </c>
      <c r="B2194" s="553">
        <v>3</v>
      </c>
      <c r="C2194" s="553">
        <v>2</v>
      </c>
      <c r="D2194" s="553">
        <v>5</v>
      </c>
      <c r="E2194" s="553">
        <v>2</v>
      </c>
      <c r="F2194" s="553">
        <v>2</v>
      </c>
      <c r="G2194" s="553" t="s">
        <v>494</v>
      </c>
      <c r="H2194" s="553">
        <v>1308.165</v>
      </c>
      <c r="I2194" s="553">
        <v>89</v>
      </c>
      <c r="J2194" s="553">
        <v>56</v>
      </c>
      <c r="K2194" s="553">
        <v>44</v>
      </c>
      <c r="L2194" s="553">
        <v>2</v>
      </c>
      <c r="M2194" s="505" t="s">
        <v>137</v>
      </c>
      <c r="N2194" s="500">
        <v>43013539610000</v>
      </c>
      <c r="O2194" s="553" t="s">
        <v>2756</v>
      </c>
      <c r="P2194" s="650" t="s">
        <v>2869</v>
      </c>
      <c r="Q2194" s="564"/>
      <c r="R2194" s="564">
        <v>1</v>
      </c>
    </row>
    <row r="2195" spans="1:18" ht="15" customHeight="1" x14ac:dyDescent="0.25">
      <c r="A2195" s="564">
        <v>22</v>
      </c>
      <c r="B2195" s="564">
        <v>3</v>
      </c>
      <c r="C2195" s="564">
        <v>2</v>
      </c>
      <c r="D2195" s="564">
        <v>1</v>
      </c>
      <c r="E2195" s="564">
        <v>1</v>
      </c>
      <c r="F2195" s="564">
        <v>2</v>
      </c>
      <c r="G2195" s="564" t="s">
        <v>473</v>
      </c>
      <c r="H2195" s="564">
        <v>1326.345</v>
      </c>
      <c r="I2195" s="564">
        <v>0</v>
      </c>
      <c r="J2195" s="564">
        <v>29</v>
      </c>
      <c r="K2195" s="564">
        <v>9</v>
      </c>
      <c r="L2195" s="564">
        <v>4</v>
      </c>
      <c r="M2195" s="561" t="s">
        <v>312</v>
      </c>
      <c r="N2195" s="651">
        <v>4304756489</v>
      </c>
      <c r="O2195" s="564" t="s">
        <v>1965</v>
      </c>
      <c r="P2195" s="564" t="s">
        <v>2870</v>
      </c>
      <c r="Q2195" s="564"/>
      <c r="R2195" s="564">
        <v>2</v>
      </c>
    </row>
    <row r="2196" spans="1:18" ht="15" customHeight="1" x14ac:dyDescent="0.25">
      <c r="A2196" s="564">
        <v>22</v>
      </c>
      <c r="B2196" s="564">
        <v>3</v>
      </c>
      <c r="C2196" s="564">
        <v>2</v>
      </c>
      <c r="D2196" s="564">
        <v>1</v>
      </c>
      <c r="E2196" s="564">
        <v>1</v>
      </c>
      <c r="F2196" s="564">
        <v>2</v>
      </c>
      <c r="G2196" s="521" t="s">
        <v>476</v>
      </c>
      <c r="H2196" s="564">
        <v>1326.345</v>
      </c>
      <c r="I2196" s="564">
        <v>0</v>
      </c>
      <c r="J2196" s="564">
        <v>29</v>
      </c>
      <c r="K2196" s="564">
        <v>9</v>
      </c>
      <c r="L2196" s="564">
        <v>4</v>
      </c>
      <c r="M2196" s="561" t="s">
        <v>312</v>
      </c>
      <c r="N2196" s="651">
        <v>4304756489</v>
      </c>
      <c r="O2196" s="564" t="s">
        <v>1965</v>
      </c>
      <c r="P2196" s="564" t="s">
        <v>2871</v>
      </c>
      <c r="Q2196" s="564"/>
      <c r="R2196" s="564">
        <v>2</v>
      </c>
    </row>
    <row r="2197" spans="1:18" ht="15" customHeight="1" x14ac:dyDescent="0.25">
      <c r="A2197" s="564">
        <v>22</v>
      </c>
      <c r="B2197" s="564">
        <v>3</v>
      </c>
      <c r="C2197" s="564">
        <v>2</v>
      </c>
      <c r="D2197" s="564">
        <v>1</v>
      </c>
      <c r="E2197" s="564">
        <v>1</v>
      </c>
      <c r="F2197" s="564">
        <v>2</v>
      </c>
      <c r="G2197" s="564" t="s">
        <v>478</v>
      </c>
      <c r="H2197" s="564">
        <v>1332.62</v>
      </c>
      <c r="I2197" s="564">
        <v>0</v>
      </c>
      <c r="J2197" s="564">
        <v>34</v>
      </c>
      <c r="K2197" s="564">
        <v>51</v>
      </c>
      <c r="L2197" s="564">
        <v>4</v>
      </c>
      <c r="M2197" s="561" t="s">
        <v>312</v>
      </c>
      <c r="N2197" s="651">
        <v>4304756489</v>
      </c>
      <c r="O2197" s="564" t="s">
        <v>1965</v>
      </c>
      <c r="P2197" s="564" t="s">
        <v>2872</v>
      </c>
      <c r="Q2197" s="564"/>
      <c r="R2197" s="564">
        <v>2</v>
      </c>
    </row>
    <row r="2198" spans="1:18" ht="15" customHeight="1" x14ac:dyDescent="0.25">
      <c r="A2198" s="564">
        <v>22</v>
      </c>
      <c r="B2198" s="564">
        <v>3</v>
      </c>
      <c r="C2198" s="564">
        <v>2</v>
      </c>
      <c r="D2198" s="564">
        <v>1</v>
      </c>
      <c r="E2198" s="564">
        <v>1</v>
      </c>
      <c r="F2198" s="564">
        <v>2</v>
      </c>
      <c r="G2198" s="564" t="s">
        <v>484</v>
      </c>
      <c r="H2198" s="564">
        <v>1332.88</v>
      </c>
      <c r="I2198" s="564">
        <v>0</v>
      </c>
      <c r="J2198" s="564">
        <v>32</v>
      </c>
      <c r="K2198" s="564">
        <v>56</v>
      </c>
      <c r="L2198" s="564">
        <v>4</v>
      </c>
      <c r="M2198" s="561" t="s">
        <v>312</v>
      </c>
      <c r="N2198" s="651">
        <v>4304756489</v>
      </c>
      <c r="O2198" s="564" t="s">
        <v>1965</v>
      </c>
      <c r="P2198" s="564" t="s">
        <v>2873</v>
      </c>
      <c r="Q2198" s="564"/>
      <c r="R2198" s="564">
        <v>2</v>
      </c>
    </row>
    <row r="2199" spans="1:18" ht="15" customHeight="1" x14ac:dyDescent="0.25">
      <c r="A2199" s="564">
        <v>22</v>
      </c>
      <c r="B2199" s="564">
        <v>3</v>
      </c>
      <c r="C2199" s="564">
        <v>2</v>
      </c>
      <c r="D2199" s="564">
        <v>1</v>
      </c>
      <c r="E2199" s="564">
        <v>1</v>
      </c>
      <c r="F2199" s="564">
        <v>2</v>
      </c>
      <c r="G2199" s="564" t="s">
        <v>486</v>
      </c>
      <c r="H2199" s="564">
        <v>1318.59</v>
      </c>
      <c r="I2199" s="564">
        <v>1</v>
      </c>
      <c r="J2199" s="564">
        <v>8</v>
      </c>
      <c r="K2199" s="564">
        <v>17</v>
      </c>
      <c r="L2199" s="564">
        <v>1</v>
      </c>
      <c r="M2199" s="561" t="s">
        <v>312</v>
      </c>
      <c r="N2199" s="651">
        <v>4304756489</v>
      </c>
      <c r="O2199" s="564" t="s">
        <v>1965</v>
      </c>
      <c r="P2199" s="564" t="s">
        <v>2874</v>
      </c>
      <c r="Q2199" s="564"/>
      <c r="R2199" s="564">
        <v>2</v>
      </c>
    </row>
    <row r="2200" spans="1:18" ht="15" customHeight="1" x14ac:dyDescent="0.25">
      <c r="A2200" s="564">
        <v>22</v>
      </c>
      <c r="B2200" s="564">
        <v>3</v>
      </c>
      <c r="C2200" s="564">
        <v>2</v>
      </c>
      <c r="D2200" s="564">
        <v>1</v>
      </c>
      <c r="E2200" s="564">
        <v>1</v>
      </c>
      <c r="F2200" s="564">
        <v>2</v>
      </c>
      <c r="G2200" s="521" t="s">
        <v>488</v>
      </c>
      <c r="H2200" s="564">
        <v>1338.2</v>
      </c>
      <c r="I2200" s="564">
        <v>0</v>
      </c>
      <c r="J2200" s="564">
        <v>1</v>
      </c>
      <c r="K2200" s="564">
        <v>10</v>
      </c>
      <c r="L2200" s="564">
        <v>2</v>
      </c>
      <c r="M2200" s="561" t="s">
        <v>312</v>
      </c>
      <c r="N2200" s="651">
        <v>4304756489</v>
      </c>
      <c r="O2200" s="564" t="s">
        <v>1965</v>
      </c>
      <c r="P2200" s="564" t="s">
        <v>2875</v>
      </c>
      <c r="Q2200" s="564"/>
      <c r="R2200" s="564">
        <v>2</v>
      </c>
    </row>
    <row r="2201" spans="1:18" ht="15" customHeight="1" x14ac:dyDescent="0.25">
      <c r="A2201" s="564">
        <v>22</v>
      </c>
      <c r="B2201" s="564">
        <v>3</v>
      </c>
      <c r="C2201" s="564">
        <v>2</v>
      </c>
      <c r="D2201" s="564">
        <v>1</v>
      </c>
      <c r="E2201" s="564">
        <v>1</v>
      </c>
      <c r="F2201" s="564">
        <v>2</v>
      </c>
      <c r="G2201" s="564" t="s">
        <v>490</v>
      </c>
      <c r="H2201" s="564">
        <v>1328.1849999999999</v>
      </c>
      <c r="I2201" s="564">
        <v>0</v>
      </c>
      <c r="J2201" s="564">
        <v>0</v>
      </c>
      <c r="K2201" s="564">
        <v>50</v>
      </c>
      <c r="L2201" s="564">
        <v>2</v>
      </c>
      <c r="M2201" s="561" t="s">
        <v>312</v>
      </c>
      <c r="N2201" s="651">
        <v>4304756489</v>
      </c>
      <c r="O2201" s="564" t="s">
        <v>1965</v>
      </c>
      <c r="P2201" s="564" t="s">
        <v>2876</v>
      </c>
      <c r="Q2201" s="564"/>
      <c r="R2201" s="564">
        <v>2</v>
      </c>
    </row>
    <row r="2202" spans="1:18" ht="15" customHeight="1" x14ac:dyDescent="0.25">
      <c r="A2202" s="564">
        <v>22</v>
      </c>
      <c r="B2202" s="564">
        <v>3</v>
      </c>
      <c r="C2202" s="564">
        <v>2</v>
      </c>
      <c r="D2202" s="564">
        <v>1</v>
      </c>
      <c r="E2202" s="564">
        <v>1</v>
      </c>
      <c r="F2202" s="564">
        <v>2</v>
      </c>
      <c r="G2202" s="564" t="s">
        <v>493</v>
      </c>
      <c r="H2202" s="564">
        <v>1328.1849999999999</v>
      </c>
      <c r="I2202" s="564">
        <v>0</v>
      </c>
      <c r="J2202" s="564">
        <v>0</v>
      </c>
      <c r="K2202" s="564">
        <v>50</v>
      </c>
      <c r="L2202" s="564">
        <v>2</v>
      </c>
      <c r="M2202" s="561" t="s">
        <v>312</v>
      </c>
      <c r="N2202" s="651">
        <v>4304756489</v>
      </c>
      <c r="O2202" s="564" t="s">
        <v>1965</v>
      </c>
      <c r="P2202" s="564" t="s">
        <v>2877</v>
      </c>
      <c r="Q2202" s="564"/>
      <c r="R2202" s="564">
        <v>2</v>
      </c>
    </row>
    <row r="2203" spans="1:18" ht="15" customHeight="1" x14ac:dyDescent="0.25">
      <c r="A2203" s="564">
        <v>22</v>
      </c>
      <c r="B2203" s="564">
        <v>3</v>
      </c>
      <c r="C2203" s="564">
        <v>2</v>
      </c>
      <c r="D2203" s="564">
        <v>1</v>
      </c>
      <c r="E2203" s="564">
        <v>1</v>
      </c>
      <c r="F2203" s="564">
        <v>2</v>
      </c>
      <c r="G2203" s="564" t="s">
        <v>474</v>
      </c>
      <c r="H2203" s="564">
        <v>1309.42</v>
      </c>
      <c r="I2203" s="564">
        <v>89</v>
      </c>
      <c r="J2203" s="564">
        <v>21</v>
      </c>
      <c r="K2203" s="564">
        <v>1</v>
      </c>
      <c r="L2203" s="564">
        <v>2</v>
      </c>
      <c r="M2203" s="561" t="s">
        <v>312</v>
      </c>
      <c r="N2203" s="651">
        <v>4304756489</v>
      </c>
      <c r="O2203" s="564" t="s">
        <v>1965</v>
      </c>
      <c r="P2203" s="564" t="s">
        <v>2878</v>
      </c>
      <c r="Q2203" s="564"/>
      <c r="R2203" s="564">
        <v>2</v>
      </c>
    </row>
    <row r="2204" spans="1:18" ht="15" customHeight="1" x14ac:dyDescent="0.25">
      <c r="A2204" s="564">
        <v>22</v>
      </c>
      <c r="B2204" s="564">
        <v>3</v>
      </c>
      <c r="C2204" s="564">
        <v>2</v>
      </c>
      <c r="D2204" s="564">
        <v>1</v>
      </c>
      <c r="E2204" s="564">
        <v>1</v>
      </c>
      <c r="F2204" s="564">
        <v>2</v>
      </c>
      <c r="G2204" s="521" t="s">
        <v>477</v>
      </c>
      <c r="H2204" s="564">
        <v>1326.33</v>
      </c>
      <c r="I2204" s="564">
        <v>89</v>
      </c>
      <c r="J2204" s="564">
        <v>14</v>
      </c>
      <c r="K2204" s="564">
        <v>46</v>
      </c>
      <c r="L2204" s="564">
        <v>2</v>
      </c>
      <c r="M2204" s="561" t="s">
        <v>312</v>
      </c>
      <c r="N2204" s="651">
        <v>4304756489</v>
      </c>
      <c r="O2204" s="564" t="s">
        <v>1965</v>
      </c>
      <c r="P2204" s="564" t="s">
        <v>2879</v>
      </c>
      <c r="Q2204" s="564"/>
      <c r="R2204" s="564">
        <v>2</v>
      </c>
    </row>
    <row r="2205" spans="1:18" ht="15" customHeight="1" x14ac:dyDescent="0.25">
      <c r="A2205" s="564">
        <v>22</v>
      </c>
      <c r="B2205" s="564">
        <v>3</v>
      </c>
      <c r="C2205" s="564">
        <v>2</v>
      </c>
      <c r="D2205" s="564">
        <v>1</v>
      </c>
      <c r="E2205" s="564">
        <v>1</v>
      </c>
      <c r="F2205" s="564">
        <v>2</v>
      </c>
      <c r="G2205" s="564" t="s">
        <v>479</v>
      </c>
      <c r="H2205" s="564">
        <v>1340.63</v>
      </c>
      <c r="I2205" s="564">
        <v>88</v>
      </c>
      <c r="J2205" s="564">
        <v>57</v>
      </c>
      <c r="K2205" s="564">
        <v>8</v>
      </c>
      <c r="L2205" s="564">
        <v>2</v>
      </c>
      <c r="M2205" s="561" t="s">
        <v>312</v>
      </c>
      <c r="N2205" s="651">
        <v>4304756489</v>
      </c>
      <c r="O2205" s="564" t="s">
        <v>1965</v>
      </c>
      <c r="P2205" s="564" t="s">
        <v>2880</v>
      </c>
      <c r="Q2205" s="564"/>
      <c r="R2205" s="564">
        <v>2</v>
      </c>
    </row>
    <row r="2206" spans="1:18" ht="15" customHeight="1" x14ac:dyDescent="0.25">
      <c r="A2206" s="564">
        <v>22</v>
      </c>
      <c r="B2206" s="564">
        <v>3</v>
      </c>
      <c r="C2206" s="564">
        <v>2</v>
      </c>
      <c r="D2206" s="564">
        <v>1</v>
      </c>
      <c r="E2206" s="564">
        <v>1</v>
      </c>
      <c r="F2206" s="564">
        <v>2</v>
      </c>
      <c r="G2206" s="564" t="s">
        <v>485</v>
      </c>
      <c r="H2206" s="564">
        <v>1340.63</v>
      </c>
      <c r="I2206" s="564">
        <v>88</v>
      </c>
      <c r="J2206" s="564">
        <v>57</v>
      </c>
      <c r="K2206" s="564">
        <v>8</v>
      </c>
      <c r="L2206" s="564">
        <v>2</v>
      </c>
      <c r="M2206" s="561" t="s">
        <v>312</v>
      </c>
      <c r="N2206" s="651">
        <v>4304756489</v>
      </c>
      <c r="O2206" s="564" t="s">
        <v>1965</v>
      </c>
      <c r="P2206" s="564" t="s">
        <v>2881</v>
      </c>
      <c r="Q2206" s="564"/>
      <c r="R2206" s="564">
        <v>2</v>
      </c>
    </row>
    <row r="2207" spans="1:18" ht="15" customHeight="1" x14ac:dyDescent="0.25">
      <c r="A2207" s="564">
        <v>22</v>
      </c>
      <c r="B2207" s="564">
        <v>3</v>
      </c>
      <c r="C2207" s="564">
        <v>2</v>
      </c>
      <c r="D2207" s="564">
        <v>1</v>
      </c>
      <c r="E2207" s="564">
        <v>1</v>
      </c>
      <c r="F2207" s="564">
        <v>2</v>
      </c>
      <c r="G2207" s="564" t="s">
        <v>487</v>
      </c>
      <c r="H2207" s="564">
        <v>1328.29</v>
      </c>
      <c r="I2207" s="564">
        <v>89</v>
      </c>
      <c r="J2207" s="564">
        <v>8</v>
      </c>
      <c r="K2207" s="564">
        <v>42</v>
      </c>
      <c r="L2207" s="564">
        <v>3</v>
      </c>
      <c r="M2207" s="561" t="s">
        <v>312</v>
      </c>
      <c r="N2207" s="651">
        <v>4304756489</v>
      </c>
      <c r="O2207" s="564" t="s">
        <v>1965</v>
      </c>
      <c r="P2207" s="564" t="s">
        <v>2882</v>
      </c>
      <c r="Q2207" s="564"/>
      <c r="R2207" s="564">
        <v>2</v>
      </c>
    </row>
    <row r="2208" spans="1:18" ht="15" customHeight="1" x14ac:dyDescent="0.25">
      <c r="A2208" s="564">
        <v>22</v>
      </c>
      <c r="B2208" s="564">
        <v>3</v>
      </c>
      <c r="C2208" s="564">
        <v>2</v>
      </c>
      <c r="D2208" s="564">
        <v>1</v>
      </c>
      <c r="E2208" s="564">
        <v>1</v>
      </c>
      <c r="F2208" s="564">
        <v>2</v>
      </c>
      <c r="G2208" s="521" t="s">
        <v>489</v>
      </c>
      <c r="H2208" s="564">
        <v>1328.32</v>
      </c>
      <c r="I2208" s="564">
        <v>89</v>
      </c>
      <c r="J2208" s="564">
        <v>8</v>
      </c>
      <c r="K2208" s="564">
        <v>8</v>
      </c>
      <c r="L2208" s="564">
        <v>3</v>
      </c>
      <c r="M2208" s="561" t="s">
        <v>312</v>
      </c>
      <c r="N2208" s="651">
        <v>4304756489</v>
      </c>
      <c r="O2208" s="564" t="s">
        <v>1965</v>
      </c>
      <c r="P2208" s="564" t="s">
        <v>2883</v>
      </c>
      <c r="Q2208" s="564"/>
      <c r="R2208" s="564">
        <v>2</v>
      </c>
    </row>
    <row r="2209" spans="1:18" ht="15" customHeight="1" x14ac:dyDescent="0.25">
      <c r="A2209" s="564">
        <v>22</v>
      </c>
      <c r="B2209" s="564">
        <v>3</v>
      </c>
      <c r="C2209" s="564">
        <v>2</v>
      </c>
      <c r="D2209" s="564">
        <v>1</v>
      </c>
      <c r="E2209" s="564">
        <v>1</v>
      </c>
      <c r="F2209" s="564">
        <v>2</v>
      </c>
      <c r="G2209" s="564" t="s">
        <v>491</v>
      </c>
      <c r="H2209" s="564">
        <v>1318.39</v>
      </c>
      <c r="I2209" s="564">
        <v>88</v>
      </c>
      <c r="J2209" s="564">
        <v>59</v>
      </c>
      <c r="K2209" s="564">
        <v>20</v>
      </c>
      <c r="L2209" s="564">
        <v>3</v>
      </c>
      <c r="M2209" s="561" t="s">
        <v>312</v>
      </c>
      <c r="N2209" s="651">
        <v>4304756489</v>
      </c>
      <c r="O2209" s="564" t="s">
        <v>1965</v>
      </c>
      <c r="P2209" s="564" t="s">
        <v>2884</v>
      </c>
      <c r="Q2209" s="564"/>
      <c r="R2209" s="564">
        <v>2</v>
      </c>
    </row>
    <row r="2210" spans="1:18" ht="15" customHeight="1" x14ac:dyDescent="0.25">
      <c r="A2210" s="564">
        <v>22</v>
      </c>
      <c r="B2210" s="564">
        <v>3</v>
      </c>
      <c r="C2210" s="564">
        <v>2</v>
      </c>
      <c r="D2210" s="564">
        <v>1</v>
      </c>
      <c r="E2210" s="564">
        <v>1</v>
      </c>
      <c r="F2210" s="564">
        <v>2</v>
      </c>
      <c r="G2210" s="564" t="s">
        <v>494</v>
      </c>
      <c r="H2210" s="564">
        <v>1318.39</v>
      </c>
      <c r="I2210" s="564">
        <v>88</v>
      </c>
      <c r="J2210" s="564">
        <v>59</v>
      </c>
      <c r="K2210" s="564">
        <v>20</v>
      </c>
      <c r="L2210" s="564">
        <v>3</v>
      </c>
      <c r="M2210" s="561" t="s">
        <v>312</v>
      </c>
      <c r="N2210" s="651">
        <v>4304756489</v>
      </c>
      <c r="O2210" s="564" t="s">
        <v>1965</v>
      </c>
      <c r="P2210" s="564" t="s">
        <v>2885</v>
      </c>
      <c r="Q2210" s="564"/>
      <c r="R2210" s="564">
        <v>2</v>
      </c>
    </row>
    <row r="2211" spans="1:18" ht="15" customHeight="1" x14ac:dyDescent="0.25">
      <c r="A2211" s="553">
        <v>23</v>
      </c>
      <c r="B2211" s="553">
        <v>11</v>
      </c>
      <c r="C2211" s="553">
        <v>2</v>
      </c>
      <c r="D2211" s="553">
        <v>24</v>
      </c>
      <c r="E2211" s="553">
        <v>1</v>
      </c>
      <c r="F2211" s="553">
        <v>1</v>
      </c>
      <c r="G2211" s="553" t="s">
        <v>473</v>
      </c>
      <c r="H2211" s="553">
        <v>1308.345</v>
      </c>
      <c r="I2211" s="553">
        <v>0</v>
      </c>
      <c r="J2211" s="553">
        <v>0</v>
      </c>
      <c r="K2211" s="553">
        <v>0</v>
      </c>
      <c r="L2211" s="553">
        <v>4</v>
      </c>
      <c r="M2211" s="505" t="s">
        <v>137</v>
      </c>
      <c r="N2211" s="500">
        <v>43047388720000</v>
      </c>
      <c r="O2211" s="553" t="s">
        <v>2886</v>
      </c>
      <c r="P2211" s="650" t="s">
        <v>2887</v>
      </c>
      <c r="Q2211" s="564"/>
      <c r="R2211" s="564">
        <v>1</v>
      </c>
    </row>
    <row r="2212" spans="1:18" ht="15" customHeight="1" x14ac:dyDescent="0.25">
      <c r="A2212" s="553">
        <v>23</v>
      </c>
      <c r="B2212" s="553">
        <v>11</v>
      </c>
      <c r="C2212" s="553">
        <v>2</v>
      </c>
      <c r="D2212" s="553">
        <v>24</v>
      </c>
      <c r="E2212" s="553">
        <v>1</v>
      </c>
      <c r="F2212" s="553">
        <v>1</v>
      </c>
      <c r="G2212" s="502" t="s">
        <v>476</v>
      </c>
      <c r="H2212" s="553">
        <v>1308.345</v>
      </c>
      <c r="I2212" s="553">
        <v>0</v>
      </c>
      <c r="J2212" s="553">
        <v>0</v>
      </c>
      <c r="K2212" s="553">
        <v>0</v>
      </c>
      <c r="L2212" s="553">
        <v>4</v>
      </c>
      <c r="M2212" s="505" t="s">
        <v>137</v>
      </c>
      <c r="N2212" s="500">
        <v>43047388720000</v>
      </c>
      <c r="O2212" s="553" t="s">
        <v>2886</v>
      </c>
      <c r="P2212" s="650" t="s">
        <v>2888</v>
      </c>
      <c r="Q2212" s="564"/>
      <c r="R2212" s="564">
        <v>1</v>
      </c>
    </row>
    <row r="2213" spans="1:18" ht="15" customHeight="1" x14ac:dyDescent="0.25">
      <c r="A2213" s="553">
        <v>23</v>
      </c>
      <c r="B2213" s="553">
        <v>11</v>
      </c>
      <c r="C2213" s="553">
        <v>2</v>
      </c>
      <c r="D2213" s="553">
        <v>24</v>
      </c>
      <c r="E2213" s="553">
        <v>1</v>
      </c>
      <c r="F2213" s="553">
        <v>1</v>
      </c>
      <c r="G2213" s="553" t="s">
        <v>478</v>
      </c>
      <c r="H2213" s="553">
        <v>1343.92</v>
      </c>
      <c r="I2213" s="553">
        <v>0</v>
      </c>
      <c r="J2213" s="553">
        <v>3</v>
      </c>
      <c r="K2213" s="553">
        <v>53</v>
      </c>
      <c r="L2213" s="553">
        <v>4</v>
      </c>
      <c r="M2213" s="505" t="s">
        <v>137</v>
      </c>
      <c r="N2213" s="500">
        <v>43047388720000</v>
      </c>
      <c r="O2213" s="553" t="s">
        <v>2886</v>
      </c>
      <c r="P2213" s="650" t="s">
        <v>2889</v>
      </c>
      <c r="Q2213" s="564"/>
      <c r="R2213" s="564">
        <v>1</v>
      </c>
    </row>
    <row r="2214" spans="1:18" ht="15" customHeight="1" x14ac:dyDescent="0.25">
      <c r="A2214" s="553">
        <v>23</v>
      </c>
      <c r="B2214" s="553">
        <v>11</v>
      </c>
      <c r="C2214" s="553">
        <v>2</v>
      </c>
      <c r="D2214" s="553">
        <v>24</v>
      </c>
      <c r="E2214" s="553">
        <v>1</v>
      </c>
      <c r="F2214" s="553">
        <v>1</v>
      </c>
      <c r="G2214" s="553" t="s">
        <v>484</v>
      </c>
      <c r="H2214" s="553">
        <v>1343.92</v>
      </c>
      <c r="I2214" s="553">
        <v>0</v>
      </c>
      <c r="J2214" s="553">
        <v>3</v>
      </c>
      <c r="K2214" s="553">
        <v>53</v>
      </c>
      <c r="L2214" s="553">
        <v>4</v>
      </c>
      <c r="M2214" s="505" t="s">
        <v>137</v>
      </c>
      <c r="N2214" s="500">
        <v>43047388720000</v>
      </c>
      <c r="O2214" s="553" t="s">
        <v>2886</v>
      </c>
      <c r="P2214" s="650" t="s">
        <v>2890</v>
      </c>
      <c r="Q2214" s="564"/>
      <c r="R2214" s="564">
        <v>1</v>
      </c>
    </row>
    <row r="2215" spans="1:18" ht="15" customHeight="1" x14ac:dyDescent="0.25">
      <c r="A2215" s="553">
        <v>23</v>
      </c>
      <c r="B2215" s="553">
        <v>11</v>
      </c>
      <c r="C2215" s="553">
        <v>2</v>
      </c>
      <c r="D2215" s="553">
        <v>24</v>
      </c>
      <c r="E2215" s="553">
        <v>1</v>
      </c>
      <c r="F2215" s="553">
        <v>1</v>
      </c>
      <c r="G2215" s="553" t="s">
        <v>486</v>
      </c>
      <c r="H2215" s="553">
        <v>1322.8575000000001</v>
      </c>
      <c r="I2215" s="553">
        <v>0</v>
      </c>
      <c r="J2215" s="553">
        <v>5</v>
      </c>
      <c r="K2215" s="553">
        <v>38</v>
      </c>
      <c r="L2215" s="553">
        <v>4</v>
      </c>
      <c r="M2215" s="505" t="s">
        <v>137</v>
      </c>
      <c r="N2215" s="500">
        <v>43047388720000</v>
      </c>
      <c r="O2215" s="553" t="s">
        <v>2886</v>
      </c>
      <c r="P2215" s="650" t="s">
        <v>2891</v>
      </c>
      <c r="Q2215" s="564"/>
      <c r="R2215" s="564">
        <v>1</v>
      </c>
    </row>
    <row r="2216" spans="1:18" ht="15" customHeight="1" x14ac:dyDescent="0.25">
      <c r="A2216" s="553">
        <v>23</v>
      </c>
      <c r="B2216" s="553">
        <v>11</v>
      </c>
      <c r="C2216" s="553">
        <v>2</v>
      </c>
      <c r="D2216" s="553">
        <v>24</v>
      </c>
      <c r="E2216" s="553">
        <v>1</v>
      </c>
      <c r="F2216" s="553">
        <v>1</v>
      </c>
      <c r="G2216" s="502" t="s">
        <v>488</v>
      </c>
      <c r="H2216" s="553">
        <v>1322.8575000000001</v>
      </c>
      <c r="I2216" s="553">
        <v>0</v>
      </c>
      <c r="J2216" s="553">
        <v>5</v>
      </c>
      <c r="K2216" s="553">
        <v>38</v>
      </c>
      <c r="L2216" s="553">
        <v>4</v>
      </c>
      <c r="M2216" s="505" t="s">
        <v>137</v>
      </c>
      <c r="N2216" s="500">
        <v>43047388720000</v>
      </c>
      <c r="O2216" s="553" t="s">
        <v>2886</v>
      </c>
      <c r="P2216" s="650" t="s">
        <v>2892</v>
      </c>
      <c r="Q2216" s="564"/>
      <c r="R2216" s="564">
        <v>1</v>
      </c>
    </row>
    <row r="2217" spans="1:18" ht="15" customHeight="1" x14ac:dyDescent="0.25">
      <c r="A2217" s="553">
        <v>23</v>
      </c>
      <c r="B2217" s="553">
        <v>11</v>
      </c>
      <c r="C2217" s="553">
        <v>2</v>
      </c>
      <c r="D2217" s="553">
        <v>24</v>
      </c>
      <c r="E2217" s="553">
        <v>1</v>
      </c>
      <c r="F2217" s="553">
        <v>1</v>
      </c>
      <c r="G2217" s="553" t="s">
        <v>490</v>
      </c>
      <c r="H2217" s="553">
        <v>1322.8575000000001</v>
      </c>
      <c r="I2217" s="553">
        <v>0</v>
      </c>
      <c r="J2217" s="553">
        <v>5</v>
      </c>
      <c r="K2217" s="553">
        <v>38</v>
      </c>
      <c r="L2217" s="553">
        <v>4</v>
      </c>
      <c r="M2217" s="505" t="s">
        <v>137</v>
      </c>
      <c r="N2217" s="500">
        <v>43047388720000</v>
      </c>
      <c r="O2217" s="553" t="s">
        <v>2886</v>
      </c>
      <c r="P2217" s="650" t="s">
        <v>2893</v>
      </c>
      <c r="Q2217" s="564"/>
      <c r="R2217" s="564">
        <v>1</v>
      </c>
    </row>
    <row r="2218" spans="1:18" ht="15" customHeight="1" x14ac:dyDescent="0.25">
      <c r="A2218" s="553">
        <v>23</v>
      </c>
      <c r="B2218" s="553">
        <v>11</v>
      </c>
      <c r="C2218" s="553">
        <v>2</v>
      </c>
      <c r="D2218" s="553">
        <v>24</v>
      </c>
      <c r="E2218" s="553">
        <v>1</v>
      </c>
      <c r="F2218" s="553">
        <v>1</v>
      </c>
      <c r="G2218" s="553" t="s">
        <v>493</v>
      </c>
      <c r="H2218" s="553">
        <v>1322.8575000000001</v>
      </c>
      <c r="I2218" s="553">
        <v>0</v>
      </c>
      <c r="J2218" s="553">
        <v>5</v>
      </c>
      <c r="K2218" s="553">
        <v>38</v>
      </c>
      <c r="L2218" s="553">
        <v>4</v>
      </c>
      <c r="M2218" s="505" t="s">
        <v>137</v>
      </c>
      <c r="N2218" s="500">
        <v>43047388720000</v>
      </c>
      <c r="O2218" s="553" t="s">
        <v>2886</v>
      </c>
      <c r="P2218" s="650" t="s">
        <v>2894</v>
      </c>
      <c r="Q2218" s="564"/>
      <c r="R2218" s="564">
        <v>1</v>
      </c>
    </row>
    <row r="2219" spans="1:18" ht="15" customHeight="1" x14ac:dyDescent="0.25">
      <c r="A2219" s="553">
        <v>23</v>
      </c>
      <c r="B2219" s="553">
        <v>11</v>
      </c>
      <c r="C2219" s="553">
        <v>2</v>
      </c>
      <c r="D2219" s="553">
        <v>24</v>
      </c>
      <c r="E2219" s="553">
        <v>1</v>
      </c>
      <c r="F2219" s="553">
        <v>1</v>
      </c>
      <c r="G2219" s="553" t="s">
        <v>474</v>
      </c>
      <c r="H2219" s="553">
        <v>1313.24</v>
      </c>
      <c r="I2219" s="553">
        <v>89</v>
      </c>
      <c r="J2219" s="553">
        <v>59</v>
      </c>
      <c r="K2219" s="553">
        <v>32</v>
      </c>
      <c r="L2219" s="553">
        <v>3</v>
      </c>
      <c r="M2219" s="505" t="s">
        <v>137</v>
      </c>
      <c r="N2219" s="500">
        <v>43047388720000</v>
      </c>
      <c r="O2219" s="553" t="s">
        <v>2886</v>
      </c>
      <c r="P2219" s="650" t="s">
        <v>2895</v>
      </c>
      <c r="Q2219" s="564"/>
      <c r="R2219" s="564">
        <v>1</v>
      </c>
    </row>
    <row r="2220" spans="1:18" ht="15" customHeight="1" x14ac:dyDescent="0.25">
      <c r="A2220" s="553">
        <v>23</v>
      </c>
      <c r="B2220" s="553">
        <v>11</v>
      </c>
      <c r="C2220" s="553">
        <v>2</v>
      </c>
      <c r="D2220" s="553">
        <v>24</v>
      </c>
      <c r="E2220" s="553">
        <v>1</v>
      </c>
      <c r="F2220" s="553">
        <v>1</v>
      </c>
      <c r="G2220" s="502" t="s">
        <v>477</v>
      </c>
      <c r="H2220" s="553">
        <v>1313.24</v>
      </c>
      <c r="I2220" s="553">
        <v>89</v>
      </c>
      <c r="J2220" s="553">
        <v>59</v>
      </c>
      <c r="K2220" s="553">
        <v>32</v>
      </c>
      <c r="L2220" s="553">
        <v>3</v>
      </c>
      <c r="M2220" s="505" t="s">
        <v>137</v>
      </c>
      <c r="N2220" s="500">
        <v>43047388720000</v>
      </c>
      <c r="O2220" s="553" t="s">
        <v>2886</v>
      </c>
      <c r="P2220" s="650" t="s">
        <v>2896</v>
      </c>
      <c r="Q2220" s="564"/>
      <c r="R2220" s="564">
        <v>1</v>
      </c>
    </row>
    <row r="2221" spans="1:18" ht="15" customHeight="1" x14ac:dyDescent="0.25">
      <c r="A2221" s="553">
        <v>23</v>
      </c>
      <c r="B2221" s="553">
        <v>11</v>
      </c>
      <c r="C2221" s="553">
        <v>2</v>
      </c>
      <c r="D2221" s="553">
        <v>24</v>
      </c>
      <c r="E2221" s="553">
        <v>1</v>
      </c>
      <c r="F2221" s="553">
        <v>1</v>
      </c>
      <c r="G2221" s="553" t="s">
        <v>479</v>
      </c>
      <c r="H2221" s="553">
        <v>1320.395</v>
      </c>
      <c r="I2221" s="553">
        <v>89</v>
      </c>
      <c r="J2221" s="553">
        <v>33</v>
      </c>
      <c r="K2221" s="553">
        <v>48</v>
      </c>
      <c r="L2221" s="553">
        <v>4</v>
      </c>
      <c r="M2221" s="505" t="s">
        <v>137</v>
      </c>
      <c r="N2221" s="500">
        <v>43047388720000</v>
      </c>
      <c r="O2221" s="553" t="s">
        <v>2886</v>
      </c>
      <c r="P2221" s="650" t="s">
        <v>2897</v>
      </c>
      <c r="Q2221" s="564"/>
      <c r="R2221" s="564">
        <v>1</v>
      </c>
    </row>
    <row r="2222" spans="1:18" ht="15" customHeight="1" x14ac:dyDescent="0.25">
      <c r="A2222" s="553">
        <v>23</v>
      </c>
      <c r="B2222" s="553">
        <v>11</v>
      </c>
      <c r="C2222" s="553">
        <v>2</v>
      </c>
      <c r="D2222" s="553">
        <v>24</v>
      </c>
      <c r="E2222" s="553">
        <v>1</v>
      </c>
      <c r="F2222" s="553">
        <v>1</v>
      </c>
      <c r="G2222" s="553" t="s">
        <v>485</v>
      </c>
      <c r="H2222" s="553">
        <v>1320.395</v>
      </c>
      <c r="I2222" s="553">
        <v>89</v>
      </c>
      <c r="J2222" s="553">
        <v>33</v>
      </c>
      <c r="K2222" s="553">
        <v>48</v>
      </c>
      <c r="L2222" s="553">
        <v>4</v>
      </c>
      <c r="M2222" s="505" t="s">
        <v>137</v>
      </c>
      <c r="N2222" s="500">
        <v>43047388720000</v>
      </c>
      <c r="O2222" s="553" t="s">
        <v>2886</v>
      </c>
      <c r="P2222" s="650" t="s">
        <v>2898</v>
      </c>
      <c r="Q2222" s="564"/>
      <c r="R2222" s="564">
        <v>1</v>
      </c>
    </row>
    <row r="2223" spans="1:18" ht="15" customHeight="1" x14ac:dyDescent="0.25">
      <c r="A2223" s="553">
        <v>23</v>
      </c>
      <c r="B2223" s="553">
        <v>11</v>
      </c>
      <c r="C2223" s="553">
        <v>2</v>
      </c>
      <c r="D2223" s="553">
        <v>24</v>
      </c>
      <c r="E2223" s="553">
        <v>1</v>
      </c>
      <c r="F2223" s="553">
        <v>1</v>
      </c>
      <c r="G2223" s="553" t="s">
        <v>487</v>
      </c>
      <c r="H2223" s="553">
        <v>1322.91</v>
      </c>
      <c r="I2223" s="553">
        <v>89</v>
      </c>
      <c r="J2223" s="553">
        <v>57</v>
      </c>
      <c r="K2223" s="553">
        <v>58</v>
      </c>
      <c r="L2223" s="553">
        <v>3</v>
      </c>
      <c r="M2223" s="505" t="s">
        <v>137</v>
      </c>
      <c r="N2223" s="500">
        <v>43047388720000</v>
      </c>
      <c r="O2223" s="553" t="s">
        <v>2886</v>
      </c>
      <c r="P2223" s="650" t="s">
        <v>2899</v>
      </c>
      <c r="Q2223" s="564"/>
      <c r="R2223" s="564">
        <v>1</v>
      </c>
    </row>
    <row r="2224" spans="1:18" ht="15" customHeight="1" x14ac:dyDescent="0.25">
      <c r="A2224" s="553">
        <v>23</v>
      </c>
      <c r="B2224" s="553">
        <v>11</v>
      </c>
      <c r="C2224" s="553">
        <v>2</v>
      </c>
      <c r="D2224" s="553">
        <v>24</v>
      </c>
      <c r="E2224" s="553">
        <v>1</v>
      </c>
      <c r="F2224" s="553">
        <v>1</v>
      </c>
      <c r="G2224" s="502" t="s">
        <v>489</v>
      </c>
      <c r="H2224" s="553">
        <v>1322.91</v>
      </c>
      <c r="I2224" s="553">
        <v>89</v>
      </c>
      <c r="J2224" s="553">
        <v>57</v>
      </c>
      <c r="K2224" s="553">
        <v>58</v>
      </c>
      <c r="L2224" s="553">
        <v>3</v>
      </c>
      <c r="M2224" s="505" t="s">
        <v>137</v>
      </c>
      <c r="N2224" s="500">
        <v>43047388720000</v>
      </c>
      <c r="O2224" s="553" t="s">
        <v>2886</v>
      </c>
      <c r="P2224" s="650" t="s">
        <v>2900</v>
      </c>
      <c r="Q2224" s="564"/>
      <c r="R2224" s="564">
        <v>1</v>
      </c>
    </row>
    <row r="2225" spans="1:18" ht="15" customHeight="1" x14ac:dyDescent="0.25">
      <c r="A2225" s="553">
        <v>23</v>
      </c>
      <c r="B2225" s="553">
        <v>11</v>
      </c>
      <c r="C2225" s="553">
        <v>2</v>
      </c>
      <c r="D2225" s="553">
        <v>24</v>
      </c>
      <c r="E2225" s="553">
        <v>1</v>
      </c>
      <c r="F2225" s="553">
        <v>1</v>
      </c>
      <c r="G2225" s="553" t="s">
        <v>491</v>
      </c>
      <c r="H2225" s="553">
        <v>1316.54</v>
      </c>
      <c r="I2225" s="553">
        <v>89</v>
      </c>
      <c r="J2225" s="553">
        <v>53</v>
      </c>
      <c r="K2225" s="553">
        <v>21</v>
      </c>
      <c r="L2225" s="553">
        <v>3</v>
      </c>
      <c r="M2225" s="505" t="s">
        <v>137</v>
      </c>
      <c r="N2225" s="500">
        <v>43047388720000</v>
      </c>
      <c r="O2225" s="553" t="s">
        <v>2886</v>
      </c>
      <c r="P2225" s="650" t="s">
        <v>2901</v>
      </c>
      <c r="Q2225" s="564"/>
      <c r="R2225" s="564">
        <v>1</v>
      </c>
    </row>
    <row r="2226" spans="1:18" ht="15" customHeight="1" x14ac:dyDescent="0.25">
      <c r="A2226" s="553">
        <v>23</v>
      </c>
      <c r="B2226" s="553">
        <v>11</v>
      </c>
      <c r="C2226" s="553">
        <v>2</v>
      </c>
      <c r="D2226" s="553">
        <v>24</v>
      </c>
      <c r="E2226" s="553">
        <v>1</v>
      </c>
      <c r="F2226" s="553">
        <v>1</v>
      </c>
      <c r="G2226" s="553" t="s">
        <v>494</v>
      </c>
      <c r="H2226" s="553">
        <v>1316.54</v>
      </c>
      <c r="I2226" s="553">
        <v>89</v>
      </c>
      <c r="J2226" s="553">
        <v>53</v>
      </c>
      <c r="K2226" s="553">
        <v>21</v>
      </c>
      <c r="L2226" s="553">
        <v>3</v>
      </c>
      <c r="M2226" s="505" t="s">
        <v>137</v>
      </c>
      <c r="N2226" s="500">
        <v>43047388720000</v>
      </c>
      <c r="O2226" s="553" t="s">
        <v>2886</v>
      </c>
      <c r="P2226" s="650" t="s">
        <v>2902</v>
      </c>
      <c r="Q2226" s="564"/>
      <c r="R2226" s="564">
        <v>1</v>
      </c>
    </row>
    <row r="2227" spans="1:18" ht="15" customHeight="1" x14ac:dyDescent="0.25">
      <c r="A2227" s="553">
        <v>23</v>
      </c>
      <c r="B2227" s="553">
        <v>7</v>
      </c>
      <c r="C2227" s="553">
        <v>2</v>
      </c>
      <c r="D2227" s="553">
        <v>20</v>
      </c>
      <c r="E2227" s="553">
        <v>1</v>
      </c>
      <c r="F2227" s="553">
        <v>1</v>
      </c>
      <c r="G2227" s="553" t="s">
        <v>473</v>
      </c>
      <c r="H2227" s="553">
        <v>1359.13</v>
      </c>
      <c r="I2227" s="553">
        <v>2</v>
      </c>
      <c r="J2227" s="553">
        <v>8</v>
      </c>
      <c r="K2227" s="553">
        <v>23</v>
      </c>
      <c r="L2227" s="553">
        <v>4</v>
      </c>
      <c r="M2227" s="505" t="s">
        <v>312</v>
      </c>
      <c r="N2227" s="500">
        <v>43047562820000</v>
      </c>
      <c r="O2227" s="553" t="s">
        <v>1799</v>
      </c>
      <c r="P2227" s="650" t="s">
        <v>2903</v>
      </c>
      <c r="Q2227" s="564"/>
      <c r="R2227" s="564">
        <v>2</v>
      </c>
    </row>
    <row r="2228" spans="1:18" ht="15" customHeight="1" x14ac:dyDescent="0.25">
      <c r="A2228" s="553">
        <v>23</v>
      </c>
      <c r="B2228" s="553">
        <v>7</v>
      </c>
      <c r="C2228" s="553">
        <v>2</v>
      </c>
      <c r="D2228" s="553">
        <v>20</v>
      </c>
      <c r="E2228" s="553">
        <v>1</v>
      </c>
      <c r="F2228" s="553">
        <v>1</v>
      </c>
      <c r="G2228" s="502" t="s">
        <v>476</v>
      </c>
      <c r="H2228" s="553">
        <v>1359.13</v>
      </c>
      <c r="I2228" s="553">
        <v>2</v>
      </c>
      <c r="J2228" s="553">
        <v>8</v>
      </c>
      <c r="K2228" s="553">
        <v>23</v>
      </c>
      <c r="L2228" s="553">
        <v>4</v>
      </c>
      <c r="M2228" s="505" t="s">
        <v>312</v>
      </c>
      <c r="N2228" s="500">
        <v>43047562820000</v>
      </c>
      <c r="O2228" s="553" t="s">
        <v>1799</v>
      </c>
      <c r="P2228" s="650" t="s">
        <v>2904</v>
      </c>
      <c r="Q2228" s="564"/>
      <c r="R2228" s="564">
        <v>2</v>
      </c>
    </row>
    <row r="2229" spans="1:18" ht="15" customHeight="1" x14ac:dyDescent="0.25">
      <c r="A2229" s="553">
        <v>23</v>
      </c>
      <c r="B2229" s="553">
        <v>7</v>
      </c>
      <c r="C2229" s="553">
        <v>2</v>
      </c>
      <c r="D2229" s="553">
        <v>20</v>
      </c>
      <c r="E2229" s="553">
        <v>1</v>
      </c>
      <c r="F2229" s="553">
        <v>1</v>
      </c>
      <c r="G2229" s="553" t="s">
        <v>478</v>
      </c>
      <c r="H2229" s="553">
        <v>1324.4349999999999</v>
      </c>
      <c r="I2229" s="553">
        <v>1</v>
      </c>
      <c r="J2229" s="553">
        <v>51</v>
      </c>
      <c r="K2229" s="553">
        <v>13</v>
      </c>
      <c r="L2229" s="553">
        <v>4</v>
      </c>
      <c r="M2229" s="505" t="s">
        <v>312</v>
      </c>
      <c r="N2229" s="500">
        <v>43047562820000</v>
      </c>
      <c r="O2229" s="553" t="s">
        <v>1799</v>
      </c>
      <c r="P2229" s="650" t="s">
        <v>2905</v>
      </c>
      <c r="Q2229" s="564"/>
      <c r="R2229" s="564">
        <v>2</v>
      </c>
    </row>
    <row r="2230" spans="1:18" ht="15" customHeight="1" x14ac:dyDescent="0.25">
      <c r="A2230" s="553">
        <v>23</v>
      </c>
      <c r="B2230" s="553">
        <v>7</v>
      </c>
      <c r="C2230" s="553">
        <v>2</v>
      </c>
      <c r="D2230" s="553">
        <v>20</v>
      </c>
      <c r="E2230" s="553">
        <v>1</v>
      </c>
      <c r="F2230" s="553">
        <v>1</v>
      </c>
      <c r="G2230" s="553" t="s">
        <v>484</v>
      </c>
      <c r="H2230" s="553">
        <v>1324.4349999999999</v>
      </c>
      <c r="I2230" s="553">
        <v>1</v>
      </c>
      <c r="J2230" s="553">
        <v>51</v>
      </c>
      <c r="K2230" s="553">
        <v>13</v>
      </c>
      <c r="L2230" s="553">
        <v>4</v>
      </c>
      <c r="M2230" s="505" t="s">
        <v>312</v>
      </c>
      <c r="N2230" s="500">
        <v>43047562820000</v>
      </c>
      <c r="O2230" s="553" t="s">
        <v>1799</v>
      </c>
      <c r="P2230" s="650" t="s">
        <v>2906</v>
      </c>
      <c r="Q2230" s="564"/>
      <c r="R2230" s="564">
        <v>2</v>
      </c>
    </row>
    <row r="2231" spans="1:18" ht="15" customHeight="1" x14ac:dyDescent="0.25">
      <c r="A2231" s="553">
        <v>23</v>
      </c>
      <c r="B2231" s="553">
        <v>7</v>
      </c>
      <c r="C2231" s="553">
        <v>2</v>
      </c>
      <c r="D2231" s="553">
        <v>20</v>
      </c>
      <c r="E2231" s="553">
        <v>1</v>
      </c>
      <c r="F2231" s="553">
        <v>1</v>
      </c>
      <c r="G2231" s="553" t="s">
        <v>486</v>
      </c>
      <c r="H2231" s="553">
        <v>1346.32</v>
      </c>
      <c r="I2231" s="553">
        <v>3</v>
      </c>
      <c r="J2231" s="553">
        <v>5</v>
      </c>
      <c r="K2231" s="553">
        <v>35</v>
      </c>
      <c r="L2231" s="553">
        <v>4</v>
      </c>
      <c r="M2231" s="505" t="s">
        <v>312</v>
      </c>
      <c r="N2231" s="500">
        <v>43047562820000</v>
      </c>
      <c r="O2231" s="553" t="s">
        <v>1799</v>
      </c>
      <c r="P2231" s="650" t="s">
        <v>2907</v>
      </c>
      <c r="Q2231" s="564"/>
      <c r="R2231" s="564">
        <v>2</v>
      </c>
    </row>
    <row r="2232" spans="1:18" ht="15" customHeight="1" x14ac:dyDescent="0.25">
      <c r="A2232" s="553">
        <v>23</v>
      </c>
      <c r="B2232" s="553">
        <v>7</v>
      </c>
      <c r="C2232" s="553">
        <v>2</v>
      </c>
      <c r="D2232" s="553">
        <v>20</v>
      </c>
      <c r="E2232" s="553">
        <v>1</v>
      </c>
      <c r="F2232" s="553">
        <v>1</v>
      </c>
      <c r="G2232" s="502" t="s">
        <v>488</v>
      </c>
      <c r="H2232" s="553">
        <v>1346.67</v>
      </c>
      <c r="I2232" s="553">
        <v>3</v>
      </c>
      <c r="J2232" s="553">
        <v>5</v>
      </c>
      <c r="K2232" s="553">
        <v>52</v>
      </c>
      <c r="L2232" s="553">
        <v>4</v>
      </c>
      <c r="M2232" s="505" t="s">
        <v>312</v>
      </c>
      <c r="N2232" s="500">
        <v>43047562820000</v>
      </c>
      <c r="O2232" s="553" t="s">
        <v>1799</v>
      </c>
      <c r="P2232" s="650" t="s">
        <v>2908</v>
      </c>
      <c r="Q2232" s="564"/>
      <c r="R2232" s="564">
        <v>2</v>
      </c>
    </row>
    <row r="2233" spans="1:18" ht="15" customHeight="1" x14ac:dyDescent="0.25">
      <c r="A2233" s="553">
        <v>23</v>
      </c>
      <c r="B2233" s="553">
        <v>7</v>
      </c>
      <c r="C2233" s="553">
        <v>2</v>
      </c>
      <c r="D2233" s="553">
        <v>20</v>
      </c>
      <c r="E2233" s="553">
        <v>1</v>
      </c>
      <c r="F2233" s="553">
        <v>1</v>
      </c>
      <c r="G2233" s="553" t="s">
        <v>490</v>
      </c>
      <c r="H2233" s="553">
        <v>1392.93</v>
      </c>
      <c r="I2233" s="553">
        <v>2</v>
      </c>
      <c r="J2233" s="553">
        <v>10</v>
      </c>
      <c r="K2233" s="553">
        <v>41</v>
      </c>
      <c r="L2233" s="553">
        <v>4</v>
      </c>
      <c r="M2233" s="505" t="s">
        <v>312</v>
      </c>
      <c r="N2233" s="500">
        <v>43047562820000</v>
      </c>
      <c r="O2233" s="553" t="s">
        <v>1799</v>
      </c>
      <c r="P2233" s="650" t="s">
        <v>2909</v>
      </c>
      <c r="Q2233" s="564"/>
      <c r="R2233" s="564">
        <v>2</v>
      </c>
    </row>
    <row r="2234" spans="1:18" ht="15" customHeight="1" x14ac:dyDescent="0.25">
      <c r="A2234" s="553">
        <v>23</v>
      </c>
      <c r="B2234" s="553">
        <v>7</v>
      </c>
      <c r="C2234" s="553">
        <v>2</v>
      </c>
      <c r="D2234" s="553">
        <v>20</v>
      </c>
      <c r="E2234" s="553">
        <v>1</v>
      </c>
      <c r="F2234" s="553">
        <v>1</v>
      </c>
      <c r="G2234" s="553" t="s">
        <v>493</v>
      </c>
      <c r="H2234" s="553">
        <v>1392.93</v>
      </c>
      <c r="I2234" s="553">
        <v>2</v>
      </c>
      <c r="J2234" s="553">
        <v>10</v>
      </c>
      <c r="K2234" s="553">
        <v>41</v>
      </c>
      <c r="L2234" s="553">
        <v>4</v>
      </c>
      <c r="M2234" s="505" t="s">
        <v>312</v>
      </c>
      <c r="N2234" s="500">
        <v>43047562820000</v>
      </c>
      <c r="O2234" s="553" t="s">
        <v>1799</v>
      </c>
      <c r="P2234" s="650" t="s">
        <v>2910</v>
      </c>
      <c r="Q2234" s="564"/>
      <c r="R2234" s="564">
        <v>2</v>
      </c>
    </row>
    <row r="2235" spans="1:18" ht="15" customHeight="1" x14ac:dyDescent="0.25">
      <c r="A2235" s="553">
        <v>23</v>
      </c>
      <c r="B2235" s="553">
        <v>7</v>
      </c>
      <c r="C2235" s="553">
        <v>2</v>
      </c>
      <c r="D2235" s="553">
        <v>20</v>
      </c>
      <c r="E2235" s="553">
        <v>1</v>
      </c>
      <c r="F2235" s="553">
        <v>1</v>
      </c>
      <c r="G2235" s="553" t="s">
        <v>474</v>
      </c>
      <c r="H2235" s="553">
        <v>1332.67</v>
      </c>
      <c r="I2235" s="553">
        <v>88</v>
      </c>
      <c r="J2235" s="553">
        <v>7</v>
      </c>
      <c r="K2235" s="553">
        <v>53</v>
      </c>
      <c r="L2235" s="553">
        <v>3</v>
      </c>
      <c r="M2235" s="505" t="s">
        <v>312</v>
      </c>
      <c r="N2235" s="500">
        <v>43047562820000</v>
      </c>
      <c r="O2235" s="553" t="s">
        <v>1799</v>
      </c>
      <c r="P2235" s="650" t="s">
        <v>2911</v>
      </c>
      <c r="Q2235" s="564"/>
      <c r="R2235" s="564">
        <v>2</v>
      </c>
    </row>
    <row r="2236" spans="1:18" ht="15" customHeight="1" x14ac:dyDescent="0.25">
      <c r="A2236" s="553">
        <v>23</v>
      </c>
      <c r="B2236" s="553">
        <v>7</v>
      </c>
      <c r="C2236" s="553">
        <v>2</v>
      </c>
      <c r="D2236" s="553">
        <v>20</v>
      </c>
      <c r="E2236" s="553">
        <v>1</v>
      </c>
      <c r="F2236" s="553">
        <v>1</v>
      </c>
      <c r="G2236" s="502" t="s">
        <v>477</v>
      </c>
      <c r="H2236" s="553">
        <v>1332.67</v>
      </c>
      <c r="I2236" s="553">
        <v>88</v>
      </c>
      <c r="J2236" s="553">
        <v>7</v>
      </c>
      <c r="K2236" s="553">
        <v>53</v>
      </c>
      <c r="L2236" s="553">
        <v>3</v>
      </c>
      <c r="M2236" s="505" t="s">
        <v>312</v>
      </c>
      <c r="N2236" s="500">
        <v>43047562820000</v>
      </c>
      <c r="O2236" s="553" t="s">
        <v>1799</v>
      </c>
      <c r="P2236" s="650" t="s">
        <v>2912</v>
      </c>
      <c r="Q2236" s="564"/>
      <c r="R2236" s="564">
        <v>2</v>
      </c>
    </row>
    <row r="2237" spans="1:18" ht="15" customHeight="1" x14ac:dyDescent="0.25">
      <c r="A2237" s="553">
        <v>23</v>
      </c>
      <c r="B2237" s="553">
        <v>7</v>
      </c>
      <c r="C2237" s="553">
        <v>2</v>
      </c>
      <c r="D2237" s="553">
        <v>20</v>
      </c>
      <c r="E2237" s="553">
        <v>1</v>
      </c>
      <c r="F2237" s="553">
        <v>1</v>
      </c>
      <c r="G2237" s="553" t="s">
        <v>479</v>
      </c>
      <c r="H2237" s="553">
        <v>1332.585</v>
      </c>
      <c r="I2237" s="553">
        <v>88</v>
      </c>
      <c r="J2237" s="553">
        <v>31</v>
      </c>
      <c r="K2237" s="553">
        <v>54</v>
      </c>
      <c r="L2237" s="553">
        <v>3</v>
      </c>
      <c r="M2237" s="505" t="s">
        <v>312</v>
      </c>
      <c r="N2237" s="500">
        <v>43047562820000</v>
      </c>
      <c r="O2237" s="553" t="s">
        <v>1799</v>
      </c>
      <c r="P2237" s="650" t="s">
        <v>2913</v>
      </c>
      <c r="Q2237" s="564"/>
      <c r="R2237" s="564">
        <v>2</v>
      </c>
    </row>
    <row r="2238" spans="1:18" ht="15" customHeight="1" x14ac:dyDescent="0.25">
      <c r="A2238" s="553">
        <v>23</v>
      </c>
      <c r="B2238" s="553">
        <v>7</v>
      </c>
      <c r="C2238" s="553">
        <v>2</v>
      </c>
      <c r="D2238" s="553">
        <v>20</v>
      </c>
      <c r="E2238" s="553">
        <v>1</v>
      </c>
      <c r="F2238" s="553">
        <v>1</v>
      </c>
      <c r="G2238" s="553" t="s">
        <v>485</v>
      </c>
      <c r="H2238" s="553">
        <v>1332.585</v>
      </c>
      <c r="I2238" s="553">
        <v>88</v>
      </c>
      <c r="J2238" s="553">
        <v>31</v>
      </c>
      <c r="K2238" s="553">
        <v>54</v>
      </c>
      <c r="L2238" s="553">
        <v>3</v>
      </c>
      <c r="M2238" s="505" t="s">
        <v>312</v>
      </c>
      <c r="N2238" s="500">
        <v>43047562820000</v>
      </c>
      <c r="O2238" s="553" t="s">
        <v>1799</v>
      </c>
      <c r="P2238" s="650" t="s">
        <v>2914</v>
      </c>
      <c r="Q2238" s="564"/>
      <c r="R2238" s="564">
        <v>2</v>
      </c>
    </row>
    <row r="2239" spans="1:18" ht="15" customHeight="1" x14ac:dyDescent="0.25">
      <c r="A2239" s="553">
        <v>23</v>
      </c>
      <c r="B2239" s="553">
        <v>7</v>
      </c>
      <c r="C2239" s="553">
        <v>2</v>
      </c>
      <c r="D2239" s="553">
        <v>20</v>
      </c>
      <c r="E2239" s="553">
        <v>1</v>
      </c>
      <c r="F2239" s="553">
        <v>1</v>
      </c>
      <c r="G2239" s="553" t="s">
        <v>487</v>
      </c>
      <c r="H2239" s="553">
        <v>1348.65</v>
      </c>
      <c r="I2239" s="553">
        <v>89</v>
      </c>
      <c r="J2239" s="553">
        <v>18</v>
      </c>
      <c r="K2239" s="553">
        <v>27</v>
      </c>
      <c r="L2239" s="553">
        <v>3</v>
      </c>
      <c r="M2239" s="505" t="s">
        <v>312</v>
      </c>
      <c r="N2239" s="500">
        <v>43047562820000</v>
      </c>
      <c r="O2239" s="553" t="s">
        <v>1799</v>
      </c>
      <c r="P2239" s="650" t="s">
        <v>2915</v>
      </c>
      <c r="Q2239" s="564"/>
      <c r="R2239" s="564">
        <v>2</v>
      </c>
    </row>
    <row r="2240" spans="1:18" ht="15" customHeight="1" x14ac:dyDescent="0.25">
      <c r="A2240" s="553">
        <v>23</v>
      </c>
      <c r="B2240" s="553">
        <v>7</v>
      </c>
      <c r="C2240" s="553">
        <v>2</v>
      </c>
      <c r="D2240" s="553">
        <v>20</v>
      </c>
      <c r="E2240" s="553">
        <v>1</v>
      </c>
      <c r="F2240" s="553">
        <v>1</v>
      </c>
      <c r="G2240" s="502" t="s">
        <v>489</v>
      </c>
      <c r="H2240" s="553">
        <v>1348.65</v>
      </c>
      <c r="I2240" s="553">
        <v>89</v>
      </c>
      <c r="J2240" s="553">
        <v>18</v>
      </c>
      <c r="K2240" s="553">
        <v>27</v>
      </c>
      <c r="L2240" s="553">
        <v>3</v>
      </c>
      <c r="M2240" s="505" t="s">
        <v>312</v>
      </c>
      <c r="N2240" s="500">
        <v>43047562820000</v>
      </c>
      <c r="O2240" s="553" t="s">
        <v>1799</v>
      </c>
      <c r="P2240" s="650" t="s">
        <v>2916</v>
      </c>
      <c r="Q2240" s="564"/>
      <c r="R2240" s="564">
        <v>2</v>
      </c>
    </row>
    <row r="2241" spans="1:18" ht="15" customHeight="1" x14ac:dyDescent="0.25">
      <c r="A2241" s="553">
        <v>23</v>
      </c>
      <c r="B2241" s="553">
        <v>7</v>
      </c>
      <c r="C2241" s="553">
        <v>2</v>
      </c>
      <c r="D2241" s="553">
        <v>20</v>
      </c>
      <c r="E2241" s="553">
        <v>1</v>
      </c>
      <c r="F2241" s="553">
        <v>1</v>
      </c>
      <c r="G2241" s="553" t="s">
        <v>491</v>
      </c>
      <c r="H2241" s="553">
        <v>1347.63</v>
      </c>
      <c r="I2241" s="553">
        <v>89</v>
      </c>
      <c r="J2241" s="553">
        <v>42</v>
      </c>
      <c r="K2241" s="553">
        <v>43</v>
      </c>
      <c r="L2241" s="553">
        <v>3</v>
      </c>
      <c r="M2241" s="505" t="s">
        <v>312</v>
      </c>
      <c r="N2241" s="500">
        <v>43047562820000</v>
      </c>
      <c r="O2241" s="553" t="s">
        <v>1799</v>
      </c>
      <c r="P2241" s="650" t="s">
        <v>2917</v>
      </c>
      <c r="Q2241" s="564"/>
      <c r="R2241" s="564">
        <v>2</v>
      </c>
    </row>
    <row r="2242" spans="1:18" ht="15" customHeight="1" x14ac:dyDescent="0.25">
      <c r="A2242" s="553">
        <v>23</v>
      </c>
      <c r="B2242" s="553">
        <v>7</v>
      </c>
      <c r="C2242" s="553">
        <v>2</v>
      </c>
      <c r="D2242" s="553">
        <v>20</v>
      </c>
      <c r="E2242" s="553">
        <v>1</v>
      </c>
      <c r="F2242" s="553">
        <v>1</v>
      </c>
      <c r="G2242" s="553" t="s">
        <v>494</v>
      </c>
      <c r="H2242" s="553">
        <v>1347.63</v>
      </c>
      <c r="I2242" s="553">
        <v>89</v>
      </c>
      <c r="J2242" s="553">
        <v>42</v>
      </c>
      <c r="K2242" s="553">
        <v>43</v>
      </c>
      <c r="L2242" s="553">
        <v>3</v>
      </c>
      <c r="M2242" s="505" t="s">
        <v>312</v>
      </c>
      <c r="N2242" s="500">
        <v>43047562820000</v>
      </c>
      <c r="O2242" s="553" t="s">
        <v>1799</v>
      </c>
      <c r="P2242" s="650" t="s">
        <v>2918</v>
      </c>
      <c r="Q2242" s="564"/>
      <c r="R2242" s="564">
        <v>2</v>
      </c>
    </row>
    <row r="2243" spans="1:18" ht="15" customHeight="1" x14ac:dyDescent="0.25">
      <c r="A2243" s="553">
        <v>23</v>
      </c>
      <c r="B2243" s="553">
        <v>2</v>
      </c>
      <c r="C2243" s="553">
        <v>2</v>
      </c>
      <c r="D2243" s="553">
        <v>3</v>
      </c>
      <c r="E2243" s="553">
        <v>2</v>
      </c>
      <c r="F2243" s="553">
        <v>2</v>
      </c>
      <c r="G2243" s="553" t="s">
        <v>473</v>
      </c>
      <c r="H2243" s="553">
        <v>1321.105</v>
      </c>
      <c r="I2243" s="553">
        <v>1</v>
      </c>
      <c r="J2243" s="553">
        <v>44</v>
      </c>
      <c r="K2243" s="553">
        <v>30</v>
      </c>
      <c r="L2243" s="553">
        <v>2</v>
      </c>
      <c r="M2243" s="505" t="s">
        <v>137</v>
      </c>
      <c r="N2243" s="652">
        <v>43013538440000</v>
      </c>
      <c r="O2243" s="553" t="s">
        <v>1716</v>
      </c>
      <c r="P2243" s="650" t="s">
        <v>2919</v>
      </c>
      <c r="Q2243" s="564"/>
      <c r="R2243" s="564">
        <v>1</v>
      </c>
    </row>
    <row r="2244" spans="1:18" ht="15" customHeight="1" x14ac:dyDescent="0.25">
      <c r="A2244" s="553">
        <v>23</v>
      </c>
      <c r="B2244" s="553">
        <v>2</v>
      </c>
      <c r="C2244" s="553">
        <v>2</v>
      </c>
      <c r="D2244" s="553">
        <v>3</v>
      </c>
      <c r="E2244" s="553">
        <v>2</v>
      </c>
      <c r="F2244" s="553">
        <v>2</v>
      </c>
      <c r="G2244" s="502" t="s">
        <v>476</v>
      </c>
      <c r="H2244" s="553">
        <v>1321.105</v>
      </c>
      <c r="I2244" s="553">
        <v>1</v>
      </c>
      <c r="J2244" s="553">
        <v>44</v>
      </c>
      <c r="K2244" s="553">
        <v>30</v>
      </c>
      <c r="L2244" s="553">
        <v>2</v>
      </c>
      <c r="M2244" s="505" t="s">
        <v>137</v>
      </c>
      <c r="N2244" s="652">
        <v>43013538440000</v>
      </c>
      <c r="O2244" s="553" t="s">
        <v>1716</v>
      </c>
      <c r="P2244" s="650" t="s">
        <v>2920</v>
      </c>
      <c r="Q2244" s="564"/>
      <c r="R2244" s="564">
        <v>1</v>
      </c>
    </row>
    <row r="2245" spans="1:18" ht="15" customHeight="1" x14ac:dyDescent="0.25">
      <c r="A2245" s="553">
        <v>23</v>
      </c>
      <c r="B2245" s="553">
        <v>2</v>
      </c>
      <c r="C2245" s="553">
        <v>2</v>
      </c>
      <c r="D2245" s="553">
        <v>3</v>
      </c>
      <c r="E2245" s="553">
        <v>2</v>
      </c>
      <c r="F2245" s="553">
        <v>2</v>
      </c>
      <c r="G2245" s="553" t="s">
        <v>478</v>
      </c>
      <c r="H2245" s="553">
        <v>1306.3499999999999</v>
      </c>
      <c r="I2245" s="553">
        <v>0</v>
      </c>
      <c r="J2245" s="553">
        <v>2</v>
      </c>
      <c r="K2245" s="553">
        <v>28</v>
      </c>
      <c r="L2245" s="553">
        <v>2</v>
      </c>
      <c r="M2245" s="505" t="s">
        <v>137</v>
      </c>
      <c r="N2245" s="652">
        <v>43013538440000</v>
      </c>
      <c r="O2245" s="553" t="s">
        <v>1716</v>
      </c>
      <c r="P2245" s="650" t="s">
        <v>2921</v>
      </c>
      <c r="Q2245" s="564"/>
      <c r="R2245" s="564">
        <v>1</v>
      </c>
    </row>
    <row r="2246" spans="1:18" ht="15" customHeight="1" x14ac:dyDescent="0.25">
      <c r="A2246" s="553">
        <v>23</v>
      </c>
      <c r="B2246" s="553">
        <v>2</v>
      </c>
      <c r="C2246" s="553">
        <v>2</v>
      </c>
      <c r="D2246" s="553">
        <v>3</v>
      </c>
      <c r="E2246" s="553">
        <v>2</v>
      </c>
      <c r="F2246" s="553">
        <v>2</v>
      </c>
      <c r="G2246" s="553" t="s">
        <v>484</v>
      </c>
      <c r="H2246" s="553">
        <v>1306.3499999999999</v>
      </c>
      <c r="I2246" s="553">
        <v>0</v>
      </c>
      <c r="J2246" s="553">
        <v>2</v>
      </c>
      <c r="K2246" s="553">
        <v>28</v>
      </c>
      <c r="L2246" s="553">
        <v>2</v>
      </c>
      <c r="M2246" s="505" t="s">
        <v>137</v>
      </c>
      <c r="N2246" s="652">
        <v>43013538440000</v>
      </c>
      <c r="O2246" s="553" t="s">
        <v>1716</v>
      </c>
      <c r="P2246" s="650" t="s">
        <v>2922</v>
      </c>
      <c r="Q2246" s="564"/>
      <c r="R2246" s="564">
        <v>1</v>
      </c>
    </row>
    <row r="2247" spans="1:18" ht="15" customHeight="1" x14ac:dyDescent="0.25">
      <c r="A2247" s="553">
        <v>23</v>
      </c>
      <c r="B2247" s="553">
        <v>2</v>
      </c>
      <c r="C2247" s="553">
        <v>2</v>
      </c>
      <c r="D2247" s="553">
        <v>3</v>
      </c>
      <c r="E2247" s="553">
        <v>2</v>
      </c>
      <c r="F2247" s="553">
        <v>2</v>
      </c>
      <c r="G2247" s="553" t="s">
        <v>486</v>
      </c>
      <c r="H2247" s="553">
        <v>1332.125</v>
      </c>
      <c r="I2247" s="553">
        <v>0</v>
      </c>
      <c r="J2247" s="553">
        <v>51</v>
      </c>
      <c r="K2247" s="553">
        <v>52</v>
      </c>
      <c r="L2247" s="553">
        <v>2</v>
      </c>
      <c r="M2247" s="505" t="s">
        <v>137</v>
      </c>
      <c r="N2247" s="652">
        <v>43013538440000</v>
      </c>
      <c r="O2247" s="553" t="s">
        <v>1716</v>
      </c>
      <c r="P2247" s="650" t="s">
        <v>2923</v>
      </c>
      <c r="Q2247" s="564"/>
      <c r="R2247" s="564">
        <v>1</v>
      </c>
    </row>
    <row r="2248" spans="1:18" ht="15" customHeight="1" x14ac:dyDescent="0.25">
      <c r="A2248" s="553">
        <v>23</v>
      </c>
      <c r="B2248" s="553">
        <v>2</v>
      </c>
      <c r="C2248" s="553">
        <v>2</v>
      </c>
      <c r="D2248" s="553">
        <v>3</v>
      </c>
      <c r="E2248" s="553">
        <v>2</v>
      </c>
      <c r="F2248" s="553">
        <v>2</v>
      </c>
      <c r="G2248" s="502" t="s">
        <v>488</v>
      </c>
      <c r="H2248" s="553">
        <v>1332.125</v>
      </c>
      <c r="I2248" s="553">
        <v>0</v>
      </c>
      <c r="J2248" s="553">
        <v>51</v>
      </c>
      <c r="K2248" s="553">
        <v>52</v>
      </c>
      <c r="L2248" s="553">
        <v>2</v>
      </c>
      <c r="M2248" s="505" t="s">
        <v>137</v>
      </c>
      <c r="N2248" s="652">
        <v>43013538440000</v>
      </c>
      <c r="O2248" s="553" t="s">
        <v>1716</v>
      </c>
      <c r="P2248" s="650" t="s">
        <v>2924</v>
      </c>
      <c r="Q2248" s="564"/>
      <c r="R2248" s="564">
        <v>1</v>
      </c>
    </row>
    <row r="2249" spans="1:18" ht="15" customHeight="1" x14ac:dyDescent="0.25">
      <c r="A2249" s="553">
        <v>23</v>
      </c>
      <c r="B2249" s="553">
        <v>2</v>
      </c>
      <c r="C2249" s="553">
        <v>2</v>
      </c>
      <c r="D2249" s="553">
        <v>3</v>
      </c>
      <c r="E2249" s="553">
        <v>2</v>
      </c>
      <c r="F2249" s="553">
        <v>2</v>
      </c>
      <c r="G2249" s="553" t="s">
        <v>490</v>
      </c>
      <c r="H2249" s="553">
        <v>1332.2249999999999</v>
      </c>
      <c r="I2249" s="553">
        <v>0</v>
      </c>
      <c r="J2249" s="553">
        <v>51</v>
      </c>
      <c r="K2249" s="553">
        <v>55</v>
      </c>
      <c r="L2249" s="553">
        <v>2</v>
      </c>
      <c r="M2249" s="505" t="s">
        <v>137</v>
      </c>
      <c r="N2249" s="652">
        <v>43013538440000</v>
      </c>
      <c r="O2249" s="553" t="s">
        <v>1716</v>
      </c>
      <c r="P2249" s="650" t="s">
        <v>2925</v>
      </c>
      <c r="Q2249" s="564"/>
      <c r="R2249" s="564">
        <v>1</v>
      </c>
    </row>
    <row r="2250" spans="1:18" ht="15" customHeight="1" x14ac:dyDescent="0.25">
      <c r="A2250" s="553">
        <v>23</v>
      </c>
      <c r="B2250" s="553">
        <v>2</v>
      </c>
      <c r="C2250" s="553">
        <v>2</v>
      </c>
      <c r="D2250" s="553">
        <v>3</v>
      </c>
      <c r="E2250" s="553">
        <v>2</v>
      </c>
      <c r="F2250" s="553">
        <v>2</v>
      </c>
      <c r="G2250" s="553" t="s">
        <v>493</v>
      </c>
      <c r="H2250" s="553">
        <v>1332.2249999999999</v>
      </c>
      <c r="I2250" s="553">
        <v>0</v>
      </c>
      <c r="J2250" s="553">
        <v>51</v>
      </c>
      <c r="K2250" s="553">
        <v>55</v>
      </c>
      <c r="L2250" s="553">
        <v>2</v>
      </c>
      <c r="M2250" s="505" t="s">
        <v>137</v>
      </c>
      <c r="N2250" s="652">
        <v>43013538440000</v>
      </c>
      <c r="O2250" s="553" t="s">
        <v>1716</v>
      </c>
      <c r="P2250" s="650" t="s">
        <v>2926</v>
      </c>
      <c r="Q2250" s="564"/>
      <c r="R2250" s="564">
        <v>1</v>
      </c>
    </row>
    <row r="2251" spans="1:18" ht="15" customHeight="1" x14ac:dyDescent="0.25">
      <c r="A2251" s="553">
        <v>23</v>
      </c>
      <c r="B2251" s="553">
        <v>2</v>
      </c>
      <c r="C2251" s="553">
        <v>2</v>
      </c>
      <c r="D2251" s="553">
        <v>3</v>
      </c>
      <c r="E2251" s="553">
        <v>2</v>
      </c>
      <c r="F2251" s="553">
        <v>2</v>
      </c>
      <c r="G2251" s="553" t="s">
        <v>474</v>
      </c>
      <c r="H2251" s="553">
        <v>1320.395</v>
      </c>
      <c r="I2251" s="553">
        <v>89</v>
      </c>
      <c r="J2251" s="553">
        <v>56</v>
      </c>
      <c r="K2251" s="553">
        <v>28</v>
      </c>
      <c r="L2251" s="553">
        <v>4</v>
      </c>
      <c r="M2251" s="505" t="s">
        <v>137</v>
      </c>
      <c r="N2251" s="652">
        <v>43013538440000</v>
      </c>
      <c r="O2251" s="553" t="s">
        <v>1716</v>
      </c>
      <c r="P2251" s="650" t="s">
        <v>2927</v>
      </c>
      <c r="Q2251" s="564"/>
      <c r="R2251" s="564">
        <v>1</v>
      </c>
    </row>
    <row r="2252" spans="1:18" ht="15" customHeight="1" x14ac:dyDescent="0.25">
      <c r="A2252" s="553">
        <v>23</v>
      </c>
      <c r="B2252" s="553">
        <v>2</v>
      </c>
      <c r="C2252" s="553">
        <v>2</v>
      </c>
      <c r="D2252" s="553">
        <v>3</v>
      </c>
      <c r="E2252" s="553">
        <v>2</v>
      </c>
      <c r="F2252" s="553">
        <v>2</v>
      </c>
      <c r="G2252" s="502" t="s">
        <v>477</v>
      </c>
      <c r="H2252" s="553">
        <v>1320.395</v>
      </c>
      <c r="I2252" s="553">
        <v>89</v>
      </c>
      <c r="J2252" s="553">
        <v>56</v>
      </c>
      <c r="K2252" s="553">
        <v>28</v>
      </c>
      <c r="L2252" s="553">
        <v>4</v>
      </c>
      <c r="M2252" s="505" t="s">
        <v>137</v>
      </c>
      <c r="N2252" s="652">
        <v>43013538440000</v>
      </c>
      <c r="O2252" s="553" t="s">
        <v>1716</v>
      </c>
      <c r="P2252" s="650" t="s">
        <v>2928</v>
      </c>
      <c r="Q2252" s="564"/>
      <c r="R2252" s="564">
        <v>1</v>
      </c>
    </row>
    <row r="2253" spans="1:18" ht="15" customHeight="1" x14ac:dyDescent="0.25">
      <c r="A2253" s="553">
        <v>23</v>
      </c>
      <c r="B2253" s="553">
        <v>2</v>
      </c>
      <c r="C2253" s="553">
        <v>2</v>
      </c>
      <c r="D2253" s="553">
        <v>3</v>
      </c>
      <c r="E2253" s="553">
        <v>2</v>
      </c>
      <c r="F2253" s="553">
        <v>2</v>
      </c>
      <c r="G2253" s="553" t="s">
        <v>479</v>
      </c>
      <c r="H2253" s="553">
        <v>1322.8150000000001</v>
      </c>
      <c r="I2253" s="553">
        <v>89</v>
      </c>
      <c r="J2253" s="553">
        <v>18</v>
      </c>
      <c r="K2253" s="553">
        <v>29</v>
      </c>
      <c r="L2253" s="553">
        <v>3</v>
      </c>
      <c r="M2253" s="505" t="s">
        <v>137</v>
      </c>
      <c r="N2253" s="652">
        <v>43013538440000</v>
      </c>
      <c r="O2253" s="553" t="s">
        <v>1716</v>
      </c>
      <c r="P2253" s="650" t="s">
        <v>2929</v>
      </c>
      <c r="Q2253" s="564"/>
      <c r="R2253" s="564">
        <v>1</v>
      </c>
    </row>
    <row r="2254" spans="1:18" ht="15" customHeight="1" x14ac:dyDescent="0.25">
      <c r="A2254" s="553">
        <v>23</v>
      </c>
      <c r="B2254" s="553">
        <v>2</v>
      </c>
      <c r="C2254" s="553">
        <v>2</v>
      </c>
      <c r="D2254" s="553">
        <v>3</v>
      </c>
      <c r="E2254" s="553">
        <v>2</v>
      </c>
      <c r="F2254" s="553">
        <v>2</v>
      </c>
      <c r="G2254" s="553" t="s">
        <v>485</v>
      </c>
      <c r="H2254" s="553">
        <v>1322.8150000000001</v>
      </c>
      <c r="I2254" s="553">
        <v>89</v>
      </c>
      <c r="J2254" s="553">
        <v>18</v>
      </c>
      <c r="K2254" s="553">
        <v>29</v>
      </c>
      <c r="L2254" s="553">
        <v>3</v>
      </c>
      <c r="M2254" s="505" t="s">
        <v>137</v>
      </c>
      <c r="N2254" s="652">
        <v>43013538440000</v>
      </c>
      <c r="O2254" s="553" t="s">
        <v>1716</v>
      </c>
      <c r="P2254" s="650" t="s">
        <v>2930</v>
      </c>
      <c r="Q2254" s="564"/>
      <c r="R2254" s="564">
        <v>1</v>
      </c>
    </row>
    <row r="2255" spans="1:18" ht="15" customHeight="1" x14ac:dyDescent="0.25">
      <c r="A2255" s="553">
        <v>23</v>
      </c>
      <c r="B2255" s="553">
        <v>2</v>
      </c>
      <c r="C2255" s="553">
        <v>2</v>
      </c>
      <c r="D2255" s="553">
        <v>3</v>
      </c>
      <c r="E2255" s="553">
        <v>2</v>
      </c>
      <c r="F2255" s="553">
        <v>2</v>
      </c>
      <c r="G2255" s="553" t="s">
        <v>487</v>
      </c>
      <c r="H2255" s="553">
        <v>1321.9749999999999</v>
      </c>
      <c r="I2255" s="553">
        <v>89</v>
      </c>
      <c r="J2255" s="553">
        <v>30</v>
      </c>
      <c r="K2255" s="553">
        <v>42</v>
      </c>
      <c r="L2255" s="553">
        <v>4</v>
      </c>
      <c r="M2255" s="505" t="s">
        <v>137</v>
      </c>
      <c r="N2255" s="652">
        <v>43013538440000</v>
      </c>
      <c r="O2255" s="553" t="s">
        <v>1716</v>
      </c>
      <c r="P2255" s="650" t="s">
        <v>2931</v>
      </c>
      <c r="Q2255" s="564"/>
      <c r="R2255" s="564">
        <v>1</v>
      </c>
    </row>
    <row r="2256" spans="1:18" ht="15" customHeight="1" x14ac:dyDescent="0.25">
      <c r="A2256" s="553">
        <v>23</v>
      </c>
      <c r="B2256" s="553">
        <v>2</v>
      </c>
      <c r="C2256" s="553">
        <v>2</v>
      </c>
      <c r="D2256" s="553">
        <v>3</v>
      </c>
      <c r="E2256" s="553">
        <v>2</v>
      </c>
      <c r="F2256" s="553">
        <v>2</v>
      </c>
      <c r="G2256" s="502" t="s">
        <v>489</v>
      </c>
      <c r="H2256" s="553">
        <v>1321.9749999999999</v>
      </c>
      <c r="I2256" s="553">
        <v>89</v>
      </c>
      <c r="J2256" s="553">
        <v>30</v>
      </c>
      <c r="K2256" s="553">
        <v>42</v>
      </c>
      <c r="L2256" s="553">
        <v>4</v>
      </c>
      <c r="M2256" s="505" t="s">
        <v>137</v>
      </c>
      <c r="N2256" s="652">
        <v>43013538440000</v>
      </c>
      <c r="O2256" s="553" t="s">
        <v>1716</v>
      </c>
      <c r="P2256" s="650" t="s">
        <v>2932</v>
      </c>
      <c r="Q2256" s="564"/>
      <c r="R2256" s="564">
        <v>1</v>
      </c>
    </row>
    <row r="2257" spans="1:18" ht="15" customHeight="1" x14ac:dyDescent="0.25">
      <c r="A2257" s="553">
        <v>23</v>
      </c>
      <c r="B2257" s="553">
        <v>2</v>
      </c>
      <c r="C2257" s="553">
        <v>2</v>
      </c>
      <c r="D2257" s="553">
        <v>3</v>
      </c>
      <c r="E2257" s="553">
        <v>2</v>
      </c>
      <c r="F2257" s="553">
        <v>2</v>
      </c>
      <c r="G2257" s="553" t="s">
        <v>491</v>
      </c>
      <c r="H2257" s="553">
        <v>1322.115</v>
      </c>
      <c r="I2257" s="553">
        <v>89</v>
      </c>
      <c r="J2257" s="553">
        <v>30</v>
      </c>
      <c r="K2257" s="553">
        <v>34</v>
      </c>
      <c r="L2257" s="553">
        <v>4</v>
      </c>
      <c r="M2257" s="505" t="s">
        <v>137</v>
      </c>
      <c r="N2257" s="652">
        <v>43013538440000</v>
      </c>
      <c r="O2257" s="553" t="s">
        <v>1716</v>
      </c>
      <c r="P2257" s="650" t="s">
        <v>2933</v>
      </c>
      <c r="Q2257" s="564"/>
      <c r="R2257" s="564">
        <v>1</v>
      </c>
    </row>
    <row r="2258" spans="1:18" ht="15" customHeight="1" x14ac:dyDescent="0.25">
      <c r="A2258" s="553">
        <v>23</v>
      </c>
      <c r="B2258" s="553">
        <v>2</v>
      </c>
      <c r="C2258" s="553">
        <v>2</v>
      </c>
      <c r="D2258" s="553">
        <v>3</v>
      </c>
      <c r="E2258" s="553">
        <v>2</v>
      </c>
      <c r="F2258" s="553">
        <v>2</v>
      </c>
      <c r="G2258" s="553" t="s">
        <v>494</v>
      </c>
      <c r="H2258" s="553">
        <v>1322.115</v>
      </c>
      <c r="I2258" s="553">
        <v>89</v>
      </c>
      <c r="J2258" s="553">
        <v>30</v>
      </c>
      <c r="K2258" s="553">
        <v>34</v>
      </c>
      <c r="L2258" s="553">
        <v>4</v>
      </c>
      <c r="M2258" s="505" t="s">
        <v>137</v>
      </c>
      <c r="N2258" s="652">
        <v>43013538440000</v>
      </c>
      <c r="O2258" s="553" t="s">
        <v>1716</v>
      </c>
      <c r="P2258" s="650" t="s">
        <v>2934</v>
      </c>
      <c r="Q2258" s="564"/>
      <c r="R2258" s="564">
        <v>1</v>
      </c>
    </row>
    <row r="2259" spans="1:18" ht="15" customHeight="1" x14ac:dyDescent="0.25">
      <c r="A2259" s="553">
        <v>23</v>
      </c>
      <c r="B2259" s="553">
        <v>3</v>
      </c>
      <c r="C2259" s="553">
        <v>2</v>
      </c>
      <c r="D2259" s="553">
        <v>2</v>
      </c>
      <c r="E2259" s="553">
        <v>2</v>
      </c>
      <c r="F2259" s="553">
        <v>2</v>
      </c>
      <c r="G2259" s="553" t="s">
        <v>473</v>
      </c>
      <c r="H2259" s="553">
        <v>1325.32</v>
      </c>
      <c r="I2259" s="553">
        <v>0</v>
      </c>
      <c r="J2259" s="553">
        <v>16</v>
      </c>
      <c r="K2259" s="553">
        <v>15</v>
      </c>
      <c r="L2259" s="553">
        <v>4</v>
      </c>
      <c r="M2259" s="505" t="s">
        <v>137</v>
      </c>
      <c r="N2259" s="500">
        <v>43013537280000</v>
      </c>
      <c r="O2259" s="553" t="s">
        <v>2935</v>
      </c>
      <c r="P2259" s="650" t="s">
        <v>2936</v>
      </c>
      <c r="Q2259" s="564"/>
      <c r="R2259" s="564">
        <v>2</v>
      </c>
    </row>
    <row r="2260" spans="1:18" ht="15" customHeight="1" x14ac:dyDescent="0.25">
      <c r="A2260" s="553">
        <v>23</v>
      </c>
      <c r="B2260" s="553">
        <v>3</v>
      </c>
      <c r="C2260" s="553">
        <v>2</v>
      </c>
      <c r="D2260" s="553">
        <v>2</v>
      </c>
      <c r="E2260" s="553">
        <v>2</v>
      </c>
      <c r="F2260" s="553">
        <v>2</v>
      </c>
      <c r="G2260" s="502" t="s">
        <v>476</v>
      </c>
      <c r="H2260" s="553">
        <v>1326.27</v>
      </c>
      <c r="I2260" s="553">
        <v>0</v>
      </c>
      <c r="J2260" s="553">
        <v>0</v>
      </c>
      <c r="K2260" s="553">
        <v>8</v>
      </c>
      <c r="L2260" s="553">
        <v>4</v>
      </c>
      <c r="M2260" s="505" t="s">
        <v>137</v>
      </c>
      <c r="N2260" s="500">
        <v>43013537280000</v>
      </c>
      <c r="O2260" s="553" t="s">
        <v>2935</v>
      </c>
      <c r="P2260" s="650" t="s">
        <v>2937</v>
      </c>
      <c r="Q2260" s="564"/>
      <c r="R2260" s="564">
        <v>2</v>
      </c>
    </row>
    <row r="2261" spans="1:18" ht="15" customHeight="1" x14ac:dyDescent="0.25">
      <c r="A2261" s="553">
        <v>23</v>
      </c>
      <c r="B2261" s="553">
        <v>3</v>
      </c>
      <c r="C2261" s="553">
        <v>2</v>
      </c>
      <c r="D2261" s="553">
        <v>2</v>
      </c>
      <c r="E2261" s="553">
        <v>2</v>
      </c>
      <c r="F2261" s="553">
        <v>2</v>
      </c>
      <c r="G2261" s="553" t="s">
        <v>478</v>
      </c>
      <c r="H2261" s="553">
        <v>1326.27</v>
      </c>
      <c r="I2261" s="553">
        <v>0</v>
      </c>
      <c r="J2261" s="553">
        <v>14</v>
      </c>
      <c r="K2261" s="553">
        <v>8</v>
      </c>
      <c r="L2261" s="553">
        <v>4</v>
      </c>
      <c r="M2261" s="505" t="s">
        <v>137</v>
      </c>
      <c r="N2261" s="500">
        <v>43013537280000</v>
      </c>
      <c r="O2261" s="553" t="s">
        <v>2935</v>
      </c>
      <c r="P2261" s="650" t="s">
        <v>2938</v>
      </c>
      <c r="Q2261" s="564"/>
      <c r="R2261" s="564">
        <v>2</v>
      </c>
    </row>
    <row r="2262" spans="1:18" ht="15" customHeight="1" x14ac:dyDescent="0.25">
      <c r="A2262" s="553">
        <v>23</v>
      </c>
      <c r="B2262" s="553">
        <v>3</v>
      </c>
      <c r="C2262" s="553">
        <v>2</v>
      </c>
      <c r="D2262" s="553">
        <v>2</v>
      </c>
      <c r="E2262" s="553">
        <v>2</v>
      </c>
      <c r="F2262" s="553">
        <v>2</v>
      </c>
      <c r="G2262" s="553" t="s">
        <v>484</v>
      </c>
      <c r="H2262" s="553">
        <v>1326.27</v>
      </c>
      <c r="I2262" s="553">
        <v>0</v>
      </c>
      <c r="J2262" s="553">
        <v>0</v>
      </c>
      <c r="K2262" s="553">
        <v>8</v>
      </c>
      <c r="L2262" s="553">
        <v>4</v>
      </c>
      <c r="M2262" s="505" t="s">
        <v>137</v>
      </c>
      <c r="N2262" s="500">
        <v>43013537280000</v>
      </c>
      <c r="O2262" s="553" t="s">
        <v>2935</v>
      </c>
      <c r="P2262" s="650" t="s">
        <v>2939</v>
      </c>
      <c r="Q2262" s="564"/>
      <c r="R2262" s="564">
        <v>2</v>
      </c>
    </row>
    <row r="2263" spans="1:18" ht="15" customHeight="1" x14ac:dyDescent="0.25">
      <c r="A2263" s="553">
        <v>23</v>
      </c>
      <c r="B2263" s="553">
        <v>3</v>
      </c>
      <c r="C2263" s="553">
        <v>2</v>
      </c>
      <c r="D2263" s="553">
        <v>2</v>
      </c>
      <c r="E2263" s="553">
        <v>2</v>
      </c>
      <c r="F2263" s="553">
        <v>2</v>
      </c>
      <c r="G2263" s="553" t="s">
        <v>486</v>
      </c>
      <c r="H2263" s="553">
        <v>1321.75</v>
      </c>
      <c r="I2263" s="553">
        <v>0</v>
      </c>
      <c r="J2263" s="553">
        <v>10</v>
      </c>
      <c r="K2263" s="553">
        <v>46</v>
      </c>
      <c r="L2263" s="553">
        <v>2</v>
      </c>
      <c r="M2263" s="505" t="s">
        <v>137</v>
      </c>
      <c r="N2263" s="500">
        <v>43013537280000</v>
      </c>
      <c r="O2263" s="553" t="s">
        <v>2935</v>
      </c>
      <c r="P2263" s="650" t="s">
        <v>2940</v>
      </c>
      <c r="Q2263" s="564"/>
      <c r="R2263" s="564">
        <v>2</v>
      </c>
    </row>
    <row r="2264" spans="1:18" ht="15" customHeight="1" x14ac:dyDescent="0.25">
      <c r="A2264" s="553">
        <v>23</v>
      </c>
      <c r="B2264" s="553">
        <v>3</v>
      </c>
      <c r="C2264" s="553">
        <v>2</v>
      </c>
      <c r="D2264" s="553">
        <v>2</v>
      </c>
      <c r="E2264" s="553">
        <v>2</v>
      </c>
      <c r="F2264" s="553">
        <v>2</v>
      </c>
      <c r="G2264" s="502" t="s">
        <v>488</v>
      </c>
      <c r="H2264" s="553">
        <v>1323.5450000000001</v>
      </c>
      <c r="I2264" s="553">
        <v>0</v>
      </c>
      <c r="J2264" s="553">
        <v>15</v>
      </c>
      <c r="K2264" s="553">
        <v>37</v>
      </c>
      <c r="L2264" s="553">
        <v>2</v>
      </c>
      <c r="M2264" s="505" t="s">
        <v>137</v>
      </c>
      <c r="N2264" s="500">
        <v>43013537280000</v>
      </c>
      <c r="O2264" s="553" t="s">
        <v>2935</v>
      </c>
      <c r="P2264" s="650" t="s">
        <v>2941</v>
      </c>
      <c r="Q2264" s="564"/>
      <c r="R2264" s="564">
        <v>2</v>
      </c>
    </row>
    <row r="2265" spans="1:18" ht="15" customHeight="1" x14ac:dyDescent="0.25">
      <c r="A2265" s="553">
        <v>23</v>
      </c>
      <c r="B2265" s="553">
        <v>3</v>
      </c>
      <c r="C2265" s="553">
        <v>2</v>
      </c>
      <c r="D2265" s="553">
        <v>2</v>
      </c>
      <c r="E2265" s="553">
        <v>2</v>
      </c>
      <c r="F2265" s="553">
        <v>2</v>
      </c>
      <c r="G2265" s="553" t="s">
        <v>490</v>
      </c>
      <c r="H2265" s="553">
        <v>1323.5450000000001</v>
      </c>
      <c r="I2265" s="553">
        <v>0</v>
      </c>
      <c r="J2265" s="553">
        <v>15</v>
      </c>
      <c r="K2265" s="553">
        <v>37</v>
      </c>
      <c r="L2265" s="553">
        <v>2</v>
      </c>
      <c r="M2265" s="505" t="s">
        <v>137</v>
      </c>
      <c r="N2265" s="500">
        <v>43013537280000</v>
      </c>
      <c r="O2265" s="553" t="s">
        <v>2935</v>
      </c>
      <c r="P2265" s="650" t="s">
        <v>2942</v>
      </c>
      <c r="Q2265" s="564"/>
      <c r="R2265" s="564">
        <v>2</v>
      </c>
    </row>
    <row r="2266" spans="1:18" ht="15" customHeight="1" x14ac:dyDescent="0.25">
      <c r="A2266" s="553">
        <v>23</v>
      </c>
      <c r="B2266" s="553">
        <v>3</v>
      </c>
      <c r="C2266" s="553">
        <v>2</v>
      </c>
      <c r="D2266" s="553">
        <v>2</v>
      </c>
      <c r="E2266" s="553">
        <v>2</v>
      </c>
      <c r="F2266" s="553">
        <v>2</v>
      </c>
      <c r="G2266" s="553" t="s">
        <v>493</v>
      </c>
      <c r="H2266" s="553">
        <v>1322.8</v>
      </c>
      <c r="I2266" s="553">
        <v>0</v>
      </c>
      <c r="J2266" s="553">
        <v>1</v>
      </c>
      <c r="K2266" s="553">
        <v>17</v>
      </c>
      <c r="L2266" s="553">
        <v>2</v>
      </c>
      <c r="M2266" s="505" t="s">
        <v>137</v>
      </c>
      <c r="N2266" s="500">
        <v>43013537280000</v>
      </c>
      <c r="O2266" s="553" t="s">
        <v>2935</v>
      </c>
      <c r="P2266" s="650" t="s">
        <v>2943</v>
      </c>
      <c r="Q2266" s="564"/>
      <c r="R2266" s="564">
        <v>2</v>
      </c>
    </row>
    <row r="2267" spans="1:18" ht="15" customHeight="1" x14ac:dyDescent="0.25">
      <c r="A2267" s="553">
        <v>23</v>
      </c>
      <c r="B2267" s="553">
        <v>3</v>
      </c>
      <c r="C2267" s="553">
        <v>2</v>
      </c>
      <c r="D2267" s="553">
        <v>2</v>
      </c>
      <c r="E2267" s="553">
        <v>2</v>
      </c>
      <c r="F2267" s="553">
        <v>2</v>
      </c>
      <c r="G2267" s="553" t="s">
        <v>474</v>
      </c>
      <c r="H2267" s="553">
        <v>1309.615</v>
      </c>
      <c r="I2267" s="553">
        <v>89</v>
      </c>
      <c r="J2267" s="553">
        <v>57</v>
      </c>
      <c r="K2267" s="553">
        <v>44</v>
      </c>
      <c r="L2267" s="553">
        <v>4</v>
      </c>
      <c r="M2267" s="505" t="s">
        <v>137</v>
      </c>
      <c r="N2267" s="500">
        <v>43013537280000</v>
      </c>
      <c r="O2267" s="553" t="s">
        <v>2935</v>
      </c>
      <c r="P2267" s="650" t="s">
        <v>2944</v>
      </c>
      <c r="Q2267" s="564"/>
      <c r="R2267" s="564">
        <v>2</v>
      </c>
    </row>
    <row r="2268" spans="1:18" ht="15" customHeight="1" x14ac:dyDescent="0.25">
      <c r="A2268" s="553">
        <v>23</v>
      </c>
      <c r="B2268" s="553">
        <v>3</v>
      </c>
      <c r="C2268" s="553">
        <v>2</v>
      </c>
      <c r="D2268" s="553">
        <v>2</v>
      </c>
      <c r="E2268" s="553">
        <v>2</v>
      </c>
      <c r="F2268" s="553">
        <v>2</v>
      </c>
      <c r="G2268" s="502" t="s">
        <v>477</v>
      </c>
      <c r="H2268" s="553">
        <v>1309.615</v>
      </c>
      <c r="I2268" s="553">
        <v>89</v>
      </c>
      <c r="J2268" s="553">
        <v>57</v>
      </c>
      <c r="K2268" s="553">
        <v>44</v>
      </c>
      <c r="L2268" s="553">
        <v>4</v>
      </c>
      <c r="M2268" s="505" t="s">
        <v>137</v>
      </c>
      <c r="N2268" s="500">
        <v>43013537280000</v>
      </c>
      <c r="O2268" s="553" t="s">
        <v>2935</v>
      </c>
      <c r="P2268" s="650" t="s">
        <v>2945</v>
      </c>
      <c r="Q2268" s="564"/>
      <c r="R2268" s="564">
        <v>2</v>
      </c>
    </row>
    <row r="2269" spans="1:18" ht="15" customHeight="1" x14ac:dyDescent="0.25">
      <c r="A2269" s="553">
        <v>23</v>
      </c>
      <c r="B2269" s="553">
        <v>3</v>
      </c>
      <c r="C2269" s="553">
        <v>2</v>
      </c>
      <c r="D2269" s="553">
        <v>2</v>
      </c>
      <c r="E2269" s="553">
        <v>2</v>
      </c>
      <c r="F2269" s="553">
        <v>2</v>
      </c>
      <c r="G2269" s="553" t="s">
        <v>479</v>
      </c>
      <c r="H2269" s="553">
        <v>1309.6099999999999</v>
      </c>
      <c r="I2269" s="553">
        <v>89</v>
      </c>
      <c r="J2269" s="553">
        <v>58</v>
      </c>
      <c r="K2269" s="553">
        <v>3</v>
      </c>
      <c r="L2269" s="553">
        <v>4</v>
      </c>
      <c r="M2269" s="505" t="s">
        <v>137</v>
      </c>
      <c r="N2269" s="500">
        <v>43013537280000</v>
      </c>
      <c r="O2269" s="553" t="s">
        <v>2935</v>
      </c>
      <c r="P2269" s="650" t="s">
        <v>2946</v>
      </c>
      <c r="Q2269" s="564"/>
      <c r="R2269" s="564">
        <v>2</v>
      </c>
    </row>
    <row r="2270" spans="1:18" ht="15" customHeight="1" x14ac:dyDescent="0.25">
      <c r="A2270" s="553">
        <v>23</v>
      </c>
      <c r="B2270" s="553">
        <v>3</v>
      </c>
      <c r="C2270" s="553">
        <v>2</v>
      </c>
      <c r="D2270" s="553">
        <v>2</v>
      </c>
      <c r="E2270" s="553">
        <v>2</v>
      </c>
      <c r="F2270" s="553">
        <v>2</v>
      </c>
      <c r="G2270" s="553" t="s">
        <v>485</v>
      </c>
      <c r="H2270" s="553">
        <v>1309.8900000000001</v>
      </c>
      <c r="I2270" s="553">
        <v>89</v>
      </c>
      <c r="J2270" s="553">
        <v>57</v>
      </c>
      <c r="K2270" s="553">
        <v>38</v>
      </c>
      <c r="L2270" s="553">
        <v>4</v>
      </c>
      <c r="M2270" s="505" t="s">
        <v>137</v>
      </c>
      <c r="N2270" s="500">
        <v>43013537280000</v>
      </c>
      <c r="O2270" s="553" t="s">
        <v>2935</v>
      </c>
      <c r="P2270" s="650" t="s">
        <v>2947</v>
      </c>
      <c r="Q2270" s="564"/>
      <c r="R2270" s="564">
        <v>2</v>
      </c>
    </row>
    <row r="2271" spans="1:18" ht="15" customHeight="1" x14ac:dyDescent="0.25">
      <c r="A2271" s="553">
        <v>23</v>
      </c>
      <c r="B2271" s="553">
        <v>3</v>
      </c>
      <c r="C2271" s="553">
        <v>2</v>
      </c>
      <c r="D2271" s="553">
        <v>2</v>
      </c>
      <c r="E2271" s="553">
        <v>2</v>
      </c>
      <c r="F2271" s="553">
        <v>2</v>
      </c>
      <c r="G2271" s="553" t="s">
        <v>487</v>
      </c>
      <c r="H2271" s="553">
        <v>1307.05</v>
      </c>
      <c r="I2271" s="553">
        <v>89</v>
      </c>
      <c r="J2271" s="553">
        <v>45</v>
      </c>
      <c r="K2271" s="553">
        <v>21</v>
      </c>
      <c r="L2271" s="553">
        <v>4</v>
      </c>
      <c r="M2271" s="505" t="s">
        <v>137</v>
      </c>
      <c r="N2271" s="500">
        <v>43013537280000</v>
      </c>
      <c r="O2271" s="553" t="s">
        <v>2935</v>
      </c>
      <c r="P2271" s="650" t="s">
        <v>2948</v>
      </c>
      <c r="Q2271" s="564"/>
      <c r="R2271" s="564">
        <v>2</v>
      </c>
    </row>
    <row r="2272" spans="1:18" ht="15" customHeight="1" x14ac:dyDescent="0.25">
      <c r="A2272" s="553">
        <v>23</v>
      </c>
      <c r="B2272" s="553">
        <v>3</v>
      </c>
      <c r="C2272" s="553">
        <v>2</v>
      </c>
      <c r="D2272" s="553">
        <v>2</v>
      </c>
      <c r="E2272" s="553">
        <v>2</v>
      </c>
      <c r="F2272" s="553">
        <v>2</v>
      </c>
      <c r="G2272" s="502" t="s">
        <v>489</v>
      </c>
      <c r="H2272" s="553">
        <v>1307.05</v>
      </c>
      <c r="I2272" s="553">
        <v>89</v>
      </c>
      <c r="J2272" s="553">
        <v>45</v>
      </c>
      <c r="K2272" s="553">
        <v>21</v>
      </c>
      <c r="L2272" s="553">
        <v>4</v>
      </c>
      <c r="M2272" s="505" t="s">
        <v>137</v>
      </c>
      <c r="N2272" s="500">
        <v>43013537280000</v>
      </c>
      <c r="O2272" s="553" t="s">
        <v>2935</v>
      </c>
      <c r="P2272" s="650" t="s">
        <v>2949</v>
      </c>
      <c r="Q2272" s="564"/>
      <c r="R2272" s="564">
        <v>2</v>
      </c>
    </row>
    <row r="2273" spans="1:18" ht="15" customHeight="1" x14ac:dyDescent="0.25">
      <c r="A2273" s="553">
        <v>23</v>
      </c>
      <c r="B2273" s="553">
        <v>3</v>
      </c>
      <c r="C2273" s="553">
        <v>2</v>
      </c>
      <c r="D2273" s="553">
        <v>2</v>
      </c>
      <c r="E2273" s="553">
        <v>2</v>
      </c>
      <c r="F2273" s="553">
        <v>2</v>
      </c>
      <c r="G2273" s="553" t="s">
        <v>491</v>
      </c>
      <c r="H2273" s="553">
        <v>1300</v>
      </c>
      <c r="I2273" s="553">
        <v>89</v>
      </c>
      <c r="J2273" s="553">
        <v>45</v>
      </c>
      <c r="K2273" s="553">
        <v>11</v>
      </c>
      <c r="L2273" s="553">
        <v>4</v>
      </c>
      <c r="M2273" s="505" t="s">
        <v>137</v>
      </c>
      <c r="N2273" s="500">
        <v>43013537280000</v>
      </c>
      <c r="O2273" s="553" t="s">
        <v>2935</v>
      </c>
      <c r="P2273" s="650" t="s">
        <v>2950</v>
      </c>
      <c r="Q2273" s="564"/>
      <c r="R2273" s="564">
        <v>2</v>
      </c>
    </row>
    <row r="2274" spans="1:18" ht="15" customHeight="1" x14ac:dyDescent="0.25">
      <c r="A2274" s="553">
        <v>23</v>
      </c>
      <c r="B2274" s="553">
        <v>3</v>
      </c>
      <c r="C2274" s="553">
        <v>2</v>
      </c>
      <c r="D2274" s="553">
        <v>2</v>
      </c>
      <c r="E2274" s="553">
        <v>2</v>
      </c>
      <c r="F2274" s="553">
        <v>2</v>
      </c>
      <c r="G2274" s="553" t="s">
        <v>494</v>
      </c>
      <c r="H2274" s="553">
        <v>1285.6500000000001</v>
      </c>
      <c r="I2274" s="553">
        <v>88</v>
      </c>
      <c r="J2274" s="553">
        <v>51</v>
      </c>
      <c r="K2274" s="553">
        <v>4</v>
      </c>
      <c r="L2274" s="553">
        <v>3</v>
      </c>
      <c r="M2274" s="505" t="s">
        <v>137</v>
      </c>
      <c r="N2274" s="500">
        <v>43013537280000</v>
      </c>
      <c r="O2274" s="553" t="s">
        <v>2935</v>
      </c>
      <c r="P2274" s="650" t="s">
        <v>2951</v>
      </c>
      <c r="Q2274" s="564"/>
      <c r="R2274" s="564">
        <v>2</v>
      </c>
    </row>
    <row r="2275" spans="1:18" ht="15" customHeight="1" x14ac:dyDescent="0.25">
      <c r="A2275" s="553">
        <v>23</v>
      </c>
      <c r="B2275" s="553">
        <v>3</v>
      </c>
      <c r="C2275" s="553">
        <v>2</v>
      </c>
      <c r="D2275" s="553">
        <v>4</v>
      </c>
      <c r="E2275" s="553">
        <v>2</v>
      </c>
      <c r="F2275" s="553">
        <v>2</v>
      </c>
      <c r="G2275" s="553" t="s">
        <v>473</v>
      </c>
      <c r="H2275" s="553">
        <v>1310.655</v>
      </c>
      <c r="I2275" s="553">
        <v>0</v>
      </c>
      <c r="J2275" s="553">
        <v>5</v>
      </c>
      <c r="K2275" s="553">
        <v>16</v>
      </c>
      <c r="L2275" s="553">
        <v>1</v>
      </c>
      <c r="M2275" s="505" t="s">
        <v>137</v>
      </c>
      <c r="N2275" s="500">
        <v>43013539080000</v>
      </c>
      <c r="O2275" s="553" t="s">
        <v>2739</v>
      </c>
      <c r="P2275" s="650" t="s">
        <v>2952</v>
      </c>
      <c r="Q2275" s="564"/>
      <c r="R2275" s="564">
        <v>1</v>
      </c>
    </row>
    <row r="2276" spans="1:18" ht="15" customHeight="1" x14ac:dyDescent="0.25">
      <c r="A2276" s="553">
        <v>23</v>
      </c>
      <c r="B2276" s="553">
        <v>3</v>
      </c>
      <c r="C2276" s="553">
        <v>2</v>
      </c>
      <c r="D2276" s="553">
        <v>4</v>
      </c>
      <c r="E2276" s="553">
        <v>2</v>
      </c>
      <c r="F2276" s="553">
        <v>2</v>
      </c>
      <c r="G2276" s="502" t="s">
        <v>476</v>
      </c>
      <c r="H2276" s="553">
        <v>1310.655</v>
      </c>
      <c r="I2276" s="553">
        <v>0</v>
      </c>
      <c r="J2276" s="553">
        <v>5</v>
      </c>
      <c r="K2276" s="553">
        <v>16</v>
      </c>
      <c r="L2276" s="553">
        <v>1</v>
      </c>
      <c r="M2276" s="505" t="s">
        <v>137</v>
      </c>
      <c r="N2276" s="500">
        <v>43013539080000</v>
      </c>
      <c r="O2276" s="553" t="s">
        <v>2739</v>
      </c>
      <c r="P2276" s="650" t="s">
        <v>2953</v>
      </c>
      <c r="Q2276" s="564"/>
      <c r="R2276" s="564">
        <v>1</v>
      </c>
    </row>
    <row r="2277" spans="1:18" ht="15" customHeight="1" x14ac:dyDescent="0.25">
      <c r="A2277" s="553">
        <v>23</v>
      </c>
      <c r="B2277" s="553">
        <v>3</v>
      </c>
      <c r="C2277" s="553">
        <v>2</v>
      </c>
      <c r="D2277" s="553">
        <v>4</v>
      </c>
      <c r="E2277" s="553">
        <v>2</v>
      </c>
      <c r="F2277" s="553">
        <v>2</v>
      </c>
      <c r="G2277" s="553" t="s">
        <v>478</v>
      </c>
      <c r="H2277" s="553">
        <v>1309.42</v>
      </c>
      <c r="I2277" s="553">
        <v>0</v>
      </c>
      <c r="J2277" s="553">
        <v>7</v>
      </c>
      <c r="K2277" s="553">
        <v>45</v>
      </c>
      <c r="L2277" s="553">
        <v>4</v>
      </c>
      <c r="M2277" s="505" t="s">
        <v>137</v>
      </c>
      <c r="N2277" s="500">
        <v>43013539080000</v>
      </c>
      <c r="O2277" s="553" t="s">
        <v>2739</v>
      </c>
      <c r="P2277" s="650" t="s">
        <v>2954</v>
      </c>
      <c r="Q2277" s="564"/>
      <c r="R2277" s="564">
        <v>1</v>
      </c>
    </row>
    <row r="2278" spans="1:18" ht="15" customHeight="1" x14ac:dyDescent="0.25">
      <c r="A2278" s="553">
        <v>23</v>
      </c>
      <c r="B2278" s="553">
        <v>3</v>
      </c>
      <c r="C2278" s="553">
        <v>2</v>
      </c>
      <c r="D2278" s="553">
        <v>4</v>
      </c>
      <c r="E2278" s="553">
        <v>2</v>
      </c>
      <c r="F2278" s="553">
        <v>2</v>
      </c>
      <c r="G2278" s="553" t="s">
        <v>484</v>
      </c>
      <c r="H2278" s="553">
        <v>1309.42</v>
      </c>
      <c r="I2278" s="553">
        <v>0</v>
      </c>
      <c r="J2278" s="553">
        <v>7</v>
      </c>
      <c r="K2278" s="553">
        <v>45</v>
      </c>
      <c r="L2278" s="553">
        <v>4</v>
      </c>
      <c r="M2278" s="505" t="s">
        <v>137</v>
      </c>
      <c r="N2278" s="500">
        <v>43013539080000</v>
      </c>
      <c r="O2278" s="553" t="s">
        <v>2739</v>
      </c>
      <c r="P2278" s="650" t="s">
        <v>2955</v>
      </c>
      <c r="Q2278" s="564"/>
      <c r="R2278" s="564">
        <v>1</v>
      </c>
    </row>
    <row r="2279" spans="1:18" ht="15" customHeight="1" x14ac:dyDescent="0.25">
      <c r="A2279" s="553">
        <v>23</v>
      </c>
      <c r="B2279" s="553">
        <v>3</v>
      </c>
      <c r="C2279" s="553">
        <v>2</v>
      </c>
      <c r="D2279" s="553">
        <v>4</v>
      </c>
      <c r="E2279" s="553">
        <v>2</v>
      </c>
      <c r="F2279" s="553">
        <v>2</v>
      </c>
      <c r="G2279" s="553" t="s">
        <v>486</v>
      </c>
      <c r="H2279" s="553">
        <v>1370.62</v>
      </c>
      <c r="I2279" s="553">
        <v>0</v>
      </c>
      <c r="J2279" s="553">
        <v>4</v>
      </c>
      <c r="K2279" s="553">
        <v>14</v>
      </c>
      <c r="L2279" s="553">
        <v>1</v>
      </c>
      <c r="M2279" s="505" t="s">
        <v>137</v>
      </c>
      <c r="N2279" s="500">
        <v>43013539080000</v>
      </c>
      <c r="O2279" s="553" t="s">
        <v>2739</v>
      </c>
      <c r="P2279" s="650" t="s">
        <v>2956</v>
      </c>
      <c r="Q2279" s="564"/>
      <c r="R2279" s="564">
        <v>1</v>
      </c>
    </row>
    <row r="2280" spans="1:18" ht="15" customHeight="1" x14ac:dyDescent="0.25">
      <c r="A2280" s="553">
        <v>23</v>
      </c>
      <c r="B2280" s="553">
        <v>3</v>
      </c>
      <c r="C2280" s="553">
        <v>2</v>
      </c>
      <c r="D2280" s="553">
        <v>4</v>
      </c>
      <c r="E2280" s="553">
        <v>2</v>
      </c>
      <c r="F2280" s="553">
        <v>2</v>
      </c>
      <c r="G2280" s="502" t="s">
        <v>488</v>
      </c>
      <c r="H2280" s="553">
        <v>1316.85</v>
      </c>
      <c r="I2280" s="553">
        <v>0</v>
      </c>
      <c r="J2280" s="553">
        <v>38</v>
      </c>
      <c r="K2280" s="553">
        <v>30</v>
      </c>
      <c r="L2280" s="553">
        <v>1</v>
      </c>
      <c r="M2280" s="505" t="s">
        <v>137</v>
      </c>
      <c r="N2280" s="500">
        <v>43013539080000</v>
      </c>
      <c r="O2280" s="553" t="s">
        <v>2739</v>
      </c>
      <c r="P2280" s="650" t="s">
        <v>2957</v>
      </c>
      <c r="Q2280" s="564"/>
      <c r="R2280" s="564">
        <v>1</v>
      </c>
    </row>
    <row r="2281" spans="1:18" ht="15" customHeight="1" x14ac:dyDescent="0.25">
      <c r="A2281" s="553">
        <v>23</v>
      </c>
      <c r="B2281" s="553">
        <v>3</v>
      </c>
      <c r="C2281" s="553">
        <v>2</v>
      </c>
      <c r="D2281" s="553">
        <v>4</v>
      </c>
      <c r="E2281" s="553">
        <v>2</v>
      </c>
      <c r="F2281" s="553">
        <v>2</v>
      </c>
      <c r="G2281" s="553" t="s">
        <v>490</v>
      </c>
      <c r="H2281" s="553">
        <v>1316.165</v>
      </c>
      <c r="I2281" s="553">
        <v>0</v>
      </c>
      <c r="J2281" s="553">
        <v>47</v>
      </c>
      <c r="K2281" s="553">
        <v>20</v>
      </c>
      <c r="L2281" s="553">
        <v>1</v>
      </c>
      <c r="M2281" s="505" t="s">
        <v>137</v>
      </c>
      <c r="N2281" s="500">
        <v>43013539080000</v>
      </c>
      <c r="O2281" s="553" t="s">
        <v>2739</v>
      </c>
      <c r="P2281" s="650" t="s">
        <v>2958</v>
      </c>
      <c r="Q2281" s="564"/>
      <c r="R2281" s="564">
        <v>1</v>
      </c>
    </row>
    <row r="2282" spans="1:18" ht="15" customHeight="1" x14ac:dyDescent="0.25">
      <c r="A2282" s="553">
        <v>23</v>
      </c>
      <c r="B2282" s="553">
        <v>3</v>
      </c>
      <c r="C2282" s="553">
        <v>2</v>
      </c>
      <c r="D2282" s="553">
        <v>4</v>
      </c>
      <c r="E2282" s="553">
        <v>2</v>
      </c>
      <c r="F2282" s="553">
        <v>2</v>
      </c>
      <c r="G2282" s="553" t="s">
        <v>493</v>
      </c>
      <c r="H2282" s="553">
        <v>1316.165</v>
      </c>
      <c r="I2282" s="553">
        <v>0</v>
      </c>
      <c r="J2282" s="553">
        <v>47</v>
      </c>
      <c r="K2282" s="553">
        <v>20</v>
      </c>
      <c r="L2282" s="553">
        <v>1</v>
      </c>
      <c r="M2282" s="505" t="s">
        <v>137</v>
      </c>
      <c r="N2282" s="500">
        <v>43013539080000</v>
      </c>
      <c r="O2282" s="553" t="s">
        <v>2739</v>
      </c>
      <c r="P2282" s="650" t="s">
        <v>2959</v>
      </c>
      <c r="Q2282" s="564"/>
      <c r="R2282" s="564">
        <v>1</v>
      </c>
    </row>
    <row r="2283" spans="1:18" ht="15" customHeight="1" x14ac:dyDescent="0.25">
      <c r="A2283" s="553">
        <v>23</v>
      </c>
      <c r="B2283" s="553">
        <v>3</v>
      </c>
      <c r="C2283" s="553">
        <v>2</v>
      </c>
      <c r="D2283" s="553">
        <v>4</v>
      </c>
      <c r="E2283" s="553">
        <v>2</v>
      </c>
      <c r="F2283" s="553">
        <v>2</v>
      </c>
      <c r="G2283" s="553" t="s">
        <v>474</v>
      </c>
      <c r="H2283" s="553">
        <v>1324.9449999999999</v>
      </c>
      <c r="I2283" s="553">
        <v>89</v>
      </c>
      <c r="J2283" s="553">
        <v>44</v>
      </c>
      <c r="K2283" s="553">
        <v>20</v>
      </c>
      <c r="L2283" s="553">
        <v>2</v>
      </c>
      <c r="M2283" s="505" t="s">
        <v>137</v>
      </c>
      <c r="N2283" s="500">
        <v>43013539080000</v>
      </c>
      <c r="O2283" s="553" t="s">
        <v>2739</v>
      </c>
      <c r="P2283" s="650" t="s">
        <v>2960</v>
      </c>
      <c r="Q2283" s="564"/>
      <c r="R2283" s="564">
        <v>1</v>
      </c>
    </row>
    <row r="2284" spans="1:18" ht="15" customHeight="1" x14ac:dyDescent="0.25">
      <c r="A2284" s="553">
        <v>23</v>
      </c>
      <c r="B2284" s="553">
        <v>3</v>
      </c>
      <c r="C2284" s="553">
        <v>2</v>
      </c>
      <c r="D2284" s="553">
        <v>4</v>
      </c>
      <c r="E2284" s="553">
        <v>2</v>
      </c>
      <c r="F2284" s="553">
        <v>2</v>
      </c>
      <c r="G2284" s="502" t="s">
        <v>477</v>
      </c>
      <c r="H2284" s="553">
        <v>1324.9449999999999</v>
      </c>
      <c r="I2284" s="553">
        <v>89</v>
      </c>
      <c r="J2284" s="553">
        <v>44</v>
      </c>
      <c r="K2284" s="553">
        <v>20</v>
      </c>
      <c r="L2284" s="553">
        <v>2</v>
      </c>
      <c r="M2284" s="505" t="s">
        <v>137</v>
      </c>
      <c r="N2284" s="500">
        <v>43013539080000</v>
      </c>
      <c r="O2284" s="553" t="s">
        <v>2739</v>
      </c>
      <c r="P2284" s="650" t="s">
        <v>2961</v>
      </c>
      <c r="Q2284" s="564"/>
      <c r="R2284" s="564">
        <v>1</v>
      </c>
    </row>
    <row r="2285" spans="1:18" ht="15" customHeight="1" x14ac:dyDescent="0.25">
      <c r="A2285" s="553">
        <v>23</v>
      </c>
      <c r="B2285" s="553">
        <v>3</v>
      </c>
      <c r="C2285" s="553">
        <v>2</v>
      </c>
      <c r="D2285" s="553">
        <v>4</v>
      </c>
      <c r="E2285" s="553">
        <v>2</v>
      </c>
      <c r="F2285" s="553">
        <v>2</v>
      </c>
      <c r="G2285" s="553" t="s">
        <v>479</v>
      </c>
      <c r="H2285" s="553">
        <v>1289.8050000000001</v>
      </c>
      <c r="I2285" s="553">
        <v>88</v>
      </c>
      <c r="J2285" s="553">
        <v>30</v>
      </c>
      <c r="K2285" s="553">
        <v>34</v>
      </c>
      <c r="L2285" s="553">
        <v>1</v>
      </c>
      <c r="M2285" s="505" t="s">
        <v>137</v>
      </c>
      <c r="N2285" s="500">
        <v>43013539080000</v>
      </c>
      <c r="O2285" s="553" t="s">
        <v>2739</v>
      </c>
      <c r="P2285" s="650" t="s">
        <v>2962</v>
      </c>
      <c r="Q2285" s="564"/>
      <c r="R2285" s="564">
        <v>1</v>
      </c>
    </row>
    <row r="2286" spans="1:18" ht="15" customHeight="1" x14ac:dyDescent="0.25">
      <c r="A2286" s="553">
        <v>23</v>
      </c>
      <c r="B2286" s="553">
        <v>3</v>
      </c>
      <c r="C2286" s="553">
        <v>2</v>
      </c>
      <c r="D2286" s="553">
        <v>4</v>
      </c>
      <c r="E2286" s="553">
        <v>2</v>
      </c>
      <c r="F2286" s="553">
        <v>2</v>
      </c>
      <c r="G2286" s="553" t="s">
        <v>485</v>
      </c>
      <c r="H2286" s="553">
        <v>1289.8050000000001</v>
      </c>
      <c r="I2286" s="553">
        <v>88</v>
      </c>
      <c r="J2286" s="553">
        <v>30</v>
      </c>
      <c r="K2286" s="553">
        <v>34</v>
      </c>
      <c r="L2286" s="553">
        <v>1</v>
      </c>
      <c r="M2286" s="505" t="s">
        <v>137</v>
      </c>
      <c r="N2286" s="500">
        <v>43013539080000</v>
      </c>
      <c r="O2286" s="553" t="s">
        <v>2739</v>
      </c>
      <c r="P2286" s="650" t="s">
        <v>2963</v>
      </c>
      <c r="Q2286" s="564"/>
      <c r="R2286" s="564">
        <v>1</v>
      </c>
    </row>
    <row r="2287" spans="1:18" ht="15" customHeight="1" x14ac:dyDescent="0.25">
      <c r="A2287" s="553">
        <v>23</v>
      </c>
      <c r="B2287" s="553">
        <v>3</v>
      </c>
      <c r="C2287" s="553">
        <v>2</v>
      </c>
      <c r="D2287" s="553">
        <v>4</v>
      </c>
      <c r="E2287" s="553">
        <v>2</v>
      </c>
      <c r="F2287" s="553">
        <v>2</v>
      </c>
      <c r="G2287" s="553" t="s">
        <v>487</v>
      </c>
      <c r="H2287" s="553">
        <v>1323.355</v>
      </c>
      <c r="I2287" s="553">
        <v>89</v>
      </c>
      <c r="J2287" s="553">
        <v>47</v>
      </c>
      <c r="K2287" s="553">
        <v>6</v>
      </c>
      <c r="L2287" s="553">
        <v>4</v>
      </c>
      <c r="M2287" s="505" t="s">
        <v>137</v>
      </c>
      <c r="N2287" s="500">
        <v>43013539080000</v>
      </c>
      <c r="O2287" s="553" t="s">
        <v>2739</v>
      </c>
      <c r="P2287" s="650" t="s">
        <v>2964</v>
      </c>
      <c r="Q2287" s="564"/>
      <c r="R2287" s="564">
        <v>1</v>
      </c>
    </row>
    <row r="2288" spans="1:18" ht="15" customHeight="1" x14ac:dyDescent="0.25">
      <c r="A2288" s="508">
        <v>23</v>
      </c>
      <c r="B2288" s="508">
        <v>3</v>
      </c>
      <c r="C2288" s="508">
        <v>2</v>
      </c>
      <c r="D2288" s="508">
        <v>4</v>
      </c>
      <c r="E2288" s="508">
        <v>2</v>
      </c>
      <c r="F2288" s="508">
        <v>2</v>
      </c>
      <c r="G2288" s="509" t="s">
        <v>489</v>
      </c>
      <c r="H2288" s="508">
        <v>1323.355</v>
      </c>
      <c r="I2288" s="508">
        <v>89</v>
      </c>
      <c r="J2288" s="508">
        <v>47</v>
      </c>
      <c r="K2288" s="508">
        <v>6</v>
      </c>
      <c r="L2288" s="508">
        <v>4</v>
      </c>
      <c r="M2288" s="505" t="s">
        <v>137</v>
      </c>
      <c r="N2288" s="500">
        <v>43013539080000</v>
      </c>
      <c r="O2288" s="553" t="s">
        <v>2739</v>
      </c>
      <c r="P2288" s="650" t="s">
        <v>2965</v>
      </c>
      <c r="Q2288" s="564"/>
      <c r="R2288" s="564">
        <v>1</v>
      </c>
    </row>
    <row r="2289" spans="1:18" ht="15" customHeight="1" x14ac:dyDescent="0.25">
      <c r="A2289" s="508">
        <v>23</v>
      </c>
      <c r="B2289" s="508">
        <v>3</v>
      </c>
      <c r="C2289" s="508">
        <v>2</v>
      </c>
      <c r="D2289" s="508">
        <v>4</v>
      </c>
      <c r="E2289" s="508">
        <v>2</v>
      </c>
      <c r="F2289" s="508">
        <v>2</v>
      </c>
      <c r="G2289" s="508" t="s">
        <v>491</v>
      </c>
      <c r="H2289" s="508">
        <v>1328.8050000000001</v>
      </c>
      <c r="I2289" s="508">
        <v>89</v>
      </c>
      <c r="J2289" s="508">
        <v>35</v>
      </c>
      <c r="K2289" s="508">
        <v>8</v>
      </c>
      <c r="L2289" s="508">
        <v>2</v>
      </c>
      <c r="M2289" s="505" t="s">
        <v>137</v>
      </c>
      <c r="N2289" s="500">
        <v>43013539080000</v>
      </c>
      <c r="O2289" s="553" t="s">
        <v>2739</v>
      </c>
      <c r="P2289" s="650" t="s">
        <v>2966</v>
      </c>
      <c r="Q2289" s="564"/>
      <c r="R2289" s="564">
        <v>1</v>
      </c>
    </row>
    <row r="2290" spans="1:18" ht="15" customHeight="1" x14ac:dyDescent="0.25">
      <c r="A2290" s="508">
        <v>23</v>
      </c>
      <c r="B2290" s="508">
        <v>3</v>
      </c>
      <c r="C2290" s="508">
        <v>2</v>
      </c>
      <c r="D2290" s="508">
        <v>4</v>
      </c>
      <c r="E2290" s="508">
        <v>2</v>
      </c>
      <c r="F2290" s="508">
        <v>2</v>
      </c>
      <c r="G2290" s="508" t="s">
        <v>494</v>
      </c>
      <c r="H2290" s="508">
        <v>1328.8050000000001</v>
      </c>
      <c r="I2290" s="508">
        <v>89</v>
      </c>
      <c r="J2290" s="508">
        <v>35</v>
      </c>
      <c r="K2290" s="508">
        <v>8</v>
      </c>
      <c r="L2290" s="508">
        <v>2</v>
      </c>
      <c r="M2290" s="505" t="s">
        <v>137</v>
      </c>
      <c r="N2290" s="500">
        <v>43013539080000</v>
      </c>
      <c r="O2290" s="553" t="s">
        <v>2739</v>
      </c>
      <c r="P2290" s="650" t="s">
        <v>2967</v>
      </c>
      <c r="Q2290" s="564"/>
      <c r="R2290" s="564">
        <v>1</v>
      </c>
    </row>
    <row r="2291" spans="1:18" ht="15" customHeight="1" x14ac:dyDescent="0.25">
      <c r="A2291" s="564">
        <v>23</v>
      </c>
      <c r="B2291" s="564">
        <v>3</v>
      </c>
      <c r="C2291" s="564">
        <v>2</v>
      </c>
      <c r="D2291" s="564">
        <v>5</v>
      </c>
      <c r="E2291" s="564">
        <v>2</v>
      </c>
      <c r="F2291" s="564">
        <v>2</v>
      </c>
      <c r="G2291" s="553" t="s">
        <v>473</v>
      </c>
      <c r="H2291" s="564">
        <v>1315.4849999999999</v>
      </c>
      <c r="I2291" s="564">
        <v>0</v>
      </c>
      <c r="J2291" s="564">
        <v>1</v>
      </c>
      <c r="K2291" s="564">
        <v>47</v>
      </c>
      <c r="L2291" s="564">
        <v>2</v>
      </c>
      <c r="M2291" s="561" t="s">
        <v>137</v>
      </c>
      <c r="N2291" s="651">
        <v>4301354084</v>
      </c>
      <c r="O2291" s="564" t="s">
        <v>2968</v>
      </c>
      <c r="P2291" s="522" t="s">
        <v>2969</v>
      </c>
      <c r="Q2291" s="564"/>
      <c r="R2291" s="564">
        <v>2</v>
      </c>
    </row>
    <row r="2292" spans="1:18" ht="15" customHeight="1" x14ac:dyDescent="0.25">
      <c r="A2292" s="564">
        <v>23</v>
      </c>
      <c r="B2292" s="564">
        <v>3</v>
      </c>
      <c r="C2292" s="564">
        <v>2</v>
      </c>
      <c r="D2292" s="564">
        <v>5</v>
      </c>
      <c r="E2292" s="564">
        <v>2</v>
      </c>
      <c r="F2292" s="564">
        <v>2</v>
      </c>
      <c r="G2292" s="521" t="s">
        <v>476</v>
      </c>
      <c r="H2292" s="564">
        <v>1315.4849999999999</v>
      </c>
      <c r="I2292" s="564">
        <v>0</v>
      </c>
      <c r="J2292" s="564">
        <v>1</v>
      </c>
      <c r="K2292" s="564">
        <v>47</v>
      </c>
      <c r="L2292" s="564">
        <v>2</v>
      </c>
      <c r="M2292" s="561" t="s">
        <v>137</v>
      </c>
      <c r="N2292" s="651">
        <v>4301354084</v>
      </c>
      <c r="O2292" s="564" t="s">
        <v>2968</v>
      </c>
      <c r="P2292" s="564" t="s">
        <v>2970</v>
      </c>
      <c r="Q2292" s="564"/>
      <c r="R2292" s="564">
        <v>2</v>
      </c>
    </row>
    <row r="2293" spans="1:18" ht="15" customHeight="1" x14ac:dyDescent="0.25">
      <c r="A2293" s="564">
        <v>23</v>
      </c>
      <c r="B2293" s="564">
        <v>3</v>
      </c>
      <c r="C2293" s="564">
        <v>2</v>
      </c>
      <c r="D2293" s="564">
        <v>5</v>
      </c>
      <c r="E2293" s="564">
        <v>2</v>
      </c>
      <c r="F2293" s="564">
        <v>2</v>
      </c>
      <c r="G2293" s="564" t="s">
        <v>478</v>
      </c>
      <c r="H2293" s="564">
        <v>1317.6849999999999</v>
      </c>
      <c r="I2293" s="564">
        <v>0</v>
      </c>
      <c r="J2293" s="564">
        <v>2</v>
      </c>
      <c r="K2293" s="564">
        <v>4</v>
      </c>
      <c r="L2293" s="564">
        <v>2</v>
      </c>
      <c r="M2293" s="561" t="s">
        <v>137</v>
      </c>
      <c r="N2293" s="651">
        <v>4301354084</v>
      </c>
      <c r="O2293" s="564" t="s">
        <v>2968</v>
      </c>
      <c r="P2293" s="564" t="s">
        <v>2971</v>
      </c>
      <c r="Q2293" s="564"/>
      <c r="R2293" s="564">
        <v>2</v>
      </c>
    </row>
    <row r="2294" spans="1:18" ht="15" customHeight="1" x14ac:dyDescent="0.25">
      <c r="A2294" s="564">
        <v>23</v>
      </c>
      <c r="B2294" s="564">
        <v>3</v>
      </c>
      <c r="C2294" s="564">
        <v>2</v>
      </c>
      <c r="D2294" s="564">
        <v>5</v>
      </c>
      <c r="E2294" s="564">
        <v>2</v>
      </c>
      <c r="F2294" s="564">
        <v>2</v>
      </c>
      <c r="G2294" s="564" t="s">
        <v>484</v>
      </c>
      <c r="H2294" s="564">
        <v>1317.6849999999999</v>
      </c>
      <c r="I2294" s="564">
        <v>0</v>
      </c>
      <c r="J2294" s="564">
        <v>2</v>
      </c>
      <c r="K2294" s="564">
        <v>4</v>
      </c>
      <c r="L2294" s="564">
        <v>2</v>
      </c>
      <c r="M2294" s="561" t="s">
        <v>137</v>
      </c>
      <c r="N2294" s="651">
        <v>4301354084</v>
      </c>
      <c r="O2294" s="564" t="s">
        <v>2968</v>
      </c>
      <c r="P2294" s="564" t="s">
        <v>2972</v>
      </c>
      <c r="Q2294" s="564"/>
      <c r="R2294" s="564">
        <v>2</v>
      </c>
    </row>
    <row r="2295" spans="1:18" ht="15" customHeight="1" x14ac:dyDescent="0.25">
      <c r="A2295" s="564">
        <v>23</v>
      </c>
      <c r="B2295" s="564">
        <v>3</v>
      </c>
      <c r="C2295" s="564">
        <v>2</v>
      </c>
      <c r="D2295" s="564">
        <v>5</v>
      </c>
      <c r="E2295" s="564">
        <v>2</v>
      </c>
      <c r="F2295" s="564">
        <v>2</v>
      </c>
      <c r="G2295" s="564" t="s">
        <v>486</v>
      </c>
      <c r="H2295" s="564">
        <v>1318.095</v>
      </c>
      <c r="I2295" s="564">
        <v>0</v>
      </c>
      <c r="J2295" s="564">
        <v>7</v>
      </c>
      <c r="K2295" s="564">
        <v>46</v>
      </c>
      <c r="L2295" s="564">
        <v>2</v>
      </c>
      <c r="M2295" s="561" t="s">
        <v>137</v>
      </c>
      <c r="N2295" s="651">
        <v>4301354084</v>
      </c>
      <c r="O2295" s="564" t="s">
        <v>2968</v>
      </c>
      <c r="P2295" s="564" t="s">
        <v>2973</v>
      </c>
      <c r="Q2295" s="564"/>
      <c r="R2295" s="564">
        <v>2</v>
      </c>
    </row>
    <row r="2296" spans="1:18" ht="15" customHeight="1" x14ac:dyDescent="0.25">
      <c r="A2296" s="564">
        <v>23</v>
      </c>
      <c r="B2296" s="564">
        <v>3</v>
      </c>
      <c r="C2296" s="564">
        <v>2</v>
      </c>
      <c r="D2296" s="564">
        <v>5</v>
      </c>
      <c r="E2296" s="564">
        <v>2</v>
      </c>
      <c r="F2296" s="564">
        <v>2</v>
      </c>
      <c r="G2296" s="521" t="s">
        <v>488</v>
      </c>
      <c r="H2296" s="564">
        <v>1318.095</v>
      </c>
      <c r="I2296" s="564">
        <v>0</v>
      </c>
      <c r="J2296" s="564">
        <v>7</v>
      </c>
      <c r="K2296" s="564">
        <v>46</v>
      </c>
      <c r="L2296" s="564">
        <v>2</v>
      </c>
      <c r="M2296" s="561" t="s">
        <v>137</v>
      </c>
      <c r="N2296" s="651">
        <v>4301354084</v>
      </c>
      <c r="O2296" s="564" t="s">
        <v>2968</v>
      </c>
      <c r="P2296" s="564" t="s">
        <v>2974</v>
      </c>
      <c r="Q2296" s="564"/>
      <c r="R2296" s="564">
        <v>2</v>
      </c>
    </row>
    <row r="2297" spans="1:18" ht="15" customHeight="1" x14ac:dyDescent="0.25">
      <c r="A2297" s="564">
        <v>23</v>
      </c>
      <c r="B2297" s="564">
        <v>3</v>
      </c>
      <c r="C2297" s="564">
        <v>2</v>
      </c>
      <c r="D2297" s="564">
        <v>5</v>
      </c>
      <c r="E2297" s="564">
        <v>2</v>
      </c>
      <c r="F2297" s="564">
        <v>2</v>
      </c>
      <c r="G2297" s="564" t="s">
        <v>490</v>
      </c>
      <c r="H2297" s="564">
        <v>1318.095</v>
      </c>
      <c r="I2297" s="564">
        <v>0</v>
      </c>
      <c r="J2297" s="564">
        <v>7</v>
      </c>
      <c r="K2297" s="564">
        <v>46</v>
      </c>
      <c r="L2297" s="564">
        <v>2</v>
      </c>
      <c r="M2297" s="561" t="s">
        <v>137</v>
      </c>
      <c r="N2297" s="651">
        <v>4301354084</v>
      </c>
      <c r="O2297" s="564" t="s">
        <v>2968</v>
      </c>
      <c r="P2297" s="564" t="s">
        <v>2975</v>
      </c>
      <c r="Q2297" s="564"/>
      <c r="R2297" s="564">
        <v>2</v>
      </c>
    </row>
    <row r="2298" spans="1:18" ht="15" customHeight="1" x14ac:dyDescent="0.25">
      <c r="A2298" s="564">
        <v>23</v>
      </c>
      <c r="B2298" s="564">
        <v>3</v>
      </c>
      <c r="C2298" s="564">
        <v>2</v>
      </c>
      <c r="D2298" s="564">
        <v>5</v>
      </c>
      <c r="E2298" s="564">
        <v>2</v>
      </c>
      <c r="F2298" s="564">
        <v>2</v>
      </c>
      <c r="G2298" s="564" t="s">
        <v>493</v>
      </c>
      <c r="H2298" s="564">
        <v>1318.095</v>
      </c>
      <c r="I2298" s="564">
        <v>0</v>
      </c>
      <c r="J2298" s="564">
        <v>7</v>
      </c>
      <c r="K2298" s="564">
        <v>46</v>
      </c>
      <c r="L2298" s="564">
        <v>2</v>
      </c>
      <c r="M2298" s="561" t="s">
        <v>137</v>
      </c>
      <c r="N2298" s="651">
        <v>4301354084</v>
      </c>
      <c r="O2298" s="564" t="s">
        <v>2968</v>
      </c>
      <c r="P2298" s="564" t="s">
        <v>2976</v>
      </c>
      <c r="Q2298" s="564"/>
      <c r="R2298" s="564">
        <v>2</v>
      </c>
    </row>
    <row r="2299" spans="1:18" ht="15" customHeight="1" x14ac:dyDescent="0.25">
      <c r="A2299" s="564">
        <v>23</v>
      </c>
      <c r="B2299" s="564">
        <v>3</v>
      </c>
      <c r="C2299" s="564">
        <v>2</v>
      </c>
      <c r="D2299" s="564">
        <v>5</v>
      </c>
      <c r="E2299" s="564">
        <v>2</v>
      </c>
      <c r="F2299" s="564">
        <v>2</v>
      </c>
      <c r="G2299" s="564" t="s">
        <v>474</v>
      </c>
      <c r="H2299" s="564">
        <v>1315.83</v>
      </c>
      <c r="I2299" s="564">
        <v>89</v>
      </c>
      <c r="J2299" s="564">
        <v>44</v>
      </c>
      <c r="K2299" s="564">
        <v>21</v>
      </c>
      <c r="L2299" s="564">
        <v>2</v>
      </c>
      <c r="M2299" s="561" t="s">
        <v>137</v>
      </c>
      <c r="N2299" s="651">
        <v>4301354084</v>
      </c>
      <c r="O2299" s="564" t="s">
        <v>2968</v>
      </c>
      <c r="P2299" s="564" t="s">
        <v>2977</v>
      </c>
      <c r="Q2299" s="564"/>
      <c r="R2299" s="564">
        <v>2</v>
      </c>
    </row>
    <row r="2300" spans="1:18" ht="15" customHeight="1" x14ac:dyDescent="0.25">
      <c r="A2300" s="564">
        <v>23</v>
      </c>
      <c r="B2300" s="564">
        <v>3</v>
      </c>
      <c r="C2300" s="564">
        <v>2</v>
      </c>
      <c r="D2300" s="564">
        <v>5</v>
      </c>
      <c r="E2300" s="564">
        <v>2</v>
      </c>
      <c r="F2300" s="564">
        <v>2</v>
      </c>
      <c r="G2300" s="521" t="s">
        <v>477</v>
      </c>
      <c r="H2300" s="564">
        <v>1317.77</v>
      </c>
      <c r="I2300" s="564">
        <v>89</v>
      </c>
      <c r="J2300" s="564">
        <v>47</v>
      </c>
      <c r="K2300" s="564">
        <v>16</v>
      </c>
      <c r="L2300" s="564">
        <v>2</v>
      </c>
      <c r="M2300" s="561" t="s">
        <v>137</v>
      </c>
      <c r="N2300" s="651">
        <v>4301354084</v>
      </c>
      <c r="O2300" s="564" t="s">
        <v>2968</v>
      </c>
      <c r="P2300" s="564" t="s">
        <v>2978</v>
      </c>
      <c r="Q2300" s="564"/>
      <c r="R2300" s="564">
        <v>2</v>
      </c>
    </row>
    <row r="2301" spans="1:18" ht="15" customHeight="1" x14ac:dyDescent="0.25">
      <c r="A2301" s="564">
        <v>23</v>
      </c>
      <c r="B2301" s="564">
        <v>3</v>
      </c>
      <c r="C2301" s="564">
        <v>2</v>
      </c>
      <c r="D2301" s="564">
        <v>5</v>
      </c>
      <c r="E2301" s="564">
        <v>2</v>
      </c>
      <c r="F2301" s="564">
        <v>2</v>
      </c>
      <c r="G2301" s="564" t="s">
        <v>479</v>
      </c>
      <c r="H2301" s="564">
        <v>1322.655</v>
      </c>
      <c r="I2301" s="564">
        <v>89</v>
      </c>
      <c r="J2301" s="564">
        <v>48</v>
      </c>
      <c r="K2301" s="564">
        <v>21</v>
      </c>
      <c r="L2301" s="564">
        <v>2</v>
      </c>
      <c r="M2301" s="561" t="s">
        <v>137</v>
      </c>
      <c r="N2301" s="651">
        <v>4301354084</v>
      </c>
      <c r="O2301" s="564" t="s">
        <v>2968</v>
      </c>
      <c r="P2301" s="564" t="s">
        <v>2979</v>
      </c>
      <c r="Q2301" s="564"/>
      <c r="R2301" s="564">
        <v>2</v>
      </c>
    </row>
    <row r="2302" spans="1:18" ht="15" customHeight="1" x14ac:dyDescent="0.25">
      <c r="A2302" s="564">
        <v>23</v>
      </c>
      <c r="B2302" s="564">
        <v>3</v>
      </c>
      <c r="C2302" s="564">
        <v>2</v>
      </c>
      <c r="D2302" s="564">
        <v>5</v>
      </c>
      <c r="E2302" s="564">
        <v>2</v>
      </c>
      <c r="F2302" s="564">
        <v>2</v>
      </c>
      <c r="G2302" s="564" t="s">
        <v>485</v>
      </c>
      <c r="H2302" s="564">
        <v>1322.655</v>
      </c>
      <c r="I2302" s="564">
        <v>89</v>
      </c>
      <c r="J2302" s="564">
        <v>48</v>
      </c>
      <c r="K2302" s="564">
        <v>21</v>
      </c>
      <c r="L2302" s="564">
        <v>2</v>
      </c>
      <c r="M2302" s="561" t="s">
        <v>137</v>
      </c>
      <c r="N2302" s="651">
        <v>4301354084</v>
      </c>
      <c r="O2302" s="564" t="s">
        <v>2968</v>
      </c>
      <c r="P2302" s="564" t="s">
        <v>2980</v>
      </c>
      <c r="Q2302" s="564"/>
      <c r="R2302" s="564">
        <v>2</v>
      </c>
    </row>
    <row r="2303" spans="1:18" ht="15" customHeight="1" x14ac:dyDescent="0.25">
      <c r="A2303" s="564">
        <v>23</v>
      </c>
      <c r="B2303" s="564">
        <v>3</v>
      </c>
      <c r="C2303" s="564">
        <v>2</v>
      </c>
      <c r="D2303" s="564">
        <v>5</v>
      </c>
      <c r="E2303" s="564">
        <v>2</v>
      </c>
      <c r="F2303" s="564">
        <v>2</v>
      </c>
      <c r="G2303" s="564" t="s">
        <v>487</v>
      </c>
      <c r="H2303" s="564">
        <v>1320.63</v>
      </c>
      <c r="I2303" s="564">
        <v>89</v>
      </c>
      <c r="J2303" s="564">
        <v>53</v>
      </c>
      <c r="K2303" s="564">
        <v>58</v>
      </c>
      <c r="L2303" s="564">
        <v>3</v>
      </c>
      <c r="M2303" s="561" t="s">
        <v>137</v>
      </c>
      <c r="N2303" s="651">
        <v>4301354084</v>
      </c>
      <c r="O2303" s="564" t="s">
        <v>2968</v>
      </c>
      <c r="P2303" s="564" t="s">
        <v>2981</v>
      </c>
      <c r="Q2303" s="564"/>
      <c r="R2303" s="564">
        <v>2</v>
      </c>
    </row>
    <row r="2304" spans="1:18" ht="15" customHeight="1" x14ac:dyDescent="0.25">
      <c r="A2304" s="564">
        <v>23</v>
      </c>
      <c r="B2304" s="564">
        <v>3</v>
      </c>
      <c r="C2304" s="564">
        <v>2</v>
      </c>
      <c r="D2304" s="564">
        <v>5</v>
      </c>
      <c r="E2304" s="564">
        <v>2</v>
      </c>
      <c r="F2304" s="564">
        <v>2</v>
      </c>
      <c r="G2304" s="521" t="s">
        <v>489</v>
      </c>
      <c r="H2304" s="564">
        <v>1319.64</v>
      </c>
      <c r="I2304" s="564">
        <v>89</v>
      </c>
      <c r="J2304" s="564">
        <v>52</v>
      </c>
      <c r="K2304" s="564">
        <v>10</v>
      </c>
      <c r="L2304" s="564">
        <v>3</v>
      </c>
      <c r="M2304" s="561" t="s">
        <v>137</v>
      </c>
      <c r="N2304" s="651">
        <v>4301354084</v>
      </c>
      <c r="O2304" s="564" t="s">
        <v>2968</v>
      </c>
      <c r="P2304" s="564" t="s">
        <v>2982</v>
      </c>
      <c r="Q2304" s="564"/>
      <c r="R2304" s="564">
        <v>2</v>
      </c>
    </row>
    <row r="2305" spans="1:18" ht="15" customHeight="1" x14ac:dyDescent="0.25">
      <c r="A2305" s="564">
        <v>23</v>
      </c>
      <c r="B2305" s="564">
        <v>3</v>
      </c>
      <c r="C2305" s="564">
        <v>2</v>
      </c>
      <c r="D2305" s="564">
        <v>5</v>
      </c>
      <c r="E2305" s="564">
        <v>2</v>
      </c>
      <c r="F2305" s="564">
        <v>2</v>
      </c>
      <c r="G2305" s="564" t="s">
        <v>491</v>
      </c>
      <c r="H2305" s="564">
        <v>1314.855</v>
      </c>
      <c r="I2305" s="564">
        <v>89</v>
      </c>
      <c r="J2305" s="564">
        <v>35</v>
      </c>
      <c r="K2305" s="564">
        <v>0</v>
      </c>
      <c r="L2305" s="564">
        <v>2</v>
      </c>
      <c r="M2305" s="561" t="s">
        <v>137</v>
      </c>
      <c r="N2305" s="651">
        <v>4301354084</v>
      </c>
      <c r="O2305" s="564" t="s">
        <v>2968</v>
      </c>
      <c r="P2305" s="564" t="s">
        <v>2983</v>
      </c>
      <c r="Q2305" s="564"/>
      <c r="R2305" s="564">
        <v>2</v>
      </c>
    </row>
    <row r="2306" spans="1:18" ht="15" customHeight="1" x14ac:dyDescent="0.25">
      <c r="A2306" s="564">
        <v>23</v>
      </c>
      <c r="B2306" s="564">
        <v>3</v>
      </c>
      <c r="C2306" s="564">
        <v>2</v>
      </c>
      <c r="D2306" s="564">
        <v>5</v>
      </c>
      <c r="E2306" s="564">
        <v>2</v>
      </c>
      <c r="F2306" s="564">
        <v>2</v>
      </c>
      <c r="G2306" s="564" t="s">
        <v>494</v>
      </c>
      <c r="H2306" s="564">
        <v>1314.855</v>
      </c>
      <c r="I2306" s="564">
        <v>89</v>
      </c>
      <c r="J2306" s="564">
        <v>35</v>
      </c>
      <c r="K2306" s="564">
        <v>0</v>
      </c>
      <c r="L2306" s="564">
        <v>2</v>
      </c>
      <c r="M2306" s="561" t="s">
        <v>137</v>
      </c>
      <c r="N2306" s="651">
        <v>4301354084</v>
      </c>
      <c r="O2306" s="564" t="s">
        <v>2968</v>
      </c>
      <c r="P2306" s="564" t="s">
        <v>2984</v>
      </c>
      <c r="Q2306" s="564"/>
      <c r="R2306" s="564">
        <v>2</v>
      </c>
    </row>
    <row r="2307" spans="1:18" ht="15" customHeight="1" x14ac:dyDescent="0.25">
      <c r="A2307" s="564">
        <v>23</v>
      </c>
      <c r="B2307" s="564">
        <v>2</v>
      </c>
      <c r="C2307" s="564">
        <v>2</v>
      </c>
      <c r="D2307" s="564">
        <v>1</v>
      </c>
      <c r="E2307" s="564">
        <v>2</v>
      </c>
      <c r="F2307" s="564">
        <v>2</v>
      </c>
      <c r="G2307" s="564" t="s">
        <v>473</v>
      </c>
      <c r="H2307" s="564">
        <v>1320.04</v>
      </c>
      <c r="I2307" s="564">
        <v>0</v>
      </c>
      <c r="J2307" s="564">
        <v>20</v>
      </c>
      <c r="K2307" s="564">
        <v>51</v>
      </c>
      <c r="L2307" s="564">
        <v>1</v>
      </c>
      <c r="M2307" s="561" t="s">
        <v>137</v>
      </c>
      <c r="N2307" s="651">
        <v>4304756623</v>
      </c>
      <c r="O2307" s="564" t="s">
        <v>2985</v>
      </c>
      <c r="P2307" s="564" t="s">
        <v>2986</v>
      </c>
      <c r="Q2307" s="564"/>
      <c r="R2307" s="564">
        <v>1</v>
      </c>
    </row>
    <row r="2308" spans="1:18" ht="15" customHeight="1" x14ac:dyDescent="0.25">
      <c r="A2308" s="564">
        <v>23</v>
      </c>
      <c r="B2308" s="564">
        <v>2</v>
      </c>
      <c r="C2308" s="564">
        <v>2</v>
      </c>
      <c r="D2308" s="564">
        <v>1</v>
      </c>
      <c r="E2308" s="564">
        <v>2</v>
      </c>
      <c r="F2308" s="564">
        <v>2</v>
      </c>
      <c r="G2308" s="521" t="s">
        <v>476</v>
      </c>
      <c r="H2308" s="564">
        <v>1320.04</v>
      </c>
      <c r="I2308" s="564">
        <v>0</v>
      </c>
      <c r="J2308" s="564">
        <v>20</v>
      </c>
      <c r="K2308" s="564">
        <v>51</v>
      </c>
      <c r="L2308" s="564">
        <v>1</v>
      </c>
      <c r="M2308" s="561" t="s">
        <v>137</v>
      </c>
      <c r="N2308" s="651">
        <v>4304756623</v>
      </c>
      <c r="O2308" s="564" t="s">
        <v>2985</v>
      </c>
      <c r="P2308" s="564" t="s">
        <v>2987</v>
      </c>
      <c r="Q2308" s="564"/>
      <c r="R2308" s="564">
        <v>1</v>
      </c>
    </row>
    <row r="2309" spans="1:18" ht="15" customHeight="1" x14ac:dyDescent="0.25">
      <c r="A2309" s="564">
        <v>23</v>
      </c>
      <c r="B2309" s="564">
        <v>2</v>
      </c>
      <c r="C2309" s="564">
        <v>2</v>
      </c>
      <c r="D2309" s="564">
        <v>1</v>
      </c>
      <c r="E2309" s="564">
        <v>2</v>
      </c>
      <c r="F2309" s="564">
        <v>2</v>
      </c>
      <c r="G2309" s="564" t="s">
        <v>478</v>
      </c>
      <c r="H2309" s="564">
        <v>1319.9</v>
      </c>
      <c r="I2309" s="564">
        <v>0</v>
      </c>
      <c r="J2309" s="564">
        <v>25</v>
      </c>
      <c r="K2309" s="564">
        <v>42</v>
      </c>
      <c r="L2309" s="564">
        <v>4</v>
      </c>
      <c r="M2309" s="561" t="s">
        <v>137</v>
      </c>
      <c r="N2309" s="651">
        <v>4304756623</v>
      </c>
      <c r="O2309" s="564" t="s">
        <v>2985</v>
      </c>
      <c r="P2309" s="564" t="s">
        <v>2988</v>
      </c>
      <c r="Q2309" s="564"/>
      <c r="R2309" s="564">
        <v>1</v>
      </c>
    </row>
    <row r="2310" spans="1:18" ht="15" customHeight="1" x14ac:dyDescent="0.25">
      <c r="A2310" s="564">
        <v>23</v>
      </c>
      <c r="B2310" s="564">
        <v>2</v>
      </c>
      <c r="C2310" s="564">
        <v>2</v>
      </c>
      <c r="D2310" s="564">
        <v>1</v>
      </c>
      <c r="E2310" s="564">
        <v>2</v>
      </c>
      <c r="F2310" s="564">
        <v>2</v>
      </c>
      <c r="G2310" s="564" t="s">
        <v>484</v>
      </c>
      <c r="H2310" s="564">
        <v>1319.9</v>
      </c>
      <c r="I2310" s="564">
        <v>0</v>
      </c>
      <c r="J2310" s="564">
        <v>25</v>
      </c>
      <c r="K2310" s="564">
        <v>42</v>
      </c>
      <c r="L2310" s="564">
        <v>4</v>
      </c>
      <c r="M2310" s="561" t="s">
        <v>137</v>
      </c>
      <c r="N2310" s="651">
        <v>4304756623</v>
      </c>
      <c r="O2310" s="564" t="s">
        <v>2985</v>
      </c>
      <c r="P2310" s="564" t="s">
        <v>2989</v>
      </c>
      <c r="Q2310" s="564"/>
      <c r="R2310" s="564">
        <v>1</v>
      </c>
    </row>
    <row r="2311" spans="1:18" ht="15" customHeight="1" x14ac:dyDescent="0.25">
      <c r="A2311" s="564">
        <v>23</v>
      </c>
      <c r="B2311" s="564">
        <v>2</v>
      </c>
      <c r="C2311" s="564">
        <v>2</v>
      </c>
      <c r="D2311" s="564">
        <v>1</v>
      </c>
      <c r="E2311" s="564">
        <v>2</v>
      </c>
      <c r="F2311" s="564">
        <v>2</v>
      </c>
      <c r="G2311" s="564" t="s">
        <v>486</v>
      </c>
      <c r="H2311" s="564">
        <v>1317.885</v>
      </c>
      <c r="I2311" s="564">
        <v>0</v>
      </c>
      <c r="J2311" s="564">
        <v>21</v>
      </c>
      <c r="K2311" s="564">
        <v>6</v>
      </c>
      <c r="L2311" s="564">
        <v>4</v>
      </c>
      <c r="M2311" s="561" t="s">
        <v>137</v>
      </c>
      <c r="N2311" s="651">
        <v>4304756623</v>
      </c>
      <c r="O2311" s="564" t="s">
        <v>2985</v>
      </c>
      <c r="P2311" s="564" t="s">
        <v>2990</v>
      </c>
      <c r="Q2311" s="564"/>
      <c r="R2311" s="564">
        <v>1</v>
      </c>
    </row>
    <row r="2312" spans="1:18" ht="15" customHeight="1" x14ac:dyDescent="0.25">
      <c r="A2312" s="564">
        <v>23</v>
      </c>
      <c r="B2312" s="564">
        <v>2</v>
      </c>
      <c r="C2312" s="564">
        <v>2</v>
      </c>
      <c r="D2312" s="564">
        <v>1</v>
      </c>
      <c r="E2312" s="564">
        <v>2</v>
      </c>
      <c r="F2312" s="564">
        <v>2</v>
      </c>
      <c r="G2312" s="521" t="s">
        <v>488</v>
      </c>
      <c r="H2312" s="564">
        <v>1317.885</v>
      </c>
      <c r="I2312" s="564">
        <v>0</v>
      </c>
      <c r="J2312" s="564">
        <v>21</v>
      </c>
      <c r="K2312" s="564">
        <v>6</v>
      </c>
      <c r="L2312" s="564">
        <v>4</v>
      </c>
      <c r="M2312" s="561" t="s">
        <v>137</v>
      </c>
      <c r="N2312" s="651">
        <v>4304756623</v>
      </c>
      <c r="O2312" s="564" t="s">
        <v>2985</v>
      </c>
      <c r="P2312" s="564" t="s">
        <v>2991</v>
      </c>
      <c r="Q2312" s="564"/>
      <c r="R2312" s="564">
        <v>1</v>
      </c>
    </row>
    <row r="2313" spans="1:18" ht="15" customHeight="1" x14ac:dyDescent="0.25">
      <c r="A2313" s="564">
        <v>23</v>
      </c>
      <c r="B2313" s="564">
        <v>2</v>
      </c>
      <c r="C2313" s="564">
        <v>2</v>
      </c>
      <c r="D2313" s="564">
        <v>1</v>
      </c>
      <c r="E2313" s="564">
        <v>2</v>
      </c>
      <c r="F2313" s="564">
        <v>2</v>
      </c>
      <c r="G2313" s="564" t="s">
        <v>490</v>
      </c>
      <c r="H2313" s="564">
        <v>1319.54</v>
      </c>
      <c r="I2313" s="564">
        <v>0</v>
      </c>
      <c r="J2313" s="564">
        <v>20</v>
      </c>
      <c r="K2313" s="564">
        <v>1</v>
      </c>
      <c r="L2313" s="564">
        <v>4</v>
      </c>
      <c r="M2313" s="561" t="s">
        <v>137</v>
      </c>
      <c r="N2313" s="651">
        <v>4304756623</v>
      </c>
      <c r="O2313" s="564" t="s">
        <v>2985</v>
      </c>
      <c r="P2313" s="564" t="s">
        <v>2992</v>
      </c>
      <c r="Q2313" s="564"/>
      <c r="R2313" s="564">
        <v>1</v>
      </c>
    </row>
    <row r="2314" spans="1:18" ht="15" customHeight="1" x14ac:dyDescent="0.25">
      <c r="A2314" s="564">
        <v>23</v>
      </c>
      <c r="B2314" s="564">
        <v>2</v>
      </c>
      <c r="C2314" s="564">
        <v>2</v>
      </c>
      <c r="D2314" s="564">
        <v>1</v>
      </c>
      <c r="E2314" s="564">
        <v>2</v>
      </c>
      <c r="F2314" s="564">
        <v>2</v>
      </c>
      <c r="G2314" s="564" t="s">
        <v>493</v>
      </c>
      <c r="H2314" s="564">
        <v>1319.54</v>
      </c>
      <c r="I2314" s="564">
        <v>0</v>
      </c>
      <c r="J2314" s="564">
        <v>20</v>
      </c>
      <c r="K2314" s="564">
        <v>1</v>
      </c>
      <c r="L2314" s="564">
        <v>4</v>
      </c>
      <c r="M2314" s="561" t="s">
        <v>137</v>
      </c>
      <c r="N2314" s="651">
        <v>4304756623</v>
      </c>
      <c r="O2314" s="564" t="s">
        <v>2985</v>
      </c>
      <c r="P2314" s="564" t="s">
        <v>2993</v>
      </c>
      <c r="Q2314" s="564"/>
      <c r="R2314" s="564">
        <v>1</v>
      </c>
    </row>
    <row r="2315" spans="1:18" ht="15" customHeight="1" x14ac:dyDescent="0.25">
      <c r="A2315" s="564">
        <v>23</v>
      </c>
      <c r="B2315" s="564">
        <v>2</v>
      </c>
      <c r="C2315" s="564">
        <v>2</v>
      </c>
      <c r="D2315" s="564">
        <v>1</v>
      </c>
      <c r="E2315" s="564">
        <v>2</v>
      </c>
      <c r="F2315" s="564">
        <v>2</v>
      </c>
      <c r="G2315" s="564" t="s">
        <v>474</v>
      </c>
      <c r="H2315" s="564">
        <v>1320</v>
      </c>
      <c r="I2315" s="564">
        <v>89</v>
      </c>
      <c r="J2315" s="564">
        <v>35</v>
      </c>
      <c r="K2315" s="564">
        <v>15</v>
      </c>
      <c r="L2315" s="564">
        <v>2</v>
      </c>
      <c r="M2315" s="561" t="s">
        <v>137</v>
      </c>
      <c r="N2315" s="651">
        <v>4304756623</v>
      </c>
      <c r="O2315" s="564" t="s">
        <v>2985</v>
      </c>
      <c r="P2315" s="564" t="s">
        <v>2994</v>
      </c>
      <c r="Q2315" s="564"/>
      <c r="R2315" s="564">
        <v>1</v>
      </c>
    </row>
    <row r="2316" spans="1:18" ht="15" customHeight="1" x14ac:dyDescent="0.25">
      <c r="A2316" s="564">
        <v>23</v>
      </c>
      <c r="B2316" s="564">
        <v>2</v>
      </c>
      <c r="C2316" s="564">
        <v>2</v>
      </c>
      <c r="D2316" s="564">
        <v>1</v>
      </c>
      <c r="E2316" s="564">
        <v>2</v>
      </c>
      <c r="F2316" s="564">
        <v>2</v>
      </c>
      <c r="G2316" s="521" t="s">
        <v>477</v>
      </c>
      <c r="H2316" s="564">
        <v>1320</v>
      </c>
      <c r="I2316" s="564">
        <v>89</v>
      </c>
      <c r="J2316" s="564">
        <v>35</v>
      </c>
      <c r="K2316" s="564">
        <v>15</v>
      </c>
      <c r="L2316" s="564">
        <v>2</v>
      </c>
      <c r="M2316" s="561" t="s">
        <v>137</v>
      </c>
      <c r="N2316" s="651">
        <v>4304756623</v>
      </c>
      <c r="O2316" s="564" t="s">
        <v>2985</v>
      </c>
      <c r="P2316" s="564" t="s">
        <v>2995</v>
      </c>
      <c r="Q2316" s="564"/>
      <c r="R2316" s="564">
        <v>1</v>
      </c>
    </row>
    <row r="2317" spans="1:18" ht="15" customHeight="1" x14ac:dyDescent="0.25">
      <c r="A2317" s="564">
        <v>23</v>
      </c>
      <c r="B2317" s="564">
        <v>2</v>
      </c>
      <c r="C2317" s="564">
        <v>2</v>
      </c>
      <c r="D2317" s="564">
        <v>1</v>
      </c>
      <c r="E2317" s="564">
        <v>2</v>
      </c>
      <c r="F2317" s="564">
        <v>2</v>
      </c>
      <c r="G2317" s="564" t="s">
        <v>479</v>
      </c>
      <c r="H2317" s="564">
        <v>1322.37</v>
      </c>
      <c r="I2317" s="564">
        <v>89</v>
      </c>
      <c r="J2317" s="564">
        <v>35</v>
      </c>
      <c r="K2317" s="564">
        <v>15</v>
      </c>
      <c r="L2317" s="564">
        <v>2</v>
      </c>
      <c r="M2317" s="561" t="s">
        <v>137</v>
      </c>
      <c r="N2317" s="651">
        <v>4304756623</v>
      </c>
      <c r="O2317" s="564" t="s">
        <v>2985</v>
      </c>
      <c r="P2317" s="564" t="s">
        <v>2996</v>
      </c>
      <c r="Q2317" s="564"/>
      <c r="R2317" s="564">
        <v>1</v>
      </c>
    </row>
    <row r="2318" spans="1:18" ht="15" customHeight="1" x14ac:dyDescent="0.25">
      <c r="A2318" s="564">
        <v>23</v>
      </c>
      <c r="B2318" s="564">
        <v>2</v>
      </c>
      <c r="C2318" s="564">
        <v>2</v>
      </c>
      <c r="D2318" s="564">
        <v>1</v>
      </c>
      <c r="E2318" s="564">
        <v>2</v>
      </c>
      <c r="F2318" s="564">
        <v>2</v>
      </c>
      <c r="G2318" s="564" t="s">
        <v>485</v>
      </c>
      <c r="H2318" s="564">
        <v>1322.37</v>
      </c>
      <c r="I2318" s="564">
        <v>89</v>
      </c>
      <c r="J2318" s="564">
        <v>35</v>
      </c>
      <c r="K2318" s="564">
        <v>15</v>
      </c>
      <c r="L2318" s="564">
        <v>2</v>
      </c>
      <c r="M2318" s="561" t="s">
        <v>137</v>
      </c>
      <c r="N2318" s="651">
        <v>4304756623</v>
      </c>
      <c r="O2318" s="564" t="s">
        <v>2985</v>
      </c>
      <c r="P2318" s="564" t="s">
        <v>2997</v>
      </c>
      <c r="Q2318" s="564"/>
      <c r="R2318" s="564">
        <v>1</v>
      </c>
    </row>
    <row r="2319" spans="1:18" ht="15" customHeight="1" x14ac:dyDescent="0.25">
      <c r="A2319" s="564">
        <v>23</v>
      </c>
      <c r="B2319" s="564">
        <v>2</v>
      </c>
      <c r="C2319" s="564">
        <v>2</v>
      </c>
      <c r="D2319" s="564">
        <v>1</v>
      </c>
      <c r="E2319" s="564">
        <v>2</v>
      </c>
      <c r="F2319" s="564">
        <v>2</v>
      </c>
      <c r="G2319" s="564" t="s">
        <v>487</v>
      </c>
      <c r="H2319" s="564">
        <v>1320.26</v>
      </c>
      <c r="I2319" s="564">
        <v>89</v>
      </c>
      <c r="J2319" s="564">
        <v>31</v>
      </c>
      <c r="K2319" s="564">
        <v>47</v>
      </c>
      <c r="L2319" s="564">
        <v>3</v>
      </c>
      <c r="M2319" s="561" t="s">
        <v>137</v>
      </c>
      <c r="N2319" s="651">
        <v>4304756623</v>
      </c>
      <c r="O2319" s="564" t="s">
        <v>2985</v>
      </c>
      <c r="P2319" s="564" t="s">
        <v>2998</v>
      </c>
      <c r="Q2319" s="564"/>
      <c r="R2319" s="564">
        <v>1</v>
      </c>
    </row>
    <row r="2320" spans="1:18" ht="15" customHeight="1" x14ac:dyDescent="0.25">
      <c r="A2320" s="564">
        <v>23</v>
      </c>
      <c r="B2320" s="564">
        <v>2</v>
      </c>
      <c r="C2320" s="564">
        <v>2</v>
      </c>
      <c r="D2320" s="564">
        <v>1</v>
      </c>
      <c r="E2320" s="564">
        <v>2</v>
      </c>
      <c r="F2320" s="564">
        <v>2</v>
      </c>
      <c r="G2320" s="521" t="s">
        <v>489</v>
      </c>
      <c r="H2320" s="564">
        <v>1320.26</v>
      </c>
      <c r="I2320" s="564">
        <v>89</v>
      </c>
      <c r="J2320" s="564">
        <v>31</v>
      </c>
      <c r="K2320" s="564">
        <v>47</v>
      </c>
      <c r="L2320" s="564">
        <v>3</v>
      </c>
      <c r="M2320" s="561" t="s">
        <v>137</v>
      </c>
      <c r="N2320" s="651">
        <v>4304756623</v>
      </c>
      <c r="O2320" s="564" t="s">
        <v>2985</v>
      </c>
      <c r="P2320" s="564" t="s">
        <v>2999</v>
      </c>
      <c r="Q2320" s="564"/>
      <c r="R2320" s="564">
        <v>1</v>
      </c>
    </row>
    <row r="2321" spans="1:18" ht="15" customHeight="1" x14ac:dyDescent="0.25">
      <c r="A2321" s="564">
        <v>23</v>
      </c>
      <c r="B2321" s="564">
        <v>2</v>
      </c>
      <c r="C2321" s="564">
        <v>2</v>
      </c>
      <c r="D2321" s="564">
        <v>1</v>
      </c>
      <c r="E2321" s="564">
        <v>2</v>
      </c>
      <c r="F2321" s="564">
        <v>2</v>
      </c>
      <c r="G2321" s="564" t="s">
        <v>491</v>
      </c>
      <c r="H2321" s="564">
        <v>1320.0250000000001</v>
      </c>
      <c r="I2321" s="564">
        <v>89</v>
      </c>
      <c r="J2321" s="564">
        <v>32</v>
      </c>
      <c r="K2321" s="564">
        <v>9</v>
      </c>
      <c r="L2321" s="564">
        <v>3</v>
      </c>
      <c r="M2321" s="561" t="s">
        <v>137</v>
      </c>
      <c r="N2321" s="651">
        <v>4304756623</v>
      </c>
      <c r="O2321" s="564" t="s">
        <v>2985</v>
      </c>
      <c r="P2321" s="564" t="s">
        <v>3000</v>
      </c>
      <c r="Q2321" s="564"/>
      <c r="R2321" s="564">
        <v>1</v>
      </c>
    </row>
    <row r="2322" spans="1:18" ht="15" customHeight="1" x14ac:dyDescent="0.25">
      <c r="A2322" s="564">
        <v>23</v>
      </c>
      <c r="B2322" s="564">
        <v>2</v>
      </c>
      <c r="C2322" s="564">
        <v>2</v>
      </c>
      <c r="D2322" s="564">
        <v>1</v>
      </c>
      <c r="E2322" s="564">
        <v>2</v>
      </c>
      <c r="F2322" s="564">
        <v>2</v>
      </c>
      <c r="G2322" s="564" t="s">
        <v>494</v>
      </c>
      <c r="H2322" s="564">
        <v>1320.0250000000001</v>
      </c>
      <c r="I2322" s="564">
        <v>89</v>
      </c>
      <c r="J2322" s="564">
        <v>32</v>
      </c>
      <c r="K2322" s="564">
        <v>9</v>
      </c>
      <c r="L2322" s="564">
        <v>3</v>
      </c>
      <c r="M2322" s="561" t="s">
        <v>137</v>
      </c>
      <c r="N2322" s="651">
        <v>4304756623</v>
      </c>
      <c r="O2322" s="564" t="s">
        <v>2985</v>
      </c>
      <c r="P2322" s="564" t="s">
        <v>3001</v>
      </c>
      <c r="Q2322" s="564"/>
      <c r="R2322" s="564">
        <v>1</v>
      </c>
    </row>
    <row r="2323" spans="1:18" ht="15" customHeight="1" x14ac:dyDescent="0.25">
      <c r="A2323" s="564">
        <v>23</v>
      </c>
      <c r="B2323" s="564">
        <v>4</v>
      </c>
      <c r="C2323" s="564">
        <v>2</v>
      </c>
      <c r="D2323" s="564">
        <v>2</v>
      </c>
      <c r="E2323" s="564">
        <v>1</v>
      </c>
      <c r="F2323" s="564">
        <v>2</v>
      </c>
      <c r="G2323" s="564" t="s">
        <v>473</v>
      </c>
      <c r="H2323" s="564">
        <v>1342.19</v>
      </c>
      <c r="I2323" s="564">
        <v>1</v>
      </c>
      <c r="J2323" s="564">
        <v>4</v>
      </c>
      <c r="K2323" s="564">
        <v>47</v>
      </c>
      <c r="L2323" s="564">
        <v>4</v>
      </c>
      <c r="M2323" s="561" t="s">
        <v>312</v>
      </c>
      <c r="N2323" s="651">
        <v>4304756706</v>
      </c>
      <c r="O2323" s="564" t="s">
        <v>3002</v>
      </c>
      <c r="P2323" s="564" t="s">
        <v>3003</v>
      </c>
      <c r="Q2323" s="564"/>
      <c r="R2323" s="564">
        <v>2</v>
      </c>
    </row>
    <row r="2324" spans="1:18" ht="15" customHeight="1" x14ac:dyDescent="0.25">
      <c r="A2324" s="564">
        <v>23</v>
      </c>
      <c r="B2324" s="564">
        <v>4</v>
      </c>
      <c r="C2324" s="564">
        <v>2</v>
      </c>
      <c r="D2324" s="564">
        <v>2</v>
      </c>
      <c r="E2324" s="564">
        <v>1</v>
      </c>
      <c r="F2324" s="564">
        <v>2</v>
      </c>
      <c r="G2324" s="521" t="s">
        <v>476</v>
      </c>
      <c r="H2324" s="564">
        <v>719.79</v>
      </c>
      <c r="I2324" s="564">
        <v>1</v>
      </c>
      <c r="J2324" s="564">
        <v>4</v>
      </c>
      <c r="K2324" s="564">
        <v>47</v>
      </c>
      <c r="L2324" s="564">
        <v>4</v>
      </c>
      <c r="M2324" s="561" t="s">
        <v>312</v>
      </c>
      <c r="N2324" s="651">
        <v>4304756706</v>
      </c>
      <c r="O2324" s="564" t="s">
        <v>3002</v>
      </c>
      <c r="P2324" s="564" t="s">
        <v>3004</v>
      </c>
      <c r="Q2324" s="564"/>
      <c r="R2324" s="564">
        <v>2</v>
      </c>
    </row>
    <row r="2325" spans="1:18" ht="15" customHeight="1" x14ac:dyDescent="0.25">
      <c r="A2325" s="564">
        <v>23</v>
      </c>
      <c r="B2325" s="564">
        <v>4</v>
      </c>
      <c r="C2325" s="564">
        <v>2</v>
      </c>
      <c r="D2325" s="564">
        <v>2</v>
      </c>
      <c r="E2325" s="564">
        <v>1</v>
      </c>
      <c r="F2325" s="564">
        <v>2</v>
      </c>
      <c r="G2325" s="564" t="s">
        <v>478</v>
      </c>
      <c r="H2325" s="564">
        <v>1318.37</v>
      </c>
      <c r="I2325" s="564">
        <v>1</v>
      </c>
      <c r="J2325" s="564">
        <v>5</v>
      </c>
      <c r="K2325" s="564">
        <v>1</v>
      </c>
      <c r="L2325" s="564">
        <v>4</v>
      </c>
      <c r="M2325" s="561" t="s">
        <v>312</v>
      </c>
      <c r="N2325" s="651">
        <v>4304756706</v>
      </c>
      <c r="O2325" s="564" t="s">
        <v>3002</v>
      </c>
      <c r="P2325" s="564" t="s">
        <v>3005</v>
      </c>
      <c r="Q2325" s="564"/>
      <c r="R2325" s="564">
        <v>2</v>
      </c>
    </row>
    <row r="2326" spans="1:18" ht="15" customHeight="1" x14ac:dyDescent="0.25">
      <c r="A2326" s="564">
        <v>23</v>
      </c>
      <c r="B2326" s="564">
        <v>4</v>
      </c>
      <c r="C2326" s="564">
        <v>2</v>
      </c>
      <c r="D2326" s="564">
        <v>2</v>
      </c>
      <c r="E2326" s="564">
        <v>1</v>
      </c>
      <c r="F2326" s="564">
        <v>2</v>
      </c>
      <c r="G2326" s="564" t="s">
        <v>484</v>
      </c>
      <c r="H2326" s="564">
        <v>1318.37</v>
      </c>
      <c r="I2326" s="564">
        <v>1</v>
      </c>
      <c r="J2326" s="564">
        <v>5</v>
      </c>
      <c r="K2326" s="564">
        <v>1</v>
      </c>
      <c r="L2326" s="564">
        <v>4</v>
      </c>
      <c r="M2326" s="561" t="s">
        <v>312</v>
      </c>
      <c r="N2326" s="651">
        <v>4304756706</v>
      </c>
      <c r="O2326" s="564" t="s">
        <v>3002</v>
      </c>
      <c r="P2326" s="564" t="s">
        <v>3006</v>
      </c>
      <c r="Q2326" s="564"/>
      <c r="R2326" s="564">
        <v>2</v>
      </c>
    </row>
    <row r="2327" spans="1:18" ht="15" customHeight="1" x14ac:dyDescent="0.25">
      <c r="A2327" s="564">
        <v>23</v>
      </c>
      <c r="B2327" s="564">
        <v>4</v>
      </c>
      <c r="C2327" s="564">
        <v>2</v>
      </c>
      <c r="D2327" s="564">
        <v>2</v>
      </c>
      <c r="E2327" s="564">
        <v>1</v>
      </c>
      <c r="F2327" s="564">
        <v>2</v>
      </c>
      <c r="G2327" s="564" t="s">
        <v>486</v>
      </c>
      <c r="H2327" s="564">
        <v>1357.56</v>
      </c>
      <c r="I2327" s="564">
        <v>1</v>
      </c>
      <c r="J2327" s="564">
        <v>5</v>
      </c>
      <c r="K2327" s="564">
        <v>26</v>
      </c>
      <c r="L2327" s="564">
        <v>4</v>
      </c>
      <c r="M2327" s="561" t="s">
        <v>312</v>
      </c>
      <c r="N2327" s="651">
        <v>4304756706</v>
      </c>
      <c r="O2327" s="564" t="s">
        <v>3002</v>
      </c>
      <c r="P2327" s="564" t="s">
        <v>3007</v>
      </c>
      <c r="Q2327" s="564"/>
      <c r="R2327" s="564">
        <v>2</v>
      </c>
    </row>
    <row r="2328" spans="1:18" ht="15" customHeight="1" x14ac:dyDescent="0.25">
      <c r="A2328" s="564">
        <v>23</v>
      </c>
      <c r="B2328" s="564">
        <v>4</v>
      </c>
      <c r="C2328" s="564">
        <v>2</v>
      </c>
      <c r="D2328" s="564">
        <v>2</v>
      </c>
      <c r="E2328" s="564">
        <v>1</v>
      </c>
      <c r="F2328" s="564">
        <v>2</v>
      </c>
      <c r="G2328" s="521" t="s">
        <v>488</v>
      </c>
      <c r="H2328" s="564">
        <v>1357.5</v>
      </c>
      <c r="I2328" s="564">
        <v>1</v>
      </c>
      <c r="J2328" s="564">
        <v>5</v>
      </c>
      <c r="K2328" s="564">
        <v>18</v>
      </c>
      <c r="L2328" s="564">
        <v>4</v>
      </c>
      <c r="M2328" s="561" t="s">
        <v>312</v>
      </c>
      <c r="N2328" s="651">
        <v>4304756706</v>
      </c>
      <c r="O2328" s="564" t="s">
        <v>3002</v>
      </c>
      <c r="P2328" s="564" t="s">
        <v>3008</v>
      </c>
      <c r="Q2328" s="564"/>
      <c r="R2328" s="564">
        <v>2</v>
      </c>
    </row>
    <row r="2329" spans="1:18" ht="15" customHeight="1" x14ac:dyDescent="0.25">
      <c r="A2329" s="564">
        <v>23</v>
      </c>
      <c r="B2329" s="564">
        <v>4</v>
      </c>
      <c r="C2329" s="564">
        <v>2</v>
      </c>
      <c r="D2329" s="564">
        <v>2</v>
      </c>
      <c r="E2329" s="564">
        <v>1</v>
      </c>
      <c r="F2329" s="564">
        <v>2</v>
      </c>
      <c r="G2329" s="564" t="s">
        <v>490</v>
      </c>
      <c r="H2329" s="564">
        <v>1307.3399999999999</v>
      </c>
      <c r="I2329" s="564">
        <v>0</v>
      </c>
      <c r="J2329" s="564">
        <v>5</v>
      </c>
      <c r="K2329" s="564">
        <v>38</v>
      </c>
      <c r="L2329" s="564">
        <v>2</v>
      </c>
      <c r="M2329" s="561" t="s">
        <v>312</v>
      </c>
      <c r="N2329" s="651">
        <v>4304756706</v>
      </c>
      <c r="O2329" s="564" t="s">
        <v>3002</v>
      </c>
      <c r="P2329" s="564" t="s">
        <v>3009</v>
      </c>
      <c r="Q2329" s="564"/>
      <c r="R2329" s="564">
        <v>2</v>
      </c>
    </row>
    <row r="2330" spans="1:18" ht="15" customHeight="1" x14ac:dyDescent="0.25">
      <c r="A2330" s="564">
        <v>23</v>
      </c>
      <c r="B2330" s="564">
        <v>4</v>
      </c>
      <c r="C2330" s="564">
        <v>2</v>
      </c>
      <c r="D2330" s="564">
        <v>2</v>
      </c>
      <c r="E2330" s="564">
        <v>1</v>
      </c>
      <c r="F2330" s="564">
        <v>2</v>
      </c>
      <c r="G2330" s="564" t="s">
        <v>493</v>
      </c>
      <c r="H2330" s="564">
        <v>763.23</v>
      </c>
      <c r="I2330" s="564">
        <v>1</v>
      </c>
      <c r="J2330" s="564">
        <v>46</v>
      </c>
      <c r="K2330" s="564">
        <v>51</v>
      </c>
      <c r="L2330" s="564">
        <v>4</v>
      </c>
      <c r="M2330" s="561" t="s">
        <v>312</v>
      </c>
      <c r="N2330" s="651">
        <v>4304756706</v>
      </c>
      <c r="O2330" s="564" t="s">
        <v>3002</v>
      </c>
      <c r="P2330" s="564" t="s">
        <v>3010</v>
      </c>
      <c r="Q2330" s="564"/>
      <c r="R2330" s="564">
        <v>2</v>
      </c>
    </row>
    <row r="2331" spans="1:18" ht="15" customHeight="1" x14ac:dyDescent="0.25">
      <c r="A2331" s="564">
        <v>23</v>
      </c>
      <c r="B2331" s="564">
        <v>4</v>
      </c>
      <c r="C2331" s="564">
        <v>2</v>
      </c>
      <c r="D2331" s="564">
        <v>2</v>
      </c>
      <c r="E2331" s="564">
        <v>1</v>
      </c>
      <c r="F2331" s="564">
        <v>2</v>
      </c>
      <c r="G2331" s="564" t="s">
        <v>474</v>
      </c>
      <c r="H2331" s="564">
        <v>1204.99</v>
      </c>
      <c r="I2331" s="564">
        <v>88</v>
      </c>
      <c r="J2331" s="564">
        <v>12</v>
      </c>
      <c r="K2331" s="564">
        <v>32</v>
      </c>
      <c r="L2331" s="564">
        <v>2</v>
      </c>
      <c r="M2331" s="561" t="s">
        <v>312</v>
      </c>
      <c r="N2331" s="651">
        <v>4304756706</v>
      </c>
      <c r="O2331" s="564" t="s">
        <v>3002</v>
      </c>
      <c r="P2331" s="564" t="s">
        <v>3011</v>
      </c>
      <c r="Q2331" s="564"/>
      <c r="R2331" s="564">
        <v>2</v>
      </c>
    </row>
    <row r="2332" spans="1:18" ht="15" customHeight="1" x14ac:dyDescent="0.25">
      <c r="A2332" s="564">
        <v>23</v>
      </c>
      <c r="B2332" s="564">
        <v>4</v>
      </c>
      <c r="C2332" s="564">
        <v>2</v>
      </c>
      <c r="D2332" s="564">
        <v>2</v>
      </c>
      <c r="E2332" s="564">
        <v>1</v>
      </c>
      <c r="F2332" s="564">
        <v>2</v>
      </c>
      <c r="G2332" s="521" t="s">
        <v>477</v>
      </c>
      <c r="H2332" s="564">
        <v>1318.01</v>
      </c>
      <c r="I2332" s="564">
        <v>88</v>
      </c>
      <c r="J2332" s="564">
        <v>9</v>
      </c>
      <c r="K2332" s="564">
        <v>24</v>
      </c>
      <c r="L2332" s="564">
        <v>3</v>
      </c>
      <c r="M2332" s="561" t="s">
        <v>312</v>
      </c>
      <c r="N2332" s="651">
        <v>4304756706</v>
      </c>
      <c r="O2332" s="564" t="s">
        <v>3002</v>
      </c>
      <c r="P2332" s="564" t="s">
        <v>3012</v>
      </c>
      <c r="Q2332" s="564"/>
      <c r="R2332" s="564">
        <v>2</v>
      </c>
    </row>
    <row r="2333" spans="1:18" ht="15" customHeight="1" x14ac:dyDescent="0.25">
      <c r="A2333" s="564">
        <v>23</v>
      </c>
      <c r="B2333" s="564">
        <v>4</v>
      </c>
      <c r="C2333" s="564">
        <v>2</v>
      </c>
      <c r="D2333" s="564">
        <v>2</v>
      </c>
      <c r="E2333" s="564">
        <v>1</v>
      </c>
      <c r="F2333" s="564">
        <v>2</v>
      </c>
      <c r="G2333" s="564" t="s">
        <v>479</v>
      </c>
      <c r="H2333" s="564">
        <v>1318.03</v>
      </c>
      <c r="I2333" s="564">
        <v>88</v>
      </c>
      <c r="J2333" s="564">
        <v>9</v>
      </c>
      <c r="K2333" s="564">
        <v>30</v>
      </c>
      <c r="L2333" s="564">
        <v>3</v>
      </c>
      <c r="M2333" s="561" t="s">
        <v>312</v>
      </c>
      <c r="N2333" s="651">
        <v>4304756706</v>
      </c>
      <c r="O2333" s="564" t="s">
        <v>3002</v>
      </c>
      <c r="P2333" s="564" t="s">
        <v>3013</v>
      </c>
      <c r="Q2333" s="564"/>
      <c r="R2333" s="564">
        <v>2</v>
      </c>
    </row>
    <row r="2334" spans="1:18" ht="15" customHeight="1" x14ac:dyDescent="0.25">
      <c r="A2334" s="564">
        <v>23</v>
      </c>
      <c r="B2334" s="564">
        <v>4</v>
      </c>
      <c r="C2334" s="564">
        <v>2</v>
      </c>
      <c r="D2334" s="564">
        <v>2</v>
      </c>
      <c r="E2334" s="564">
        <v>1</v>
      </c>
      <c r="F2334" s="564">
        <v>2</v>
      </c>
      <c r="G2334" s="564" t="s">
        <v>485</v>
      </c>
      <c r="H2334" s="564">
        <v>1386.61</v>
      </c>
      <c r="I2334" s="564">
        <v>87</v>
      </c>
      <c r="J2334" s="564">
        <v>30</v>
      </c>
      <c r="K2334" s="564">
        <v>54</v>
      </c>
      <c r="L2334" s="564">
        <v>3</v>
      </c>
      <c r="M2334" s="561" t="s">
        <v>312</v>
      </c>
      <c r="N2334" s="651">
        <v>4304756706</v>
      </c>
      <c r="O2334" s="564" t="s">
        <v>3002</v>
      </c>
      <c r="P2334" s="564" t="s">
        <v>3014</v>
      </c>
      <c r="Q2334" s="564"/>
      <c r="R2334" s="564">
        <v>2</v>
      </c>
    </row>
    <row r="2335" spans="1:18" ht="15" customHeight="1" x14ac:dyDescent="0.25">
      <c r="A2335" s="564">
        <v>23</v>
      </c>
      <c r="B2335" s="564">
        <v>4</v>
      </c>
      <c r="C2335" s="564">
        <v>2</v>
      </c>
      <c r="D2335" s="564">
        <v>2</v>
      </c>
      <c r="E2335" s="564">
        <v>1</v>
      </c>
      <c r="F2335" s="564">
        <v>2</v>
      </c>
      <c r="G2335" s="564" t="s">
        <v>487</v>
      </c>
      <c r="H2335" s="564">
        <v>1327.585</v>
      </c>
      <c r="I2335" s="564">
        <v>88</v>
      </c>
      <c r="J2335" s="564">
        <v>57</v>
      </c>
      <c r="K2335" s="564">
        <v>10</v>
      </c>
      <c r="L2335" s="564">
        <v>3</v>
      </c>
      <c r="M2335" s="561" t="s">
        <v>312</v>
      </c>
      <c r="N2335" s="651">
        <v>4304756706</v>
      </c>
      <c r="O2335" s="564" t="s">
        <v>3002</v>
      </c>
      <c r="P2335" s="564" t="s">
        <v>3015</v>
      </c>
      <c r="Q2335" s="564"/>
      <c r="R2335" s="564">
        <v>2</v>
      </c>
    </row>
    <row r="2336" spans="1:18" ht="15" customHeight="1" x14ac:dyDescent="0.25">
      <c r="A2336" s="564">
        <v>23</v>
      </c>
      <c r="B2336" s="564">
        <v>4</v>
      </c>
      <c r="C2336" s="564">
        <v>2</v>
      </c>
      <c r="D2336" s="564">
        <v>2</v>
      </c>
      <c r="E2336" s="564">
        <v>1</v>
      </c>
      <c r="F2336" s="564">
        <v>2</v>
      </c>
      <c r="G2336" s="521" t="s">
        <v>489</v>
      </c>
      <c r="H2336" s="564">
        <v>1327.585</v>
      </c>
      <c r="I2336" s="564">
        <v>88</v>
      </c>
      <c r="J2336" s="564">
        <v>57</v>
      </c>
      <c r="K2336" s="564">
        <v>10</v>
      </c>
      <c r="L2336" s="564">
        <v>3</v>
      </c>
      <c r="M2336" s="561" t="s">
        <v>312</v>
      </c>
      <c r="N2336" s="651">
        <v>4304756706</v>
      </c>
      <c r="O2336" s="564" t="s">
        <v>3002</v>
      </c>
      <c r="P2336" s="564" t="s">
        <v>3016</v>
      </c>
      <c r="Q2336" s="564"/>
      <c r="R2336" s="564">
        <v>2</v>
      </c>
    </row>
    <row r="2337" spans="1:18" ht="15" customHeight="1" x14ac:dyDescent="0.25">
      <c r="A2337" s="564">
        <v>23</v>
      </c>
      <c r="B2337" s="564">
        <v>4</v>
      </c>
      <c r="C2337" s="564">
        <v>2</v>
      </c>
      <c r="D2337" s="564">
        <v>2</v>
      </c>
      <c r="E2337" s="564">
        <v>1</v>
      </c>
      <c r="F2337" s="564">
        <v>2</v>
      </c>
      <c r="G2337" s="564" t="s">
        <v>491</v>
      </c>
      <c r="H2337" s="564">
        <v>1327.67</v>
      </c>
      <c r="I2337" s="564">
        <v>88</v>
      </c>
      <c r="J2337" s="564">
        <v>56</v>
      </c>
      <c r="K2337" s="564">
        <v>58</v>
      </c>
      <c r="L2337" s="564">
        <v>3</v>
      </c>
      <c r="M2337" s="561" t="s">
        <v>312</v>
      </c>
      <c r="N2337" s="651">
        <v>4304756706</v>
      </c>
      <c r="O2337" s="564" t="s">
        <v>3002</v>
      </c>
      <c r="P2337" s="564" t="s">
        <v>3017</v>
      </c>
      <c r="Q2337" s="564"/>
      <c r="R2337" s="564">
        <v>2</v>
      </c>
    </row>
    <row r="2338" spans="1:18" ht="15" customHeight="1" x14ac:dyDescent="0.25">
      <c r="A2338" s="564">
        <v>23</v>
      </c>
      <c r="B2338" s="564">
        <v>4</v>
      </c>
      <c r="C2338" s="564">
        <v>2</v>
      </c>
      <c r="D2338" s="564">
        <v>2</v>
      </c>
      <c r="E2338" s="564">
        <v>1</v>
      </c>
      <c r="F2338" s="564">
        <v>2</v>
      </c>
      <c r="G2338" s="564" t="s">
        <v>494</v>
      </c>
      <c r="H2338" s="564">
        <v>1226.8399999999999</v>
      </c>
      <c r="I2338" s="564">
        <v>88</v>
      </c>
      <c r="J2338" s="564">
        <v>56</v>
      </c>
      <c r="K2338" s="564">
        <v>56</v>
      </c>
      <c r="L2338" s="564">
        <v>3</v>
      </c>
      <c r="M2338" s="561" t="s">
        <v>312</v>
      </c>
      <c r="N2338" s="651">
        <v>4304756706</v>
      </c>
      <c r="O2338" s="564" t="s">
        <v>3002</v>
      </c>
      <c r="P2338" s="564" t="s">
        <v>3018</v>
      </c>
      <c r="Q2338" s="564"/>
      <c r="R2338" s="564">
        <v>2</v>
      </c>
    </row>
    <row r="2339" spans="1:18" ht="15" customHeight="1" x14ac:dyDescent="0.25">
      <c r="A2339" s="508">
        <v>24</v>
      </c>
      <c r="B2339" s="508">
        <v>2</v>
      </c>
      <c r="C2339" s="508">
        <v>2</v>
      </c>
      <c r="D2339" s="508">
        <v>3</v>
      </c>
      <c r="E2339" s="508">
        <v>2</v>
      </c>
      <c r="F2339" s="508">
        <v>2</v>
      </c>
      <c r="G2339" s="508" t="s">
        <v>473</v>
      </c>
      <c r="H2339" s="508">
        <v>1332.125</v>
      </c>
      <c r="I2339" s="508">
        <v>0</v>
      </c>
      <c r="J2339" s="508">
        <v>51</v>
      </c>
      <c r="K2339" s="508">
        <v>52</v>
      </c>
      <c r="L2339" s="508">
        <v>2</v>
      </c>
      <c r="M2339" s="505" t="s">
        <v>137</v>
      </c>
      <c r="N2339" s="652">
        <v>43013537920000</v>
      </c>
      <c r="O2339" s="553" t="s">
        <v>2805</v>
      </c>
      <c r="P2339" s="650" t="s">
        <v>3019</v>
      </c>
      <c r="Q2339" s="564"/>
      <c r="R2339" s="564">
        <v>1</v>
      </c>
    </row>
    <row r="2340" spans="1:18" ht="15" customHeight="1" x14ac:dyDescent="0.25">
      <c r="A2340" s="508">
        <v>24</v>
      </c>
      <c r="B2340" s="508">
        <v>2</v>
      </c>
      <c r="C2340" s="508">
        <v>2</v>
      </c>
      <c r="D2340" s="508">
        <v>3</v>
      </c>
      <c r="E2340" s="508">
        <v>2</v>
      </c>
      <c r="F2340" s="508">
        <v>2</v>
      </c>
      <c r="G2340" s="509" t="s">
        <v>476</v>
      </c>
      <c r="H2340" s="508">
        <v>1332.125</v>
      </c>
      <c r="I2340" s="508">
        <v>0</v>
      </c>
      <c r="J2340" s="508">
        <v>51</v>
      </c>
      <c r="K2340" s="508">
        <v>52</v>
      </c>
      <c r="L2340" s="508">
        <v>2</v>
      </c>
      <c r="M2340" s="505" t="s">
        <v>137</v>
      </c>
      <c r="N2340" s="652">
        <v>43013537920000</v>
      </c>
      <c r="O2340" s="553" t="s">
        <v>2805</v>
      </c>
      <c r="P2340" s="650" t="s">
        <v>3020</v>
      </c>
      <c r="Q2340" s="564"/>
      <c r="R2340" s="564">
        <v>1</v>
      </c>
    </row>
    <row r="2341" spans="1:18" ht="15" customHeight="1" x14ac:dyDescent="0.25">
      <c r="A2341" s="508">
        <v>24</v>
      </c>
      <c r="B2341" s="508">
        <v>2</v>
      </c>
      <c r="C2341" s="508">
        <v>2</v>
      </c>
      <c r="D2341" s="508">
        <v>3</v>
      </c>
      <c r="E2341" s="508">
        <v>2</v>
      </c>
      <c r="F2341" s="508">
        <v>2</v>
      </c>
      <c r="G2341" s="508" t="s">
        <v>478</v>
      </c>
      <c r="H2341" s="508">
        <v>1332.2249999999999</v>
      </c>
      <c r="I2341" s="508">
        <v>0</v>
      </c>
      <c r="J2341" s="508">
        <v>51</v>
      </c>
      <c r="K2341" s="508">
        <v>55</v>
      </c>
      <c r="L2341" s="508">
        <v>2</v>
      </c>
      <c r="M2341" s="505" t="s">
        <v>137</v>
      </c>
      <c r="N2341" s="652">
        <v>43013537920000</v>
      </c>
      <c r="O2341" s="553" t="s">
        <v>2805</v>
      </c>
      <c r="P2341" s="650" t="s">
        <v>3021</v>
      </c>
      <c r="Q2341" s="564"/>
      <c r="R2341" s="564">
        <v>1</v>
      </c>
    </row>
    <row r="2342" spans="1:18" ht="15" customHeight="1" x14ac:dyDescent="0.25">
      <c r="A2342" s="508">
        <v>24</v>
      </c>
      <c r="B2342" s="508">
        <v>2</v>
      </c>
      <c r="C2342" s="508">
        <v>2</v>
      </c>
      <c r="D2342" s="508">
        <v>3</v>
      </c>
      <c r="E2342" s="508">
        <v>2</v>
      </c>
      <c r="F2342" s="508">
        <v>2</v>
      </c>
      <c r="G2342" s="508" t="s">
        <v>484</v>
      </c>
      <c r="H2342" s="508">
        <v>1332.2249999999999</v>
      </c>
      <c r="I2342" s="508">
        <v>0</v>
      </c>
      <c r="J2342" s="508">
        <v>51</v>
      </c>
      <c r="K2342" s="508">
        <v>55</v>
      </c>
      <c r="L2342" s="508">
        <v>2</v>
      </c>
      <c r="M2342" s="505" t="s">
        <v>137</v>
      </c>
      <c r="N2342" s="652">
        <v>43013537920000</v>
      </c>
      <c r="O2342" s="553" t="s">
        <v>2805</v>
      </c>
      <c r="P2342" s="650" t="s">
        <v>3022</v>
      </c>
      <c r="Q2342" s="564"/>
      <c r="R2342" s="564">
        <v>1</v>
      </c>
    </row>
    <row r="2343" spans="1:18" ht="15" customHeight="1" x14ac:dyDescent="0.25">
      <c r="A2343" s="508">
        <v>24</v>
      </c>
      <c r="B2343" s="508">
        <v>2</v>
      </c>
      <c r="C2343" s="508">
        <v>2</v>
      </c>
      <c r="D2343" s="508">
        <v>3</v>
      </c>
      <c r="E2343" s="508">
        <v>2</v>
      </c>
      <c r="F2343" s="508">
        <v>2</v>
      </c>
      <c r="G2343" s="508" t="s">
        <v>486</v>
      </c>
      <c r="H2343" s="508">
        <v>1321.395</v>
      </c>
      <c r="I2343" s="508">
        <v>0</v>
      </c>
      <c r="J2343" s="508">
        <v>17</v>
      </c>
      <c r="K2343" s="508">
        <v>15</v>
      </c>
      <c r="L2343" s="508">
        <v>4</v>
      </c>
      <c r="M2343" s="505" t="s">
        <v>137</v>
      </c>
      <c r="N2343" s="652">
        <v>43013537920000</v>
      </c>
      <c r="O2343" s="553" t="s">
        <v>2805</v>
      </c>
      <c r="P2343" s="650" t="s">
        <v>3023</v>
      </c>
      <c r="Q2343" s="564"/>
      <c r="R2343" s="564">
        <v>1</v>
      </c>
    </row>
    <row r="2344" spans="1:18" ht="15" customHeight="1" x14ac:dyDescent="0.25">
      <c r="A2344" s="508">
        <v>24</v>
      </c>
      <c r="B2344" s="508">
        <v>2</v>
      </c>
      <c r="C2344" s="508">
        <v>2</v>
      </c>
      <c r="D2344" s="508">
        <v>3</v>
      </c>
      <c r="E2344" s="508">
        <v>2</v>
      </c>
      <c r="F2344" s="508">
        <v>2</v>
      </c>
      <c r="G2344" s="509" t="s">
        <v>488</v>
      </c>
      <c r="H2344" s="508">
        <v>1321.395</v>
      </c>
      <c r="I2344" s="508">
        <v>0</v>
      </c>
      <c r="J2344" s="508">
        <v>17</v>
      </c>
      <c r="K2344" s="508">
        <v>15</v>
      </c>
      <c r="L2344" s="508">
        <v>4</v>
      </c>
      <c r="M2344" s="505" t="s">
        <v>137</v>
      </c>
      <c r="N2344" s="652">
        <v>43013537920000</v>
      </c>
      <c r="O2344" s="553" t="s">
        <v>2805</v>
      </c>
      <c r="P2344" s="650" t="s">
        <v>3024</v>
      </c>
      <c r="Q2344" s="564"/>
      <c r="R2344" s="564">
        <v>1</v>
      </c>
    </row>
    <row r="2345" spans="1:18" ht="15" customHeight="1" x14ac:dyDescent="0.25">
      <c r="A2345" s="508">
        <v>24</v>
      </c>
      <c r="B2345" s="508">
        <v>2</v>
      </c>
      <c r="C2345" s="508">
        <v>2</v>
      </c>
      <c r="D2345" s="508">
        <v>3</v>
      </c>
      <c r="E2345" s="508">
        <v>2</v>
      </c>
      <c r="F2345" s="508">
        <v>2</v>
      </c>
      <c r="G2345" s="508" t="s">
        <v>490</v>
      </c>
      <c r="H2345" s="508">
        <v>1321.31</v>
      </c>
      <c r="I2345" s="508">
        <v>0</v>
      </c>
      <c r="J2345" s="508">
        <v>2</v>
      </c>
      <c r="K2345" s="508">
        <v>32</v>
      </c>
      <c r="L2345" s="508">
        <v>4</v>
      </c>
      <c r="M2345" s="505" t="s">
        <v>137</v>
      </c>
      <c r="N2345" s="652">
        <v>43013537920000</v>
      </c>
      <c r="O2345" s="553" t="s">
        <v>2805</v>
      </c>
      <c r="P2345" s="650" t="s">
        <v>3025</v>
      </c>
      <c r="Q2345" s="564"/>
      <c r="R2345" s="564">
        <v>1</v>
      </c>
    </row>
    <row r="2346" spans="1:18" ht="15" customHeight="1" x14ac:dyDescent="0.25">
      <c r="A2346" s="508">
        <v>24</v>
      </c>
      <c r="B2346" s="508">
        <v>2</v>
      </c>
      <c r="C2346" s="508">
        <v>2</v>
      </c>
      <c r="D2346" s="508">
        <v>3</v>
      </c>
      <c r="E2346" s="508">
        <v>2</v>
      </c>
      <c r="F2346" s="508">
        <v>2</v>
      </c>
      <c r="G2346" s="508" t="s">
        <v>493</v>
      </c>
      <c r="H2346" s="508">
        <v>1321.31</v>
      </c>
      <c r="I2346" s="508">
        <v>0</v>
      </c>
      <c r="J2346" s="508">
        <v>2</v>
      </c>
      <c r="K2346" s="508">
        <v>32</v>
      </c>
      <c r="L2346" s="508">
        <v>4</v>
      </c>
      <c r="M2346" s="505" t="s">
        <v>137</v>
      </c>
      <c r="N2346" s="652">
        <v>43013537920000</v>
      </c>
      <c r="O2346" s="553" t="s">
        <v>2805</v>
      </c>
      <c r="P2346" s="650" t="s">
        <v>3026</v>
      </c>
      <c r="Q2346" s="564"/>
      <c r="R2346" s="564">
        <v>1</v>
      </c>
    </row>
    <row r="2347" spans="1:18" ht="15" customHeight="1" x14ac:dyDescent="0.25">
      <c r="A2347" s="508">
        <v>24</v>
      </c>
      <c r="B2347" s="508">
        <v>2</v>
      </c>
      <c r="C2347" s="508">
        <v>2</v>
      </c>
      <c r="D2347" s="508">
        <v>3</v>
      </c>
      <c r="E2347" s="508">
        <v>2</v>
      </c>
      <c r="F2347" s="508">
        <v>2</v>
      </c>
      <c r="G2347" s="508" t="s">
        <v>474</v>
      </c>
      <c r="H2347" s="508">
        <v>1312.46</v>
      </c>
      <c r="I2347" s="508">
        <v>89</v>
      </c>
      <c r="J2347" s="508">
        <v>47</v>
      </c>
      <c r="K2347" s="508">
        <v>39</v>
      </c>
      <c r="L2347" s="508">
        <v>4</v>
      </c>
      <c r="M2347" s="505" t="s">
        <v>137</v>
      </c>
      <c r="N2347" s="652">
        <v>43013537920000</v>
      </c>
      <c r="O2347" s="553" t="s">
        <v>2805</v>
      </c>
      <c r="P2347" s="650" t="s">
        <v>3027</v>
      </c>
      <c r="Q2347" s="564"/>
      <c r="R2347" s="564">
        <v>1</v>
      </c>
    </row>
    <row r="2348" spans="1:18" ht="15" customHeight="1" x14ac:dyDescent="0.25">
      <c r="A2348" s="508">
        <v>24</v>
      </c>
      <c r="B2348" s="508">
        <v>2</v>
      </c>
      <c r="C2348" s="508">
        <v>2</v>
      </c>
      <c r="D2348" s="508">
        <v>3</v>
      </c>
      <c r="E2348" s="508">
        <v>2</v>
      </c>
      <c r="F2348" s="508">
        <v>2</v>
      </c>
      <c r="G2348" s="509" t="s">
        <v>477</v>
      </c>
      <c r="H2348" s="508">
        <v>1314.47</v>
      </c>
      <c r="I2348" s="508">
        <v>89</v>
      </c>
      <c r="J2348" s="508">
        <v>47</v>
      </c>
      <c r="K2348" s="508">
        <v>22</v>
      </c>
      <c r="L2348" s="508">
        <v>4</v>
      </c>
      <c r="M2348" s="505" t="s">
        <v>137</v>
      </c>
      <c r="N2348" s="652">
        <v>43013537920000</v>
      </c>
      <c r="O2348" s="553" t="s">
        <v>2805</v>
      </c>
      <c r="P2348" s="650" t="s">
        <v>3028</v>
      </c>
      <c r="Q2348" s="564"/>
      <c r="R2348" s="564">
        <v>1</v>
      </c>
    </row>
    <row r="2349" spans="1:18" ht="15" customHeight="1" x14ac:dyDescent="0.25">
      <c r="A2349" s="508">
        <v>24</v>
      </c>
      <c r="B2349" s="508">
        <v>2</v>
      </c>
      <c r="C2349" s="508">
        <v>2</v>
      </c>
      <c r="D2349" s="508">
        <v>3</v>
      </c>
      <c r="E2349" s="508">
        <v>2</v>
      </c>
      <c r="F2349" s="508">
        <v>2</v>
      </c>
      <c r="G2349" s="508" t="s">
        <v>479</v>
      </c>
      <c r="H2349" s="508">
        <v>1312.69</v>
      </c>
      <c r="I2349" s="508">
        <v>89</v>
      </c>
      <c r="J2349" s="508">
        <v>48</v>
      </c>
      <c r="K2349" s="508">
        <v>47</v>
      </c>
      <c r="L2349" s="508">
        <v>4</v>
      </c>
      <c r="M2349" s="505" t="s">
        <v>137</v>
      </c>
      <c r="N2349" s="652">
        <v>43013537920000</v>
      </c>
      <c r="O2349" s="553" t="s">
        <v>2805</v>
      </c>
      <c r="P2349" s="650" t="s">
        <v>3029</v>
      </c>
      <c r="Q2349" s="564"/>
      <c r="R2349" s="564">
        <v>1</v>
      </c>
    </row>
    <row r="2350" spans="1:18" ht="15" customHeight="1" x14ac:dyDescent="0.25">
      <c r="A2350" s="508">
        <v>24</v>
      </c>
      <c r="B2350" s="508">
        <v>2</v>
      </c>
      <c r="C2350" s="508">
        <v>2</v>
      </c>
      <c r="D2350" s="508">
        <v>3</v>
      </c>
      <c r="E2350" s="508">
        <v>2</v>
      </c>
      <c r="F2350" s="508">
        <v>2</v>
      </c>
      <c r="G2350" s="508" t="s">
        <v>485</v>
      </c>
      <c r="H2350" s="508">
        <v>1312.69</v>
      </c>
      <c r="I2350" s="508">
        <v>89</v>
      </c>
      <c r="J2350" s="508">
        <v>48</v>
      </c>
      <c r="K2350" s="508">
        <v>47</v>
      </c>
      <c r="L2350" s="508">
        <v>4</v>
      </c>
      <c r="M2350" s="505" t="s">
        <v>137</v>
      </c>
      <c r="N2350" s="652">
        <v>43013537920000</v>
      </c>
      <c r="O2350" s="553" t="s">
        <v>2805</v>
      </c>
      <c r="P2350" s="650" t="s">
        <v>3030</v>
      </c>
      <c r="Q2350" s="564"/>
      <c r="R2350" s="564">
        <v>1</v>
      </c>
    </row>
    <row r="2351" spans="1:18" ht="15" customHeight="1" x14ac:dyDescent="0.25">
      <c r="A2351" s="508">
        <v>24</v>
      </c>
      <c r="B2351" s="508">
        <v>2</v>
      </c>
      <c r="C2351" s="508">
        <v>2</v>
      </c>
      <c r="D2351" s="508">
        <v>3</v>
      </c>
      <c r="E2351" s="508">
        <v>2</v>
      </c>
      <c r="F2351" s="508">
        <v>2</v>
      </c>
      <c r="G2351" s="508" t="s">
        <v>487</v>
      </c>
      <c r="H2351" s="508">
        <v>1328.885</v>
      </c>
      <c r="I2351" s="508">
        <v>89</v>
      </c>
      <c r="J2351" s="508">
        <v>44</v>
      </c>
      <c r="K2351" s="508">
        <v>5</v>
      </c>
      <c r="L2351" s="508">
        <v>3</v>
      </c>
      <c r="M2351" s="505" t="s">
        <v>137</v>
      </c>
      <c r="N2351" s="652">
        <v>43013537920000</v>
      </c>
      <c r="O2351" s="553" t="s">
        <v>2805</v>
      </c>
      <c r="P2351" s="650" t="s">
        <v>3031</v>
      </c>
      <c r="Q2351" s="564"/>
      <c r="R2351" s="564">
        <v>1</v>
      </c>
    </row>
    <row r="2352" spans="1:18" ht="15" customHeight="1" x14ac:dyDescent="0.25">
      <c r="A2352" s="553">
        <v>24</v>
      </c>
      <c r="B2352" s="553">
        <v>2</v>
      </c>
      <c r="C2352" s="553">
        <v>2</v>
      </c>
      <c r="D2352" s="553">
        <v>3</v>
      </c>
      <c r="E2352" s="553">
        <v>2</v>
      </c>
      <c r="F2352" s="553">
        <v>2</v>
      </c>
      <c r="G2352" s="502" t="s">
        <v>489</v>
      </c>
      <c r="H2352" s="553">
        <v>1328.885</v>
      </c>
      <c r="I2352" s="553">
        <v>89</v>
      </c>
      <c r="J2352" s="553">
        <v>44</v>
      </c>
      <c r="K2352" s="553">
        <v>5</v>
      </c>
      <c r="L2352" s="553">
        <v>3</v>
      </c>
      <c r="M2352" s="505" t="s">
        <v>137</v>
      </c>
      <c r="N2352" s="656">
        <v>43013537920000</v>
      </c>
      <c r="O2352" s="553" t="s">
        <v>2805</v>
      </c>
      <c r="P2352" s="650" t="s">
        <v>3032</v>
      </c>
      <c r="Q2352" s="564"/>
      <c r="R2352" s="564">
        <v>1</v>
      </c>
    </row>
    <row r="2353" spans="1:18" ht="15" customHeight="1" x14ac:dyDescent="0.25">
      <c r="A2353" s="553">
        <v>24</v>
      </c>
      <c r="B2353" s="553">
        <v>2</v>
      </c>
      <c r="C2353" s="553">
        <v>2</v>
      </c>
      <c r="D2353" s="553">
        <v>3</v>
      </c>
      <c r="E2353" s="553">
        <v>2</v>
      </c>
      <c r="F2353" s="553">
        <v>2</v>
      </c>
      <c r="G2353" s="553" t="s">
        <v>491</v>
      </c>
      <c r="H2353" s="553">
        <v>1328.885</v>
      </c>
      <c r="I2353" s="553">
        <v>89</v>
      </c>
      <c r="J2353" s="553">
        <v>44</v>
      </c>
      <c r="K2353" s="553">
        <v>5</v>
      </c>
      <c r="L2353" s="553">
        <v>3</v>
      </c>
      <c r="M2353" s="505" t="s">
        <v>137</v>
      </c>
      <c r="N2353" s="656">
        <v>43013537920000</v>
      </c>
      <c r="O2353" s="553" t="s">
        <v>2805</v>
      </c>
      <c r="P2353" s="650" t="s">
        <v>3033</v>
      </c>
      <c r="Q2353" s="564"/>
      <c r="R2353" s="564">
        <v>1</v>
      </c>
    </row>
    <row r="2354" spans="1:18" ht="15" customHeight="1" x14ac:dyDescent="0.25">
      <c r="A2354" s="553">
        <v>24</v>
      </c>
      <c r="B2354" s="553">
        <v>2</v>
      </c>
      <c r="C2354" s="553">
        <v>2</v>
      </c>
      <c r="D2354" s="553">
        <v>3</v>
      </c>
      <c r="E2354" s="553">
        <v>2</v>
      </c>
      <c r="F2354" s="553">
        <v>2</v>
      </c>
      <c r="G2354" s="553" t="s">
        <v>494</v>
      </c>
      <c r="H2354" s="553">
        <v>1328.885</v>
      </c>
      <c r="I2354" s="553">
        <v>89</v>
      </c>
      <c r="J2354" s="553">
        <v>44</v>
      </c>
      <c r="K2354" s="553">
        <v>5</v>
      </c>
      <c r="L2354" s="553">
        <v>3</v>
      </c>
      <c r="M2354" s="505" t="s">
        <v>137</v>
      </c>
      <c r="N2354" s="656">
        <v>43013537920000</v>
      </c>
      <c r="O2354" s="553" t="s">
        <v>2805</v>
      </c>
      <c r="P2354" s="650" t="s">
        <v>3034</v>
      </c>
      <c r="Q2354" s="564"/>
      <c r="R2354" s="564">
        <v>1</v>
      </c>
    </row>
    <row r="2355" spans="1:18" ht="15" customHeight="1" x14ac:dyDescent="0.25">
      <c r="A2355" s="553">
        <v>24</v>
      </c>
      <c r="B2355" s="553">
        <v>3</v>
      </c>
      <c r="C2355" s="553">
        <v>2</v>
      </c>
      <c r="D2355" s="553">
        <v>1</v>
      </c>
      <c r="E2355" s="553">
        <v>2</v>
      </c>
      <c r="F2355" s="553">
        <v>2</v>
      </c>
      <c r="G2355" s="553" t="s">
        <v>473</v>
      </c>
      <c r="H2355" s="553">
        <v>1308.115</v>
      </c>
      <c r="I2355" s="553">
        <v>0</v>
      </c>
      <c r="J2355" s="553">
        <v>4</v>
      </c>
      <c r="K2355" s="553">
        <v>26</v>
      </c>
      <c r="L2355" s="553">
        <v>2</v>
      </c>
      <c r="M2355" s="505" t="s">
        <v>137</v>
      </c>
      <c r="N2355" s="514">
        <v>43013534750000</v>
      </c>
      <c r="O2355" s="553" t="s">
        <v>3035</v>
      </c>
      <c r="P2355" s="650" t="s">
        <v>3036</v>
      </c>
      <c r="Q2355" s="564"/>
      <c r="R2355" s="564">
        <v>2</v>
      </c>
    </row>
    <row r="2356" spans="1:18" ht="15" customHeight="1" x14ac:dyDescent="0.25">
      <c r="A2356" s="553">
        <v>24</v>
      </c>
      <c r="B2356" s="553">
        <v>3</v>
      </c>
      <c r="C2356" s="553">
        <v>2</v>
      </c>
      <c r="D2356" s="553">
        <v>1</v>
      </c>
      <c r="E2356" s="553">
        <v>2</v>
      </c>
      <c r="F2356" s="553">
        <v>2</v>
      </c>
      <c r="G2356" s="502" t="s">
        <v>476</v>
      </c>
      <c r="H2356" s="553">
        <v>1308.115</v>
      </c>
      <c r="I2356" s="553">
        <v>0</v>
      </c>
      <c r="J2356" s="553">
        <v>4</v>
      </c>
      <c r="K2356" s="553">
        <v>26</v>
      </c>
      <c r="L2356" s="553">
        <v>2</v>
      </c>
      <c r="M2356" s="505" t="s">
        <v>137</v>
      </c>
      <c r="N2356" s="514">
        <v>43013534750000</v>
      </c>
      <c r="O2356" s="553" t="s">
        <v>3035</v>
      </c>
      <c r="P2356" s="650" t="s">
        <v>3037</v>
      </c>
      <c r="Q2356" s="564"/>
      <c r="R2356" s="564">
        <v>2</v>
      </c>
    </row>
    <row r="2357" spans="1:18" ht="15" customHeight="1" x14ac:dyDescent="0.25">
      <c r="A2357" s="553">
        <v>24</v>
      </c>
      <c r="B2357" s="553">
        <v>3</v>
      </c>
      <c r="C2357" s="553">
        <v>2</v>
      </c>
      <c r="D2357" s="553">
        <v>1</v>
      </c>
      <c r="E2357" s="553">
        <v>2</v>
      </c>
      <c r="F2357" s="553">
        <v>2</v>
      </c>
      <c r="G2357" s="553" t="s">
        <v>478</v>
      </c>
      <c r="H2357" s="553">
        <v>1322.04</v>
      </c>
      <c r="I2357" s="553">
        <v>0</v>
      </c>
      <c r="J2357" s="553">
        <v>5</v>
      </c>
      <c r="K2357" s="553">
        <v>26</v>
      </c>
      <c r="L2357" s="553">
        <v>4</v>
      </c>
      <c r="M2357" s="505" t="s">
        <v>137</v>
      </c>
      <c r="N2357" s="514">
        <v>43013534750000</v>
      </c>
      <c r="O2357" s="553" t="s">
        <v>3035</v>
      </c>
      <c r="P2357" s="650" t="s">
        <v>3038</v>
      </c>
      <c r="Q2357" s="564"/>
      <c r="R2357" s="564">
        <v>2</v>
      </c>
    </row>
    <row r="2358" spans="1:18" ht="15" customHeight="1" x14ac:dyDescent="0.25">
      <c r="A2358" s="553">
        <v>24</v>
      </c>
      <c r="B2358" s="553">
        <v>3</v>
      </c>
      <c r="C2358" s="553">
        <v>2</v>
      </c>
      <c r="D2358" s="553">
        <v>1</v>
      </c>
      <c r="E2358" s="553">
        <v>2</v>
      </c>
      <c r="F2358" s="553">
        <v>2</v>
      </c>
      <c r="G2358" s="553" t="s">
        <v>484</v>
      </c>
      <c r="H2358" s="553">
        <v>1322.04</v>
      </c>
      <c r="I2358" s="553">
        <v>0</v>
      </c>
      <c r="J2358" s="553">
        <v>5</v>
      </c>
      <c r="K2358" s="553">
        <v>26</v>
      </c>
      <c r="L2358" s="553">
        <v>4</v>
      </c>
      <c r="M2358" s="505" t="s">
        <v>137</v>
      </c>
      <c r="N2358" s="514">
        <v>43013534750000</v>
      </c>
      <c r="O2358" s="553" t="s">
        <v>3035</v>
      </c>
      <c r="P2358" s="650" t="s">
        <v>3039</v>
      </c>
      <c r="Q2358" s="564"/>
      <c r="R2358" s="564">
        <v>2</v>
      </c>
    </row>
    <row r="2359" spans="1:18" ht="15" customHeight="1" x14ac:dyDescent="0.25">
      <c r="A2359" s="553">
        <v>24</v>
      </c>
      <c r="B2359" s="553">
        <v>3</v>
      </c>
      <c r="C2359" s="553">
        <v>2</v>
      </c>
      <c r="D2359" s="553">
        <v>1</v>
      </c>
      <c r="E2359" s="553">
        <v>2</v>
      </c>
      <c r="F2359" s="553">
        <v>2</v>
      </c>
      <c r="G2359" s="553" t="s">
        <v>486</v>
      </c>
      <c r="H2359" s="553">
        <v>1320.875</v>
      </c>
      <c r="I2359" s="553">
        <v>0</v>
      </c>
      <c r="J2359" s="553">
        <v>2</v>
      </c>
      <c r="K2359" s="553">
        <v>22</v>
      </c>
      <c r="L2359" s="553">
        <v>4</v>
      </c>
      <c r="M2359" s="505" t="s">
        <v>137</v>
      </c>
      <c r="N2359" s="514">
        <v>43013534750000</v>
      </c>
      <c r="O2359" s="553" t="s">
        <v>3035</v>
      </c>
      <c r="P2359" s="650" t="s">
        <v>3040</v>
      </c>
      <c r="Q2359" s="564"/>
      <c r="R2359" s="564">
        <v>2</v>
      </c>
    </row>
    <row r="2360" spans="1:18" ht="15" customHeight="1" x14ac:dyDescent="0.25">
      <c r="A2360" s="553">
        <v>24</v>
      </c>
      <c r="B2360" s="553">
        <v>3</v>
      </c>
      <c r="C2360" s="553">
        <v>2</v>
      </c>
      <c r="D2360" s="553">
        <v>1</v>
      </c>
      <c r="E2360" s="553">
        <v>2</v>
      </c>
      <c r="F2360" s="553">
        <v>2</v>
      </c>
      <c r="G2360" s="502" t="s">
        <v>488</v>
      </c>
      <c r="H2360" s="553">
        <v>1320.875</v>
      </c>
      <c r="I2360" s="553">
        <v>0</v>
      </c>
      <c r="J2360" s="553">
        <v>2</v>
      </c>
      <c r="K2360" s="553">
        <v>22</v>
      </c>
      <c r="L2360" s="553">
        <v>4</v>
      </c>
      <c r="M2360" s="505" t="s">
        <v>137</v>
      </c>
      <c r="N2360" s="514">
        <v>43013534750000</v>
      </c>
      <c r="O2360" s="553" t="s">
        <v>3035</v>
      </c>
      <c r="P2360" s="650" t="s">
        <v>3041</v>
      </c>
      <c r="Q2360" s="564"/>
      <c r="R2360" s="564">
        <v>2</v>
      </c>
    </row>
    <row r="2361" spans="1:18" ht="15" customHeight="1" x14ac:dyDescent="0.25">
      <c r="A2361" s="553">
        <v>24</v>
      </c>
      <c r="B2361" s="553">
        <v>3</v>
      </c>
      <c r="C2361" s="553">
        <v>2</v>
      </c>
      <c r="D2361" s="553">
        <v>1</v>
      </c>
      <c r="E2361" s="553">
        <v>2</v>
      </c>
      <c r="F2361" s="553">
        <v>2</v>
      </c>
      <c r="G2361" s="553" t="s">
        <v>490</v>
      </c>
      <c r="H2361" s="553">
        <v>1314.7950000000001</v>
      </c>
      <c r="I2361" s="553">
        <v>0</v>
      </c>
      <c r="J2361" s="553">
        <v>7</v>
      </c>
      <c r="K2361" s="553">
        <v>30</v>
      </c>
      <c r="L2361" s="553">
        <v>4</v>
      </c>
      <c r="M2361" s="505" t="s">
        <v>137</v>
      </c>
      <c r="N2361" s="514">
        <v>43013534750000</v>
      </c>
      <c r="O2361" s="553" t="s">
        <v>3035</v>
      </c>
      <c r="P2361" s="650" t="s">
        <v>3042</v>
      </c>
      <c r="Q2361" s="564"/>
      <c r="R2361" s="564">
        <v>2</v>
      </c>
    </row>
    <row r="2362" spans="1:18" ht="15" customHeight="1" x14ac:dyDescent="0.25">
      <c r="A2362" s="553">
        <v>24</v>
      </c>
      <c r="B2362" s="553">
        <v>3</v>
      </c>
      <c r="C2362" s="553">
        <v>2</v>
      </c>
      <c r="D2362" s="553">
        <v>1</v>
      </c>
      <c r="E2362" s="553">
        <v>2</v>
      </c>
      <c r="F2362" s="553">
        <v>2</v>
      </c>
      <c r="G2362" s="553" t="s">
        <v>493</v>
      </c>
      <c r="H2362" s="553">
        <v>1314.7950000000001</v>
      </c>
      <c r="I2362" s="553">
        <v>0</v>
      </c>
      <c r="J2362" s="553">
        <v>7</v>
      </c>
      <c r="K2362" s="553">
        <v>30</v>
      </c>
      <c r="L2362" s="553">
        <v>4</v>
      </c>
      <c r="M2362" s="505" t="s">
        <v>137</v>
      </c>
      <c r="N2362" s="514">
        <v>43013534750000</v>
      </c>
      <c r="O2362" s="553" t="s">
        <v>3035</v>
      </c>
      <c r="P2362" s="650" t="s">
        <v>3043</v>
      </c>
      <c r="Q2362" s="564"/>
      <c r="R2362" s="564">
        <v>2</v>
      </c>
    </row>
    <row r="2363" spans="1:18" ht="15" customHeight="1" x14ac:dyDescent="0.25">
      <c r="A2363" s="553">
        <v>24</v>
      </c>
      <c r="B2363" s="553">
        <v>3</v>
      </c>
      <c r="C2363" s="553">
        <v>2</v>
      </c>
      <c r="D2363" s="553">
        <v>1</v>
      </c>
      <c r="E2363" s="553">
        <v>2</v>
      </c>
      <c r="F2363" s="553">
        <v>2</v>
      </c>
      <c r="G2363" s="553" t="s">
        <v>474</v>
      </c>
      <c r="H2363" s="553">
        <v>1320.19</v>
      </c>
      <c r="I2363" s="553">
        <v>89</v>
      </c>
      <c r="J2363" s="553">
        <v>44</v>
      </c>
      <c r="K2363" s="553">
        <v>10</v>
      </c>
      <c r="L2363" s="553">
        <v>1</v>
      </c>
      <c r="M2363" s="505" t="s">
        <v>137</v>
      </c>
      <c r="N2363" s="514">
        <v>43013534750000</v>
      </c>
      <c r="O2363" s="553" t="s">
        <v>3035</v>
      </c>
      <c r="P2363" s="650" t="s">
        <v>3044</v>
      </c>
      <c r="Q2363" s="564"/>
      <c r="R2363" s="564">
        <v>2</v>
      </c>
    </row>
    <row r="2364" spans="1:18" ht="15" customHeight="1" x14ac:dyDescent="0.25">
      <c r="A2364" s="553">
        <v>24</v>
      </c>
      <c r="B2364" s="553">
        <v>3</v>
      </c>
      <c r="C2364" s="553">
        <v>2</v>
      </c>
      <c r="D2364" s="553">
        <v>1</v>
      </c>
      <c r="E2364" s="553">
        <v>2</v>
      </c>
      <c r="F2364" s="553">
        <v>2</v>
      </c>
      <c r="G2364" s="502" t="s">
        <v>477</v>
      </c>
      <c r="H2364" s="553">
        <v>1320.14</v>
      </c>
      <c r="I2364" s="553">
        <v>89</v>
      </c>
      <c r="J2364" s="553">
        <v>49</v>
      </c>
      <c r="K2364" s="553">
        <v>37</v>
      </c>
      <c r="L2364" s="553">
        <v>2</v>
      </c>
      <c r="M2364" s="505" t="s">
        <v>137</v>
      </c>
      <c r="N2364" s="514">
        <v>43013534750000</v>
      </c>
      <c r="O2364" s="553" t="s">
        <v>3035</v>
      </c>
      <c r="P2364" s="650" t="s">
        <v>3045</v>
      </c>
      <c r="Q2364" s="564"/>
      <c r="R2364" s="564">
        <v>2</v>
      </c>
    </row>
    <row r="2365" spans="1:18" ht="15" customHeight="1" x14ac:dyDescent="0.25">
      <c r="A2365" s="553">
        <v>24</v>
      </c>
      <c r="B2365" s="553">
        <v>3</v>
      </c>
      <c r="C2365" s="553">
        <v>2</v>
      </c>
      <c r="D2365" s="553">
        <v>1</v>
      </c>
      <c r="E2365" s="553">
        <v>2</v>
      </c>
      <c r="F2365" s="553">
        <v>2</v>
      </c>
      <c r="G2365" s="553" t="s">
        <v>479</v>
      </c>
      <c r="H2365" s="553">
        <v>1320.53</v>
      </c>
      <c r="I2365" s="553">
        <v>89</v>
      </c>
      <c r="J2365" s="553">
        <v>52</v>
      </c>
      <c r="K2365" s="553">
        <v>7</v>
      </c>
      <c r="L2365" s="553">
        <v>2</v>
      </c>
      <c r="M2365" s="505" t="s">
        <v>137</v>
      </c>
      <c r="N2365" s="514">
        <v>43013534750000</v>
      </c>
      <c r="O2365" s="553" t="s">
        <v>3035</v>
      </c>
      <c r="P2365" s="650" t="s">
        <v>3046</v>
      </c>
      <c r="Q2365" s="564"/>
      <c r="R2365" s="564">
        <v>2</v>
      </c>
    </row>
    <row r="2366" spans="1:18" ht="15" customHeight="1" x14ac:dyDescent="0.25">
      <c r="A2366" s="553">
        <v>24</v>
      </c>
      <c r="B2366" s="553">
        <v>3</v>
      </c>
      <c r="C2366" s="553">
        <v>2</v>
      </c>
      <c r="D2366" s="553">
        <v>1</v>
      </c>
      <c r="E2366" s="553">
        <v>2</v>
      </c>
      <c r="F2366" s="553">
        <v>2</v>
      </c>
      <c r="G2366" s="553" t="s">
        <v>485</v>
      </c>
      <c r="H2366" s="553">
        <v>1320.53</v>
      </c>
      <c r="I2366" s="553">
        <v>89</v>
      </c>
      <c r="J2366" s="553">
        <v>52</v>
      </c>
      <c r="K2366" s="553">
        <v>7</v>
      </c>
      <c r="L2366" s="553">
        <v>2</v>
      </c>
      <c r="M2366" s="505" t="s">
        <v>137</v>
      </c>
      <c r="N2366" s="514">
        <v>43013534750000</v>
      </c>
      <c r="O2366" s="553" t="s">
        <v>3035</v>
      </c>
      <c r="P2366" s="650" t="s">
        <v>3047</v>
      </c>
      <c r="Q2366" s="564"/>
      <c r="R2366" s="564">
        <v>2</v>
      </c>
    </row>
    <row r="2367" spans="1:18" ht="15" customHeight="1" x14ac:dyDescent="0.25">
      <c r="A2367" s="553">
        <v>24</v>
      </c>
      <c r="B2367" s="553">
        <v>3</v>
      </c>
      <c r="C2367" s="553">
        <v>2</v>
      </c>
      <c r="D2367" s="553">
        <v>1</v>
      </c>
      <c r="E2367" s="553">
        <v>2</v>
      </c>
      <c r="F2367" s="553">
        <v>2</v>
      </c>
      <c r="G2367" s="553" t="s">
        <v>487</v>
      </c>
      <c r="H2367" s="553">
        <v>1318.2550000000001</v>
      </c>
      <c r="I2367" s="553">
        <v>89</v>
      </c>
      <c r="J2367" s="553">
        <v>56</v>
      </c>
      <c r="K2367" s="553">
        <v>33</v>
      </c>
      <c r="L2367" s="553">
        <v>4</v>
      </c>
      <c r="M2367" s="505" t="s">
        <v>137</v>
      </c>
      <c r="N2367" s="514">
        <v>43013534750000</v>
      </c>
      <c r="O2367" s="553" t="s">
        <v>3035</v>
      </c>
      <c r="P2367" s="650" t="s">
        <v>3048</v>
      </c>
      <c r="Q2367" s="564"/>
      <c r="R2367" s="564">
        <v>2</v>
      </c>
    </row>
    <row r="2368" spans="1:18" ht="15" customHeight="1" x14ac:dyDescent="0.25">
      <c r="A2368" s="553">
        <v>24</v>
      </c>
      <c r="B2368" s="553">
        <v>3</v>
      </c>
      <c r="C2368" s="553">
        <v>2</v>
      </c>
      <c r="D2368" s="553">
        <v>1</v>
      </c>
      <c r="E2368" s="553">
        <v>2</v>
      </c>
      <c r="F2368" s="553">
        <v>2</v>
      </c>
      <c r="G2368" s="502" t="s">
        <v>489</v>
      </c>
      <c r="H2368" s="553">
        <v>1318.2550000000001</v>
      </c>
      <c r="I2368" s="553">
        <v>89</v>
      </c>
      <c r="J2368" s="553">
        <v>56</v>
      </c>
      <c r="K2368" s="553">
        <v>33</v>
      </c>
      <c r="L2368" s="553">
        <v>4</v>
      </c>
      <c r="M2368" s="505" t="s">
        <v>137</v>
      </c>
      <c r="N2368" s="500">
        <v>43013534750000</v>
      </c>
      <c r="O2368" s="553" t="s">
        <v>3035</v>
      </c>
      <c r="P2368" s="650" t="s">
        <v>3049</v>
      </c>
      <c r="Q2368" s="564"/>
      <c r="R2368" s="564">
        <v>2</v>
      </c>
    </row>
    <row r="2369" spans="1:18" ht="15" customHeight="1" x14ac:dyDescent="0.25">
      <c r="A2369" s="553">
        <v>24</v>
      </c>
      <c r="B2369" s="553">
        <v>3</v>
      </c>
      <c r="C2369" s="553">
        <v>2</v>
      </c>
      <c r="D2369" s="553">
        <v>1</v>
      </c>
      <c r="E2369" s="553">
        <v>2</v>
      </c>
      <c r="F2369" s="553">
        <v>2</v>
      </c>
      <c r="G2369" s="553" t="s">
        <v>491</v>
      </c>
      <c r="H2369" s="553">
        <v>1325.82</v>
      </c>
      <c r="I2369" s="553">
        <v>89</v>
      </c>
      <c r="J2369" s="553">
        <v>54</v>
      </c>
      <c r="K2369" s="553">
        <v>17</v>
      </c>
      <c r="L2369" s="553">
        <v>4</v>
      </c>
      <c r="M2369" s="505" t="s">
        <v>137</v>
      </c>
      <c r="N2369" s="500">
        <v>43013534750000</v>
      </c>
      <c r="O2369" s="553" t="s">
        <v>3035</v>
      </c>
      <c r="P2369" s="650" t="s">
        <v>3050</v>
      </c>
      <c r="Q2369" s="564"/>
      <c r="R2369" s="564">
        <v>2</v>
      </c>
    </row>
    <row r="2370" spans="1:18" ht="15" customHeight="1" x14ac:dyDescent="0.25">
      <c r="A2370" s="553">
        <v>24</v>
      </c>
      <c r="B2370" s="553">
        <v>3</v>
      </c>
      <c r="C2370" s="553">
        <v>2</v>
      </c>
      <c r="D2370" s="553">
        <v>1</v>
      </c>
      <c r="E2370" s="553">
        <v>2</v>
      </c>
      <c r="F2370" s="553">
        <v>2</v>
      </c>
      <c r="G2370" s="553" t="s">
        <v>494</v>
      </c>
      <c r="H2370" s="553">
        <v>1325.82</v>
      </c>
      <c r="I2370" s="553">
        <v>89</v>
      </c>
      <c r="J2370" s="553">
        <v>54</v>
      </c>
      <c r="K2370" s="553">
        <v>17</v>
      </c>
      <c r="L2370" s="553">
        <v>4</v>
      </c>
      <c r="M2370" s="505" t="s">
        <v>137</v>
      </c>
      <c r="N2370" s="500">
        <v>43013534750000</v>
      </c>
      <c r="O2370" s="553" t="s">
        <v>3035</v>
      </c>
      <c r="P2370" s="650" t="s">
        <v>3051</v>
      </c>
      <c r="Q2370" s="564"/>
      <c r="R2370" s="564">
        <v>2</v>
      </c>
    </row>
    <row r="2371" spans="1:18" s="484" customFormat="1" ht="15" customHeight="1" x14ac:dyDescent="0.25">
      <c r="A2371" s="553">
        <v>24</v>
      </c>
      <c r="B2371" s="553">
        <v>3</v>
      </c>
      <c r="C2371" s="553">
        <v>2</v>
      </c>
      <c r="D2371" s="553">
        <v>2</v>
      </c>
      <c r="E2371" s="553">
        <v>2</v>
      </c>
      <c r="F2371" s="553">
        <v>2</v>
      </c>
      <c r="G2371" s="553" t="s">
        <v>473</v>
      </c>
      <c r="H2371" s="553">
        <v>1321.75</v>
      </c>
      <c r="I2371" s="553">
        <v>0</v>
      </c>
      <c r="J2371" s="553">
        <v>10</v>
      </c>
      <c r="K2371" s="553">
        <v>46</v>
      </c>
      <c r="L2371" s="553">
        <v>2</v>
      </c>
      <c r="M2371" s="505" t="s">
        <v>137</v>
      </c>
      <c r="N2371" s="500">
        <v>43013537270000</v>
      </c>
      <c r="O2371" s="553" t="s">
        <v>3052</v>
      </c>
      <c r="P2371" s="650" t="s">
        <v>3053</v>
      </c>
      <c r="Q2371" s="564"/>
      <c r="R2371" s="564">
        <v>1</v>
      </c>
    </row>
    <row r="2372" spans="1:18" s="484" customFormat="1" ht="15" customHeight="1" x14ac:dyDescent="0.25">
      <c r="A2372" s="553">
        <v>24</v>
      </c>
      <c r="B2372" s="553">
        <v>3</v>
      </c>
      <c r="C2372" s="553">
        <v>2</v>
      </c>
      <c r="D2372" s="553">
        <v>2</v>
      </c>
      <c r="E2372" s="553">
        <v>2</v>
      </c>
      <c r="F2372" s="553">
        <v>2</v>
      </c>
      <c r="G2372" s="502" t="s">
        <v>476</v>
      </c>
      <c r="H2372" s="553">
        <v>1323.5450000000001</v>
      </c>
      <c r="I2372" s="553">
        <v>0</v>
      </c>
      <c r="J2372" s="553">
        <v>15</v>
      </c>
      <c r="K2372" s="553">
        <v>37</v>
      </c>
      <c r="L2372" s="553">
        <v>2</v>
      </c>
      <c r="M2372" s="505" t="s">
        <v>137</v>
      </c>
      <c r="N2372" s="500">
        <v>43013537270000</v>
      </c>
      <c r="O2372" s="553" t="s">
        <v>3052</v>
      </c>
      <c r="P2372" s="650" t="s">
        <v>3054</v>
      </c>
      <c r="Q2372" s="564"/>
      <c r="R2372" s="564">
        <v>1</v>
      </c>
    </row>
    <row r="2373" spans="1:18" s="484" customFormat="1" ht="15" customHeight="1" x14ac:dyDescent="0.25">
      <c r="A2373" s="553">
        <v>24</v>
      </c>
      <c r="B2373" s="553">
        <v>3</v>
      </c>
      <c r="C2373" s="553">
        <v>2</v>
      </c>
      <c r="D2373" s="553">
        <v>2</v>
      </c>
      <c r="E2373" s="553">
        <v>2</v>
      </c>
      <c r="F2373" s="553">
        <v>2</v>
      </c>
      <c r="G2373" s="553" t="s">
        <v>478</v>
      </c>
      <c r="H2373" s="553">
        <v>1323.5450000000001</v>
      </c>
      <c r="I2373" s="553">
        <v>0</v>
      </c>
      <c r="J2373" s="553">
        <v>15</v>
      </c>
      <c r="K2373" s="553">
        <v>37</v>
      </c>
      <c r="L2373" s="553">
        <v>2</v>
      </c>
      <c r="M2373" s="505" t="s">
        <v>137</v>
      </c>
      <c r="N2373" s="500">
        <v>43013537270000</v>
      </c>
      <c r="O2373" s="553" t="s">
        <v>3052</v>
      </c>
      <c r="P2373" s="650" t="s">
        <v>3055</v>
      </c>
      <c r="Q2373" s="564"/>
      <c r="R2373" s="564">
        <v>1</v>
      </c>
    </row>
    <row r="2374" spans="1:18" s="484" customFormat="1" ht="15" customHeight="1" x14ac:dyDescent="0.25">
      <c r="A2374" s="553">
        <v>24</v>
      </c>
      <c r="B2374" s="553">
        <v>3</v>
      </c>
      <c r="C2374" s="553">
        <v>2</v>
      </c>
      <c r="D2374" s="553">
        <v>2</v>
      </c>
      <c r="E2374" s="553">
        <v>2</v>
      </c>
      <c r="F2374" s="553">
        <v>2</v>
      </c>
      <c r="G2374" s="553" t="s">
        <v>484</v>
      </c>
      <c r="H2374" s="553">
        <v>1322.8</v>
      </c>
      <c r="I2374" s="553">
        <v>0</v>
      </c>
      <c r="J2374" s="553">
        <v>1</v>
      </c>
      <c r="K2374" s="553">
        <v>17</v>
      </c>
      <c r="L2374" s="553">
        <v>2</v>
      </c>
      <c r="M2374" s="505" t="s">
        <v>137</v>
      </c>
      <c r="N2374" s="500">
        <v>43013537270000</v>
      </c>
      <c r="O2374" s="553" t="s">
        <v>3052</v>
      </c>
      <c r="P2374" s="650" t="s">
        <v>3056</v>
      </c>
      <c r="Q2374" s="564"/>
      <c r="R2374" s="564">
        <v>1</v>
      </c>
    </row>
    <row r="2375" spans="1:18" s="484" customFormat="1" ht="15" customHeight="1" x14ac:dyDescent="0.25">
      <c r="A2375" s="553">
        <v>24</v>
      </c>
      <c r="B2375" s="553">
        <v>3</v>
      </c>
      <c r="C2375" s="553">
        <v>2</v>
      </c>
      <c r="D2375" s="553">
        <v>2</v>
      </c>
      <c r="E2375" s="553">
        <v>2</v>
      </c>
      <c r="F2375" s="553">
        <v>2</v>
      </c>
      <c r="G2375" s="553" t="s">
        <v>486</v>
      </c>
      <c r="H2375" s="553">
        <v>1322.7075</v>
      </c>
      <c r="I2375" s="553">
        <v>0</v>
      </c>
      <c r="J2375" s="553">
        <v>44</v>
      </c>
      <c r="K2375" s="553">
        <v>25</v>
      </c>
      <c r="L2375" s="553">
        <v>4</v>
      </c>
      <c r="M2375" s="505" t="s">
        <v>137</v>
      </c>
      <c r="N2375" s="500">
        <v>43013537270000</v>
      </c>
      <c r="O2375" s="553" t="s">
        <v>3052</v>
      </c>
      <c r="P2375" s="650" t="s">
        <v>3057</v>
      </c>
      <c r="Q2375" s="564"/>
      <c r="R2375" s="564">
        <v>1</v>
      </c>
    </row>
    <row r="2376" spans="1:18" s="484" customFormat="1" ht="15" customHeight="1" x14ac:dyDescent="0.25">
      <c r="A2376" s="553">
        <v>24</v>
      </c>
      <c r="B2376" s="553">
        <v>3</v>
      </c>
      <c r="C2376" s="553">
        <v>2</v>
      </c>
      <c r="D2376" s="553">
        <v>2</v>
      </c>
      <c r="E2376" s="553">
        <v>2</v>
      </c>
      <c r="F2376" s="553">
        <v>2</v>
      </c>
      <c r="G2376" s="502" t="s">
        <v>488</v>
      </c>
      <c r="H2376" s="553">
        <v>1322.7075</v>
      </c>
      <c r="I2376" s="553">
        <v>0</v>
      </c>
      <c r="J2376" s="553">
        <v>44</v>
      </c>
      <c r="K2376" s="553">
        <v>25</v>
      </c>
      <c r="L2376" s="553">
        <v>4</v>
      </c>
      <c r="M2376" s="505" t="s">
        <v>137</v>
      </c>
      <c r="N2376" s="500">
        <v>43013537270000</v>
      </c>
      <c r="O2376" s="553" t="s">
        <v>3052</v>
      </c>
      <c r="P2376" s="650" t="s">
        <v>3058</v>
      </c>
      <c r="Q2376" s="564"/>
      <c r="R2376" s="564">
        <v>1</v>
      </c>
    </row>
    <row r="2377" spans="1:18" s="484" customFormat="1" ht="15" customHeight="1" x14ac:dyDescent="0.25">
      <c r="A2377" s="553">
        <v>24</v>
      </c>
      <c r="B2377" s="553">
        <v>3</v>
      </c>
      <c r="C2377" s="553">
        <v>2</v>
      </c>
      <c r="D2377" s="553">
        <v>2</v>
      </c>
      <c r="E2377" s="553">
        <v>2</v>
      </c>
      <c r="F2377" s="553">
        <v>2</v>
      </c>
      <c r="G2377" s="553" t="s">
        <v>490</v>
      </c>
      <c r="H2377" s="553">
        <v>1322.7075</v>
      </c>
      <c r="I2377" s="553">
        <v>0</v>
      </c>
      <c r="J2377" s="553">
        <v>44</v>
      </c>
      <c r="K2377" s="553">
        <v>25</v>
      </c>
      <c r="L2377" s="553">
        <v>4</v>
      </c>
      <c r="M2377" s="505" t="s">
        <v>137</v>
      </c>
      <c r="N2377" s="500">
        <v>43013537270000</v>
      </c>
      <c r="O2377" s="553" t="s">
        <v>3052</v>
      </c>
      <c r="P2377" s="650" t="s">
        <v>3059</v>
      </c>
      <c r="Q2377" s="564"/>
      <c r="R2377" s="564">
        <v>1</v>
      </c>
    </row>
    <row r="2378" spans="1:18" s="484" customFormat="1" ht="15" customHeight="1" x14ac:dyDescent="0.25">
      <c r="A2378" s="553">
        <v>24</v>
      </c>
      <c r="B2378" s="553">
        <v>3</v>
      </c>
      <c r="C2378" s="553">
        <v>2</v>
      </c>
      <c r="D2378" s="553">
        <v>2</v>
      </c>
      <c r="E2378" s="553">
        <v>2</v>
      </c>
      <c r="F2378" s="553">
        <v>2</v>
      </c>
      <c r="G2378" s="553" t="s">
        <v>493</v>
      </c>
      <c r="H2378" s="553">
        <v>1322.7075</v>
      </c>
      <c r="I2378" s="553">
        <v>0</v>
      </c>
      <c r="J2378" s="553">
        <v>44</v>
      </c>
      <c r="K2378" s="553">
        <v>25</v>
      </c>
      <c r="L2378" s="553">
        <v>4</v>
      </c>
      <c r="M2378" s="505" t="s">
        <v>137</v>
      </c>
      <c r="N2378" s="500">
        <v>43013537270000</v>
      </c>
      <c r="O2378" s="553" t="s">
        <v>3052</v>
      </c>
      <c r="P2378" s="650" t="s">
        <v>3060</v>
      </c>
      <c r="Q2378" s="564"/>
      <c r="R2378" s="564">
        <v>1</v>
      </c>
    </row>
    <row r="2379" spans="1:18" s="484" customFormat="1" ht="15" customHeight="1" x14ac:dyDescent="0.25">
      <c r="A2379" s="553">
        <v>24</v>
      </c>
      <c r="B2379" s="553">
        <v>3</v>
      </c>
      <c r="C2379" s="553">
        <v>2</v>
      </c>
      <c r="D2379" s="553">
        <v>2</v>
      </c>
      <c r="E2379" s="553">
        <v>2</v>
      </c>
      <c r="F2379" s="553">
        <v>2</v>
      </c>
      <c r="G2379" s="553" t="s">
        <v>474</v>
      </c>
      <c r="H2379" s="553">
        <v>1317.99</v>
      </c>
      <c r="I2379" s="553">
        <v>89</v>
      </c>
      <c r="J2379" s="553">
        <v>39</v>
      </c>
      <c r="K2379" s="553">
        <v>48</v>
      </c>
      <c r="L2379" s="553">
        <v>2</v>
      </c>
      <c r="M2379" s="505" t="s">
        <v>137</v>
      </c>
      <c r="N2379" s="500">
        <v>43013537270000</v>
      </c>
      <c r="O2379" s="553" t="s">
        <v>3052</v>
      </c>
      <c r="P2379" s="650" t="s">
        <v>3061</v>
      </c>
      <c r="Q2379" s="564"/>
      <c r="R2379" s="564">
        <v>1</v>
      </c>
    </row>
    <row r="2380" spans="1:18" s="484" customFormat="1" ht="15" customHeight="1" x14ac:dyDescent="0.25">
      <c r="A2380" s="553">
        <v>24</v>
      </c>
      <c r="B2380" s="553">
        <v>3</v>
      </c>
      <c r="C2380" s="553">
        <v>2</v>
      </c>
      <c r="D2380" s="553">
        <v>2</v>
      </c>
      <c r="E2380" s="553">
        <v>2</v>
      </c>
      <c r="F2380" s="553">
        <v>2</v>
      </c>
      <c r="G2380" s="502" t="s">
        <v>477</v>
      </c>
      <c r="H2380" s="553">
        <v>1317.99</v>
      </c>
      <c r="I2380" s="553">
        <v>89</v>
      </c>
      <c r="J2380" s="553">
        <v>39</v>
      </c>
      <c r="K2380" s="553">
        <v>48</v>
      </c>
      <c r="L2380" s="553">
        <v>2</v>
      </c>
      <c r="M2380" s="505" t="s">
        <v>137</v>
      </c>
      <c r="N2380" s="500">
        <v>43013537270000</v>
      </c>
      <c r="O2380" s="553" t="s">
        <v>3052</v>
      </c>
      <c r="P2380" s="650" t="s">
        <v>3062</v>
      </c>
      <c r="Q2380" s="564"/>
      <c r="R2380" s="564">
        <v>1</v>
      </c>
    </row>
    <row r="2381" spans="1:18" s="484" customFormat="1" ht="15" customHeight="1" x14ac:dyDescent="0.25">
      <c r="A2381" s="553">
        <v>24</v>
      </c>
      <c r="B2381" s="553">
        <v>3</v>
      </c>
      <c r="C2381" s="553">
        <v>2</v>
      </c>
      <c r="D2381" s="553">
        <v>2</v>
      </c>
      <c r="E2381" s="553">
        <v>2</v>
      </c>
      <c r="F2381" s="553">
        <v>2</v>
      </c>
      <c r="G2381" s="553" t="s">
        <v>479</v>
      </c>
      <c r="H2381" s="553">
        <v>1317.99</v>
      </c>
      <c r="I2381" s="553">
        <v>89</v>
      </c>
      <c r="J2381" s="553">
        <v>39</v>
      </c>
      <c r="K2381" s="553">
        <v>48</v>
      </c>
      <c r="L2381" s="553">
        <v>2</v>
      </c>
      <c r="M2381" s="505" t="s">
        <v>137</v>
      </c>
      <c r="N2381" s="500">
        <v>43013537270000</v>
      </c>
      <c r="O2381" s="553" t="s">
        <v>3052</v>
      </c>
      <c r="P2381" s="650" t="s">
        <v>3063</v>
      </c>
      <c r="Q2381" s="564"/>
      <c r="R2381" s="564">
        <v>1</v>
      </c>
    </row>
    <row r="2382" spans="1:18" s="484" customFormat="1" ht="15" customHeight="1" x14ac:dyDescent="0.25">
      <c r="A2382" s="553">
        <v>24</v>
      </c>
      <c r="B2382" s="553">
        <v>3</v>
      </c>
      <c r="C2382" s="553">
        <v>2</v>
      </c>
      <c r="D2382" s="553">
        <v>2</v>
      </c>
      <c r="E2382" s="553">
        <v>2</v>
      </c>
      <c r="F2382" s="553">
        <v>2</v>
      </c>
      <c r="G2382" s="553" t="s">
        <v>485</v>
      </c>
      <c r="H2382" s="553">
        <v>1317.99</v>
      </c>
      <c r="I2382" s="553">
        <v>89</v>
      </c>
      <c r="J2382" s="553">
        <v>39</v>
      </c>
      <c r="K2382" s="553">
        <v>48</v>
      </c>
      <c r="L2382" s="553">
        <v>2</v>
      </c>
      <c r="M2382" s="505" t="s">
        <v>137</v>
      </c>
      <c r="N2382" s="500">
        <v>43013537270000</v>
      </c>
      <c r="O2382" s="553" t="s">
        <v>3052</v>
      </c>
      <c r="P2382" s="650" t="s">
        <v>3064</v>
      </c>
      <c r="Q2382" s="564"/>
      <c r="R2382" s="564">
        <v>1</v>
      </c>
    </row>
    <row r="2383" spans="1:18" s="484" customFormat="1" ht="15" customHeight="1" x14ac:dyDescent="0.25">
      <c r="A2383" s="553">
        <v>24</v>
      </c>
      <c r="B2383" s="553">
        <v>3</v>
      </c>
      <c r="C2383" s="553">
        <v>2</v>
      </c>
      <c r="D2383" s="553">
        <v>2</v>
      </c>
      <c r="E2383" s="553">
        <v>2</v>
      </c>
      <c r="F2383" s="553">
        <v>2</v>
      </c>
      <c r="G2383" s="553" t="s">
        <v>487</v>
      </c>
      <c r="H2383" s="553">
        <v>1399.36</v>
      </c>
      <c r="I2383" s="553">
        <v>89</v>
      </c>
      <c r="J2383" s="553">
        <v>44</v>
      </c>
      <c r="K2383" s="553">
        <v>59</v>
      </c>
      <c r="L2383" s="553">
        <v>3</v>
      </c>
      <c r="M2383" s="505" t="s">
        <v>137</v>
      </c>
      <c r="N2383" s="500">
        <v>43013537270000</v>
      </c>
      <c r="O2383" s="553" t="s">
        <v>3052</v>
      </c>
      <c r="P2383" s="650" t="s">
        <v>3065</v>
      </c>
      <c r="Q2383" s="564"/>
      <c r="R2383" s="564">
        <v>1</v>
      </c>
    </row>
    <row r="2384" spans="1:18" s="484" customFormat="1" ht="15" customHeight="1" x14ac:dyDescent="0.25">
      <c r="A2384" s="553">
        <v>24</v>
      </c>
      <c r="B2384" s="553">
        <v>3</v>
      </c>
      <c r="C2384" s="553">
        <v>2</v>
      </c>
      <c r="D2384" s="553">
        <v>2</v>
      </c>
      <c r="E2384" s="553">
        <v>2</v>
      </c>
      <c r="F2384" s="553">
        <v>2</v>
      </c>
      <c r="G2384" s="502" t="s">
        <v>489</v>
      </c>
      <c r="H2384" s="553">
        <v>1399.36</v>
      </c>
      <c r="I2384" s="553">
        <v>89</v>
      </c>
      <c r="J2384" s="553">
        <v>44</v>
      </c>
      <c r="K2384" s="553">
        <v>59</v>
      </c>
      <c r="L2384" s="553">
        <v>3</v>
      </c>
      <c r="M2384" s="505" t="s">
        <v>137</v>
      </c>
      <c r="N2384" s="500">
        <v>43013537270000</v>
      </c>
      <c r="O2384" s="553" t="s">
        <v>3052</v>
      </c>
      <c r="P2384" s="650" t="s">
        <v>3066</v>
      </c>
      <c r="Q2384" s="564"/>
      <c r="R2384" s="564">
        <v>1</v>
      </c>
    </row>
    <row r="2385" spans="1:18" s="484" customFormat="1" ht="15" customHeight="1" x14ac:dyDescent="0.25">
      <c r="A2385" s="553">
        <v>24</v>
      </c>
      <c r="B2385" s="553">
        <v>3</v>
      </c>
      <c r="C2385" s="553">
        <v>2</v>
      </c>
      <c r="D2385" s="553">
        <v>2</v>
      </c>
      <c r="E2385" s="553">
        <v>2</v>
      </c>
      <c r="F2385" s="553">
        <v>2</v>
      </c>
      <c r="G2385" s="553" t="s">
        <v>491</v>
      </c>
      <c r="H2385" s="553">
        <v>1219.24</v>
      </c>
      <c r="I2385" s="553">
        <v>89</v>
      </c>
      <c r="J2385" s="553">
        <v>43</v>
      </c>
      <c r="K2385" s="553">
        <v>32</v>
      </c>
      <c r="L2385" s="553">
        <v>2</v>
      </c>
      <c r="M2385" s="505" t="s">
        <v>137</v>
      </c>
      <c r="N2385" s="500">
        <v>43013537270000</v>
      </c>
      <c r="O2385" s="553" t="s">
        <v>3052</v>
      </c>
      <c r="P2385" s="650" t="s">
        <v>3067</v>
      </c>
      <c r="Q2385" s="564"/>
      <c r="R2385" s="564">
        <v>1</v>
      </c>
    </row>
    <row r="2386" spans="1:18" s="484" customFormat="1" ht="15" customHeight="1" x14ac:dyDescent="0.25">
      <c r="A2386" s="553">
        <v>24</v>
      </c>
      <c r="B2386" s="553">
        <v>3</v>
      </c>
      <c r="C2386" s="553">
        <v>2</v>
      </c>
      <c r="D2386" s="553">
        <v>2</v>
      </c>
      <c r="E2386" s="553">
        <v>2</v>
      </c>
      <c r="F2386" s="553">
        <v>2</v>
      </c>
      <c r="G2386" s="553" t="s">
        <v>494</v>
      </c>
      <c r="H2386" s="553">
        <v>1339.04</v>
      </c>
      <c r="I2386" s="553">
        <v>89</v>
      </c>
      <c r="J2386" s="553">
        <v>23</v>
      </c>
      <c r="K2386" s="553">
        <v>42</v>
      </c>
      <c r="L2386" s="553">
        <v>2</v>
      </c>
      <c r="M2386" s="505" t="s">
        <v>137</v>
      </c>
      <c r="N2386" s="500">
        <v>43013537270000</v>
      </c>
      <c r="O2386" s="553" t="s">
        <v>3052</v>
      </c>
      <c r="P2386" s="650" t="s">
        <v>3068</v>
      </c>
      <c r="Q2386" s="564"/>
      <c r="R2386" s="564">
        <v>1</v>
      </c>
    </row>
    <row r="2387" spans="1:18" ht="15" customHeight="1" x14ac:dyDescent="0.25">
      <c r="A2387" s="564">
        <v>24</v>
      </c>
      <c r="B2387" s="564">
        <v>4</v>
      </c>
      <c r="C2387" s="564">
        <v>2</v>
      </c>
      <c r="D2387" s="564">
        <v>4</v>
      </c>
      <c r="E2387" s="564">
        <v>2</v>
      </c>
      <c r="F2387" s="564">
        <v>2</v>
      </c>
      <c r="G2387" s="564" t="s">
        <v>473</v>
      </c>
      <c r="H2387" s="564">
        <v>1320</v>
      </c>
      <c r="I2387" s="564">
        <v>0</v>
      </c>
      <c r="J2387" s="564">
        <v>0</v>
      </c>
      <c r="K2387" s="564">
        <v>9.9999999999999995E-7</v>
      </c>
      <c r="L2387" s="564">
        <v>4</v>
      </c>
      <c r="M2387" s="561" t="s">
        <v>137</v>
      </c>
      <c r="N2387" s="520">
        <v>43013539220000</v>
      </c>
      <c r="O2387" s="564" t="s">
        <v>3069</v>
      </c>
      <c r="P2387" s="564" t="s">
        <v>3070</v>
      </c>
      <c r="Q2387" s="564"/>
      <c r="R2387" s="564">
        <v>2</v>
      </c>
    </row>
    <row r="2388" spans="1:18" ht="15" customHeight="1" x14ac:dyDescent="0.25">
      <c r="A2388" s="564">
        <v>24</v>
      </c>
      <c r="B2388" s="564">
        <v>4</v>
      </c>
      <c r="C2388" s="564">
        <v>2</v>
      </c>
      <c r="D2388" s="564">
        <v>4</v>
      </c>
      <c r="E2388" s="564">
        <v>2</v>
      </c>
      <c r="F2388" s="564">
        <v>2</v>
      </c>
      <c r="G2388" s="521" t="s">
        <v>476</v>
      </c>
      <c r="H2388" s="564">
        <v>1320</v>
      </c>
      <c r="I2388" s="564">
        <v>0</v>
      </c>
      <c r="J2388" s="564">
        <v>0</v>
      </c>
      <c r="K2388" s="564">
        <v>9.9999999999999995E-7</v>
      </c>
      <c r="L2388" s="564">
        <v>4</v>
      </c>
      <c r="M2388" s="561" t="s">
        <v>137</v>
      </c>
      <c r="N2388" s="520">
        <v>43013539220000</v>
      </c>
      <c r="O2388" s="564" t="s">
        <v>3069</v>
      </c>
      <c r="P2388" s="564" t="s">
        <v>3071</v>
      </c>
      <c r="Q2388" s="564"/>
      <c r="R2388" s="564">
        <v>2</v>
      </c>
    </row>
    <row r="2389" spans="1:18" ht="15" customHeight="1" x14ac:dyDescent="0.25">
      <c r="A2389" s="564">
        <v>24</v>
      </c>
      <c r="B2389" s="564">
        <v>4</v>
      </c>
      <c r="C2389" s="564">
        <v>2</v>
      </c>
      <c r="D2389" s="564">
        <v>4</v>
      </c>
      <c r="E2389" s="564">
        <v>2</v>
      </c>
      <c r="F2389" s="564">
        <v>2</v>
      </c>
      <c r="G2389" s="564" t="s">
        <v>478</v>
      </c>
      <c r="H2389" s="564">
        <v>1320</v>
      </c>
      <c r="I2389" s="564">
        <v>0</v>
      </c>
      <c r="J2389" s="564">
        <v>0</v>
      </c>
      <c r="K2389" s="564">
        <v>9.9999999999999995E-7</v>
      </c>
      <c r="L2389" s="564">
        <v>4</v>
      </c>
      <c r="M2389" s="561" t="s">
        <v>137</v>
      </c>
      <c r="N2389" s="520">
        <v>43013539220000</v>
      </c>
      <c r="O2389" s="564" t="s">
        <v>3069</v>
      </c>
      <c r="P2389" s="564" t="s">
        <v>3072</v>
      </c>
      <c r="Q2389" s="564"/>
      <c r="R2389" s="564">
        <v>2</v>
      </c>
    </row>
    <row r="2390" spans="1:18" ht="15" customHeight="1" x14ac:dyDescent="0.25">
      <c r="A2390" s="564">
        <v>24</v>
      </c>
      <c r="B2390" s="564">
        <v>4</v>
      </c>
      <c r="C2390" s="564">
        <v>2</v>
      </c>
      <c r="D2390" s="564">
        <v>4</v>
      </c>
      <c r="E2390" s="564">
        <v>2</v>
      </c>
      <c r="F2390" s="564">
        <v>2</v>
      </c>
      <c r="G2390" s="564" t="s">
        <v>484</v>
      </c>
      <c r="H2390" s="564">
        <v>1320</v>
      </c>
      <c r="I2390" s="564">
        <v>0</v>
      </c>
      <c r="J2390" s="564">
        <v>0</v>
      </c>
      <c r="K2390" s="564">
        <v>9.9999999999999995E-7</v>
      </c>
      <c r="L2390" s="564">
        <v>4</v>
      </c>
      <c r="M2390" s="561" t="s">
        <v>137</v>
      </c>
      <c r="N2390" s="520">
        <v>43013539220000</v>
      </c>
      <c r="O2390" s="564" t="s">
        <v>3069</v>
      </c>
      <c r="P2390" s="564" t="s">
        <v>3073</v>
      </c>
      <c r="Q2390" s="564"/>
      <c r="R2390" s="564">
        <v>2</v>
      </c>
    </row>
    <row r="2391" spans="1:18" ht="15" customHeight="1" x14ac:dyDescent="0.25">
      <c r="A2391" s="564">
        <v>24</v>
      </c>
      <c r="B2391" s="564">
        <v>4</v>
      </c>
      <c r="C2391" s="564">
        <v>2</v>
      </c>
      <c r="D2391" s="564">
        <v>4</v>
      </c>
      <c r="E2391" s="564">
        <v>2</v>
      </c>
      <c r="F2391" s="564">
        <v>2</v>
      </c>
      <c r="G2391" s="564" t="s">
        <v>486</v>
      </c>
      <c r="H2391" s="564">
        <v>1320</v>
      </c>
      <c r="I2391" s="564">
        <v>0</v>
      </c>
      <c r="J2391" s="564">
        <v>0</v>
      </c>
      <c r="K2391" s="564">
        <v>9.9999999999999995E-7</v>
      </c>
      <c r="L2391" s="564">
        <v>4</v>
      </c>
      <c r="M2391" s="561" t="s">
        <v>137</v>
      </c>
      <c r="N2391" s="520">
        <v>43013539220000</v>
      </c>
      <c r="O2391" s="564" t="s">
        <v>3069</v>
      </c>
      <c r="P2391" s="564" t="s">
        <v>3074</v>
      </c>
      <c r="Q2391" s="564"/>
      <c r="R2391" s="564">
        <v>2</v>
      </c>
    </row>
    <row r="2392" spans="1:18" ht="15" customHeight="1" x14ac:dyDescent="0.25">
      <c r="A2392" s="564">
        <v>24</v>
      </c>
      <c r="B2392" s="564">
        <v>4</v>
      </c>
      <c r="C2392" s="564">
        <v>2</v>
      </c>
      <c r="D2392" s="564">
        <v>4</v>
      </c>
      <c r="E2392" s="564">
        <v>2</v>
      </c>
      <c r="F2392" s="564">
        <v>2</v>
      </c>
      <c r="G2392" s="521" t="s">
        <v>488</v>
      </c>
      <c r="H2392" s="564">
        <v>1320</v>
      </c>
      <c r="I2392" s="564">
        <v>0</v>
      </c>
      <c r="J2392" s="564">
        <v>0</v>
      </c>
      <c r="K2392" s="564">
        <v>9.9999999999999995E-7</v>
      </c>
      <c r="L2392" s="564">
        <v>4</v>
      </c>
      <c r="M2392" s="561" t="s">
        <v>137</v>
      </c>
      <c r="N2392" s="520">
        <v>43013539220000</v>
      </c>
      <c r="O2392" s="564" t="s">
        <v>3069</v>
      </c>
      <c r="P2392" s="564" t="s">
        <v>3075</v>
      </c>
      <c r="Q2392" s="564"/>
      <c r="R2392" s="564">
        <v>2</v>
      </c>
    </row>
    <row r="2393" spans="1:18" ht="15" customHeight="1" x14ac:dyDescent="0.25">
      <c r="A2393" s="564">
        <v>24</v>
      </c>
      <c r="B2393" s="564">
        <v>4</v>
      </c>
      <c r="C2393" s="564">
        <v>2</v>
      </c>
      <c r="D2393" s="564">
        <v>4</v>
      </c>
      <c r="E2393" s="564">
        <v>2</v>
      </c>
      <c r="F2393" s="564">
        <v>2</v>
      </c>
      <c r="G2393" s="564" t="s">
        <v>490</v>
      </c>
      <c r="H2393" s="564">
        <v>1320</v>
      </c>
      <c r="I2393" s="564">
        <v>0</v>
      </c>
      <c r="J2393" s="564">
        <v>0</v>
      </c>
      <c r="K2393" s="564">
        <v>9.9999999999999995E-7</v>
      </c>
      <c r="L2393" s="564">
        <v>4</v>
      </c>
      <c r="M2393" s="561" t="s">
        <v>137</v>
      </c>
      <c r="N2393" s="520">
        <v>43013539220000</v>
      </c>
      <c r="O2393" s="564" t="s">
        <v>3069</v>
      </c>
      <c r="P2393" s="564" t="s">
        <v>3076</v>
      </c>
      <c r="Q2393" s="564"/>
      <c r="R2393" s="564">
        <v>2</v>
      </c>
    </row>
    <row r="2394" spans="1:18" ht="15" customHeight="1" x14ac:dyDescent="0.25">
      <c r="A2394" s="564">
        <v>24</v>
      </c>
      <c r="B2394" s="564">
        <v>4</v>
      </c>
      <c r="C2394" s="564">
        <v>2</v>
      </c>
      <c r="D2394" s="564">
        <v>4</v>
      </c>
      <c r="E2394" s="564">
        <v>2</v>
      </c>
      <c r="F2394" s="564">
        <v>2</v>
      </c>
      <c r="G2394" s="564" t="s">
        <v>493</v>
      </c>
      <c r="H2394" s="564">
        <v>1320</v>
      </c>
      <c r="I2394" s="564">
        <v>0</v>
      </c>
      <c r="J2394" s="564">
        <v>0</v>
      </c>
      <c r="K2394" s="564">
        <v>9.9999999999999995E-7</v>
      </c>
      <c r="L2394" s="564">
        <v>4</v>
      </c>
      <c r="M2394" s="561" t="s">
        <v>137</v>
      </c>
      <c r="N2394" s="520">
        <v>43013539220000</v>
      </c>
      <c r="O2394" s="564" t="s">
        <v>3069</v>
      </c>
      <c r="P2394" s="564" t="s">
        <v>3077</v>
      </c>
      <c r="Q2394" s="564"/>
      <c r="R2394" s="564">
        <v>2</v>
      </c>
    </row>
    <row r="2395" spans="1:18" ht="15" customHeight="1" x14ac:dyDescent="0.25">
      <c r="A2395" s="564">
        <v>24</v>
      </c>
      <c r="B2395" s="564">
        <v>4</v>
      </c>
      <c r="C2395" s="564">
        <v>2</v>
      </c>
      <c r="D2395" s="564">
        <v>4</v>
      </c>
      <c r="E2395" s="564">
        <v>2</v>
      </c>
      <c r="F2395" s="564">
        <v>2</v>
      </c>
      <c r="G2395" s="564" t="s">
        <v>474</v>
      </c>
      <c r="H2395" s="564">
        <v>1320</v>
      </c>
      <c r="I2395" s="564">
        <v>89</v>
      </c>
      <c r="J2395" s="564">
        <v>60</v>
      </c>
      <c r="K2395" s="564">
        <v>60</v>
      </c>
      <c r="L2395" s="564">
        <v>3</v>
      </c>
      <c r="M2395" s="561" t="s">
        <v>137</v>
      </c>
      <c r="N2395" s="520">
        <v>43013539220000</v>
      </c>
      <c r="O2395" s="564" t="s">
        <v>3069</v>
      </c>
      <c r="P2395" s="564" t="s">
        <v>3078</v>
      </c>
      <c r="Q2395" s="564"/>
      <c r="R2395" s="564">
        <v>2</v>
      </c>
    </row>
    <row r="2396" spans="1:18" ht="15" customHeight="1" x14ac:dyDescent="0.25">
      <c r="A2396" s="564">
        <v>24</v>
      </c>
      <c r="B2396" s="564">
        <v>4</v>
      </c>
      <c r="C2396" s="564">
        <v>2</v>
      </c>
      <c r="D2396" s="564">
        <v>4</v>
      </c>
      <c r="E2396" s="564">
        <v>2</v>
      </c>
      <c r="F2396" s="564">
        <v>2</v>
      </c>
      <c r="G2396" s="521" t="s">
        <v>477</v>
      </c>
      <c r="H2396" s="564">
        <v>1320</v>
      </c>
      <c r="I2396" s="564">
        <v>89</v>
      </c>
      <c r="J2396" s="564">
        <v>60</v>
      </c>
      <c r="K2396" s="564">
        <v>60</v>
      </c>
      <c r="L2396" s="564">
        <v>3</v>
      </c>
      <c r="M2396" s="561" t="s">
        <v>137</v>
      </c>
      <c r="N2396" s="520">
        <v>43013539220000</v>
      </c>
      <c r="O2396" s="564" t="s">
        <v>3069</v>
      </c>
      <c r="P2396" s="564" t="s">
        <v>3079</v>
      </c>
      <c r="Q2396" s="564"/>
      <c r="R2396" s="564">
        <v>2</v>
      </c>
    </row>
    <row r="2397" spans="1:18" ht="15" customHeight="1" x14ac:dyDescent="0.25">
      <c r="A2397" s="564">
        <v>24</v>
      </c>
      <c r="B2397" s="564">
        <v>4</v>
      </c>
      <c r="C2397" s="564">
        <v>2</v>
      </c>
      <c r="D2397" s="564">
        <v>4</v>
      </c>
      <c r="E2397" s="564">
        <v>2</v>
      </c>
      <c r="F2397" s="564">
        <v>2</v>
      </c>
      <c r="G2397" s="564" t="s">
        <v>479</v>
      </c>
      <c r="H2397" s="564">
        <v>1320</v>
      </c>
      <c r="I2397" s="564">
        <v>89</v>
      </c>
      <c r="J2397" s="564">
        <v>60</v>
      </c>
      <c r="K2397" s="564">
        <v>60</v>
      </c>
      <c r="L2397" s="564">
        <v>3</v>
      </c>
      <c r="M2397" s="561" t="s">
        <v>137</v>
      </c>
      <c r="N2397" s="520">
        <v>43013539220000</v>
      </c>
      <c r="O2397" s="564" t="s">
        <v>3069</v>
      </c>
      <c r="P2397" s="564" t="s">
        <v>3080</v>
      </c>
      <c r="Q2397" s="564"/>
      <c r="R2397" s="564">
        <v>2</v>
      </c>
    </row>
    <row r="2398" spans="1:18" ht="15" customHeight="1" x14ac:dyDescent="0.25">
      <c r="A2398" s="564">
        <v>24</v>
      </c>
      <c r="B2398" s="564">
        <v>4</v>
      </c>
      <c r="C2398" s="564">
        <v>2</v>
      </c>
      <c r="D2398" s="564">
        <v>4</v>
      </c>
      <c r="E2398" s="564">
        <v>2</v>
      </c>
      <c r="F2398" s="564">
        <v>2</v>
      </c>
      <c r="G2398" s="564" t="s">
        <v>485</v>
      </c>
      <c r="H2398" s="564">
        <v>1320</v>
      </c>
      <c r="I2398" s="564">
        <v>89</v>
      </c>
      <c r="J2398" s="564">
        <v>60</v>
      </c>
      <c r="K2398" s="564">
        <v>60</v>
      </c>
      <c r="L2398" s="564">
        <v>3</v>
      </c>
      <c r="M2398" s="561" t="s">
        <v>137</v>
      </c>
      <c r="N2398" s="520">
        <v>43013539220000</v>
      </c>
      <c r="O2398" s="564" t="s">
        <v>3069</v>
      </c>
      <c r="P2398" s="564" t="s">
        <v>3081</v>
      </c>
      <c r="Q2398" s="564"/>
      <c r="R2398" s="564">
        <v>2</v>
      </c>
    </row>
    <row r="2399" spans="1:18" ht="15" customHeight="1" x14ac:dyDescent="0.25">
      <c r="A2399" s="564">
        <v>24</v>
      </c>
      <c r="B2399" s="564">
        <v>4</v>
      </c>
      <c r="C2399" s="564">
        <v>2</v>
      </c>
      <c r="D2399" s="564">
        <v>4</v>
      </c>
      <c r="E2399" s="564">
        <v>2</v>
      </c>
      <c r="F2399" s="564">
        <v>2</v>
      </c>
      <c r="G2399" s="564" t="s">
        <v>487</v>
      </c>
      <c r="H2399" s="564">
        <v>1314.9075</v>
      </c>
      <c r="I2399" s="564">
        <v>88</v>
      </c>
      <c r="J2399" s="564">
        <v>24</v>
      </c>
      <c r="K2399" s="564">
        <v>10</v>
      </c>
      <c r="L2399" s="564">
        <v>2</v>
      </c>
      <c r="M2399" s="561" t="s">
        <v>137</v>
      </c>
      <c r="N2399" s="520">
        <v>43013539220000</v>
      </c>
      <c r="O2399" s="564" t="s">
        <v>3069</v>
      </c>
      <c r="P2399" s="564" t="s">
        <v>3082</v>
      </c>
      <c r="Q2399" s="564"/>
      <c r="R2399" s="564">
        <v>2</v>
      </c>
    </row>
    <row r="2400" spans="1:18" ht="15" customHeight="1" x14ac:dyDescent="0.25">
      <c r="A2400" s="564">
        <v>24</v>
      </c>
      <c r="B2400" s="564">
        <v>4</v>
      </c>
      <c r="C2400" s="564">
        <v>2</v>
      </c>
      <c r="D2400" s="564">
        <v>4</v>
      </c>
      <c r="E2400" s="564">
        <v>2</v>
      </c>
      <c r="F2400" s="564">
        <v>2</v>
      </c>
      <c r="G2400" s="521" t="s">
        <v>489</v>
      </c>
      <c r="H2400" s="564">
        <v>1314.9075</v>
      </c>
      <c r="I2400" s="564">
        <v>88</v>
      </c>
      <c r="J2400" s="564">
        <v>24</v>
      </c>
      <c r="K2400" s="564">
        <v>10</v>
      </c>
      <c r="L2400" s="564">
        <v>2</v>
      </c>
      <c r="M2400" s="561" t="s">
        <v>137</v>
      </c>
      <c r="N2400" s="520">
        <v>43013539220000</v>
      </c>
      <c r="O2400" s="564" t="s">
        <v>3069</v>
      </c>
      <c r="P2400" s="564" t="s">
        <v>3083</v>
      </c>
      <c r="Q2400" s="564"/>
      <c r="R2400" s="564">
        <v>2</v>
      </c>
    </row>
    <row r="2401" spans="1:18" ht="15" customHeight="1" x14ac:dyDescent="0.25">
      <c r="A2401" s="564">
        <v>24</v>
      </c>
      <c r="B2401" s="564">
        <v>4</v>
      </c>
      <c r="C2401" s="564">
        <v>2</v>
      </c>
      <c r="D2401" s="564">
        <v>4</v>
      </c>
      <c r="E2401" s="564">
        <v>2</v>
      </c>
      <c r="F2401" s="564">
        <v>2</v>
      </c>
      <c r="G2401" s="564" t="s">
        <v>491</v>
      </c>
      <c r="H2401" s="564">
        <v>1314.9075</v>
      </c>
      <c r="I2401" s="564">
        <v>88</v>
      </c>
      <c r="J2401" s="564">
        <v>24</v>
      </c>
      <c r="K2401" s="564">
        <v>10</v>
      </c>
      <c r="L2401" s="564">
        <v>2</v>
      </c>
      <c r="M2401" s="561" t="s">
        <v>137</v>
      </c>
      <c r="N2401" s="520">
        <v>43013539220000</v>
      </c>
      <c r="O2401" s="564" t="s">
        <v>3069</v>
      </c>
      <c r="P2401" s="564" t="s">
        <v>3084</v>
      </c>
      <c r="Q2401" s="564"/>
      <c r="R2401" s="564">
        <v>2</v>
      </c>
    </row>
    <row r="2402" spans="1:18" ht="15" customHeight="1" x14ac:dyDescent="0.25">
      <c r="A2402" s="564">
        <v>24</v>
      </c>
      <c r="B2402" s="564">
        <v>4</v>
      </c>
      <c r="C2402" s="564">
        <v>2</v>
      </c>
      <c r="D2402" s="564">
        <v>4</v>
      </c>
      <c r="E2402" s="564">
        <v>2</v>
      </c>
      <c r="F2402" s="564">
        <v>2</v>
      </c>
      <c r="G2402" s="564" t="s">
        <v>494</v>
      </c>
      <c r="H2402" s="564">
        <v>1314.9075</v>
      </c>
      <c r="I2402" s="564">
        <v>88</v>
      </c>
      <c r="J2402" s="564">
        <v>24</v>
      </c>
      <c r="K2402" s="564">
        <v>10</v>
      </c>
      <c r="L2402" s="564">
        <v>2</v>
      </c>
      <c r="M2402" s="561" t="s">
        <v>137</v>
      </c>
      <c r="N2402" s="520">
        <v>43013539220000</v>
      </c>
      <c r="O2402" s="564" t="s">
        <v>3069</v>
      </c>
      <c r="P2402" s="564" t="s">
        <v>3085</v>
      </c>
      <c r="Q2402" s="564"/>
      <c r="R2402" s="564">
        <v>2</v>
      </c>
    </row>
    <row r="2403" spans="1:18" ht="15" customHeight="1" x14ac:dyDescent="0.25">
      <c r="A2403" s="564">
        <v>24</v>
      </c>
      <c r="B2403" s="564">
        <v>4</v>
      </c>
      <c r="C2403" s="564">
        <v>2</v>
      </c>
      <c r="D2403" s="564">
        <v>1</v>
      </c>
      <c r="E2403" s="564">
        <v>2</v>
      </c>
      <c r="F2403" s="564">
        <v>2</v>
      </c>
      <c r="G2403" s="564" t="s">
        <v>473</v>
      </c>
      <c r="H2403" s="564">
        <v>1318.48</v>
      </c>
      <c r="I2403" s="564">
        <v>0</v>
      </c>
      <c r="J2403" s="564">
        <v>26</v>
      </c>
      <c r="K2403" s="564">
        <v>23</v>
      </c>
      <c r="L2403" s="564">
        <v>1</v>
      </c>
      <c r="M2403" s="561" t="s">
        <v>137</v>
      </c>
      <c r="N2403" s="520"/>
      <c r="O2403" s="564"/>
      <c r="P2403" s="564" t="s">
        <v>3086</v>
      </c>
      <c r="Q2403" s="564"/>
      <c r="R2403" s="564">
        <v>1</v>
      </c>
    </row>
    <row r="2404" spans="1:18" ht="15" customHeight="1" x14ac:dyDescent="0.25">
      <c r="A2404" s="564">
        <v>24</v>
      </c>
      <c r="B2404" s="564">
        <v>4</v>
      </c>
      <c r="C2404" s="564">
        <v>2</v>
      </c>
      <c r="D2404" s="564">
        <v>1</v>
      </c>
      <c r="E2404" s="564">
        <v>2</v>
      </c>
      <c r="F2404" s="564">
        <v>2</v>
      </c>
      <c r="G2404" s="521" t="s">
        <v>476</v>
      </c>
      <c r="H2404" s="564">
        <v>1318.48</v>
      </c>
      <c r="I2404" s="564">
        <v>0</v>
      </c>
      <c r="J2404" s="564">
        <v>26</v>
      </c>
      <c r="K2404" s="564">
        <v>23</v>
      </c>
      <c r="L2404" s="564">
        <v>1</v>
      </c>
      <c r="M2404" s="561" t="s">
        <v>137</v>
      </c>
      <c r="N2404" s="520"/>
      <c r="O2404" s="564"/>
      <c r="P2404" s="564" t="s">
        <v>3087</v>
      </c>
      <c r="Q2404" s="564"/>
      <c r="R2404" s="564">
        <v>1</v>
      </c>
    </row>
    <row r="2405" spans="1:18" ht="15" customHeight="1" x14ac:dyDescent="0.25">
      <c r="A2405" s="564">
        <v>24</v>
      </c>
      <c r="B2405" s="564">
        <v>4</v>
      </c>
      <c r="C2405" s="564">
        <v>2</v>
      </c>
      <c r="D2405" s="564">
        <v>1</v>
      </c>
      <c r="E2405" s="564">
        <v>2</v>
      </c>
      <c r="F2405" s="564">
        <v>2</v>
      </c>
      <c r="G2405" s="564" t="s">
        <v>478</v>
      </c>
      <c r="H2405" s="564">
        <v>1318.49</v>
      </c>
      <c r="I2405" s="564">
        <v>0</v>
      </c>
      <c r="J2405" s="564">
        <v>13</v>
      </c>
      <c r="K2405" s="564">
        <v>38</v>
      </c>
      <c r="L2405" s="564">
        <v>3</v>
      </c>
      <c r="M2405" s="561" t="s">
        <v>137</v>
      </c>
      <c r="N2405" s="520"/>
      <c r="O2405" s="564"/>
      <c r="P2405" s="564" t="s">
        <v>3088</v>
      </c>
      <c r="Q2405" s="564"/>
      <c r="R2405" s="564">
        <v>1</v>
      </c>
    </row>
    <row r="2406" spans="1:18" ht="15" customHeight="1" x14ac:dyDescent="0.25">
      <c r="A2406" s="564">
        <v>24</v>
      </c>
      <c r="B2406" s="564">
        <v>4</v>
      </c>
      <c r="C2406" s="564">
        <v>2</v>
      </c>
      <c r="D2406" s="564">
        <v>1</v>
      </c>
      <c r="E2406" s="564">
        <v>2</v>
      </c>
      <c r="F2406" s="564">
        <v>2</v>
      </c>
      <c r="G2406" s="564" t="s">
        <v>484</v>
      </c>
      <c r="H2406" s="564">
        <v>1318.49</v>
      </c>
      <c r="I2406" s="564">
        <v>0</v>
      </c>
      <c r="J2406" s="564">
        <v>13</v>
      </c>
      <c r="K2406" s="564">
        <v>38</v>
      </c>
      <c r="L2406" s="564">
        <v>3</v>
      </c>
      <c r="M2406" s="561" t="s">
        <v>137</v>
      </c>
      <c r="N2406" s="520"/>
      <c r="O2406" s="564"/>
      <c r="P2406" s="564" t="s">
        <v>3089</v>
      </c>
      <c r="Q2406" s="564"/>
      <c r="R2406" s="564">
        <v>1</v>
      </c>
    </row>
    <row r="2407" spans="1:18" ht="15" customHeight="1" x14ac:dyDescent="0.25">
      <c r="A2407" s="564">
        <v>24</v>
      </c>
      <c r="B2407" s="564">
        <v>4</v>
      </c>
      <c r="C2407" s="564">
        <v>2</v>
      </c>
      <c r="D2407" s="564">
        <v>1</v>
      </c>
      <c r="E2407" s="564">
        <v>2</v>
      </c>
      <c r="F2407" s="564">
        <v>2</v>
      </c>
      <c r="G2407" s="564" t="s">
        <v>486</v>
      </c>
      <c r="H2407" s="564">
        <v>1319.01</v>
      </c>
      <c r="I2407" s="564">
        <v>0</v>
      </c>
      <c r="J2407" s="564">
        <v>4</v>
      </c>
      <c r="K2407" s="564">
        <v>42</v>
      </c>
      <c r="L2407" s="564">
        <v>4</v>
      </c>
      <c r="M2407" s="561" t="s">
        <v>137</v>
      </c>
      <c r="N2407" s="520"/>
      <c r="O2407" s="564"/>
      <c r="P2407" s="564" t="s">
        <v>3090</v>
      </c>
      <c r="Q2407" s="564"/>
      <c r="R2407" s="564">
        <v>1</v>
      </c>
    </row>
    <row r="2408" spans="1:18" ht="15" customHeight="1" x14ac:dyDescent="0.25">
      <c r="A2408" s="564">
        <v>24</v>
      </c>
      <c r="B2408" s="564">
        <v>4</v>
      </c>
      <c r="C2408" s="564">
        <v>2</v>
      </c>
      <c r="D2408" s="564">
        <v>1</v>
      </c>
      <c r="E2408" s="564">
        <v>2</v>
      </c>
      <c r="F2408" s="564">
        <v>2</v>
      </c>
      <c r="G2408" s="521" t="s">
        <v>488</v>
      </c>
      <c r="H2408" s="564">
        <v>1319.01</v>
      </c>
      <c r="I2408" s="564">
        <v>0</v>
      </c>
      <c r="J2408" s="564">
        <v>4</v>
      </c>
      <c r="K2408" s="564">
        <v>42</v>
      </c>
      <c r="L2408" s="564">
        <v>4</v>
      </c>
      <c r="M2408" s="561" t="s">
        <v>137</v>
      </c>
      <c r="N2408" s="520"/>
      <c r="O2408" s="564"/>
      <c r="P2408" s="564" t="s">
        <v>3091</v>
      </c>
      <c r="Q2408" s="564"/>
      <c r="R2408" s="564">
        <v>1</v>
      </c>
    </row>
    <row r="2409" spans="1:18" ht="15" customHeight="1" x14ac:dyDescent="0.25">
      <c r="A2409" s="564">
        <v>24</v>
      </c>
      <c r="B2409" s="564">
        <v>4</v>
      </c>
      <c r="C2409" s="564">
        <v>2</v>
      </c>
      <c r="D2409" s="564">
        <v>1</v>
      </c>
      <c r="E2409" s="564">
        <v>2</v>
      </c>
      <c r="F2409" s="564">
        <v>2</v>
      </c>
      <c r="G2409" s="564" t="s">
        <v>490</v>
      </c>
      <c r="H2409" s="564">
        <v>1319.855</v>
      </c>
      <c r="I2409" s="564">
        <v>0</v>
      </c>
      <c r="J2409" s="564">
        <v>18</v>
      </c>
      <c r="K2409" s="564">
        <v>31</v>
      </c>
      <c r="L2409" s="564">
        <v>4</v>
      </c>
      <c r="M2409" s="561" t="s">
        <v>137</v>
      </c>
      <c r="N2409" s="520"/>
      <c r="O2409" s="564"/>
      <c r="P2409" s="564" t="s">
        <v>3092</v>
      </c>
      <c r="Q2409" s="564"/>
      <c r="R2409" s="564">
        <v>1</v>
      </c>
    </row>
    <row r="2410" spans="1:18" ht="15" customHeight="1" x14ac:dyDescent="0.25">
      <c r="A2410" s="564">
        <v>24</v>
      </c>
      <c r="B2410" s="564">
        <v>4</v>
      </c>
      <c r="C2410" s="564">
        <v>2</v>
      </c>
      <c r="D2410" s="564">
        <v>1</v>
      </c>
      <c r="E2410" s="564">
        <v>2</v>
      </c>
      <c r="F2410" s="564">
        <v>2</v>
      </c>
      <c r="G2410" s="564" t="s">
        <v>493</v>
      </c>
      <c r="H2410" s="564">
        <v>1319.855</v>
      </c>
      <c r="I2410" s="564">
        <v>0</v>
      </c>
      <c r="J2410" s="564">
        <v>18</v>
      </c>
      <c r="K2410" s="564">
        <v>31</v>
      </c>
      <c r="L2410" s="564">
        <v>4</v>
      </c>
      <c r="M2410" s="561" t="s">
        <v>137</v>
      </c>
      <c r="N2410" s="520"/>
      <c r="O2410" s="564"/>
      <c r="P2410" s="564" t="s">
        <v>3093</v>
      </c>
      <c r="Q2410" s="564"/>
      <c r="R2410" s="564">
        <v>1</v>
      </c>
    </row>
    <row r="2411" spans="1:18" ht="15" customHeight="1" x14ac:dyDescent="0.25">
      <c r="A2411" s="564">
        <v>24</v>
      </c>
      <c r="B2411" s="564">
        <v>4</v>
      </c>
      <c r="C2411" s="564">
        <v>2</v>
      </c>
      <c r="D2411" s="564">
        <v>1</v>
      </c>
      <c r="E2411" s="564">
        <v>2</v>
      </c>
      <c r="F2411" s="564">
        <v>2</v>
      </c>
      <c r="G2411" s="564" t="s">
        <v>474</v>
      </c>
      <c r="H2411" s="564">
        <v>1317.915</v>
      </c>
      <c r="I2411" s="564">
        <v>88</v>
      </c>
      <c r="J2411" s="564">
        <v>9</v>
      </c>
      <c r="K2411" s="564">
        <v>50</v>
      </c>
      <c r="L2411" s="564">
        <v>1</v>
      </c>
      <c r="M2411" s="561" t="s">
        <v>137</v>
      </c>
      <c r="N2411" s="520"/>
      <c r="O2411" s="564"/>
      <c r="P2411" s="564" t="s">
        <v>3094</v>
      </c>
      <c r="Q2411" s="564"/>
      <c r="R2411" s="564">
        <v>1</v>
      </c>
    </row>
    <row r="2412" spans="1:18" ht="15" customHeight="1" x14ac:dyDescent="0.25">
      <c r="A2412" s="564">
        <v>24</v>
      </c>
      <c r="B2412" s="564">
        <v>4</v>
      </c>
      <c r="C2412" s="564">
        <v>2</v>
      </c>
      <c r="D2412" s="564">
        <v>1</v>
      </c>
      <c r="E2412" s="564">
        <v>2</v>
      </c>
      <c r="F2412" s="564">
        <v>2</v>
      </c>
      <c r="G2412" s="521" t="s">
        <v>477</v>
      </c>
      <c r="H2412" s="564">
        <v>1317.915</v>
      </c>
      <c r="I2412" s="564">
        <v>88</v>
      </c>
      <c r="J2412" s="564">
        <v>9</v>
      </c>
      <c r="K2412" s="564">
        <v>50</v>
      </c>
      <c r="L2412" s="564">
        <v>1</v>
      </c>
      <c r="M2412" s="561" t="s">
        <v>137</v>
      </c>
      <c r="N2412" s="520"/>
      <c r="O2412" s="564"/>
      <c r="P2412" s="564" t="s">
        <v>3095</v>
      </c>
      <c r="Q2412" s="564"/>
      <c r="R2412" s="564">
        <v>1</v>
      </c>
    </row>
    <row r="2413" spans="1:18" ht="15" customHeight="1" x14ac:dyDescent="0.25">
      <c r="A2413" s="564">
        <v>24</v>
      </c>
      <c r="B2413" s="564">
        <v>4</v>
      </c>
      <c r="C2413" s="564">
        <v>2</v>
      </c>
      <c r="D2413" s="564">
        <v>1</v>
      </c>
      <c r="E2413" s="564">
        <v>2</v>
      </c>
      <c r="F2413" s="564">
        <v>2</v>
      </c>
      <c r="G2413" s="564" t="s">
        <v>479</v>
      </c>
      <c r="H2413" s="564">
        <v>1317.915</v>
      </c>
      <c r="I2413" s="564">
        <v>88</v>
      </c>
      <c r="J2413" s="564">
        <v>9</v>
      </c>
      <c r="K2413" s="564">
        <v>50</v>
      </c>
      <c r="L2413" s="564">
        <v>1</v>
      </c>
      <c r="M2413" s="561" t="s">
        <v>137</v>
      </c>
      <c r="N2413" s="520"/>
      <c r="O2413" s="564"/>
      <c r="P2413" s="564" t="s">
        <v>3096</v>
      </c>
      <c r="Q2413" s="564"/>
      <c r="R2413" s="564">
        <v>1</v>
      </c>
    </row>
    <row r="2414" spans="1:18" ht="15" customHeight="1" x14ac:dyDescent="0.25">
      <c r="A2414" s="564">
        <v>24</v>
      </c>
      <c r="B2414" s="564">
        <v>4</v>
      </c>
      <c r="C2414" s="564">
        <v>2</v>
      </c>
      <c r="D2414" s="564">
        <v>1</v>
      </c>
      <c r="E2414" s="564">
        <v>2</v>
      </c>
      <c r="F2414" s="564">
        <v>2</v>
      </c>
      <c r="G2414" s="564" t="s">
        <v>485</v>
      </c>
      <c r="H2414" s="564">
        <v>1317.915</v>
      </c>
      <c r="I2414" s="564">
        <v>88</v>
      </c>
      <c r="J2414" s="564">
        <v>9</v>
      </c>
      <c r="K2414" s="564">
        <v>50</v>
      </c>
      <c r="L2414" s="564">
        <v>1</v>
      </c>
      <c r="M2414" s="561" t="s">
        <v>137</v>
      </c>
      <c r="N2414" s="520"/>
      <c r="O2414" s="564"/>
      <c r="P2414" s="564" t="s">
        <v>3097</v>
      </c>
      <c r="Q2414" s="564"/>
      <c r="R2414" s="564">
        <v>1</v>
      </c>
    </row>
    <row r="2415" spans="1:18" ht="15" customHeight="1" x14ac:dyDescent="0.25">
      <c r="A2415" s="564">
        <v>24</v>
      </c>
      <c r="B2415" s="564">
        <v>4</v>
      </c>
      <c r="C2415" s="564">
        <v>2</v>
      </c>
      <c r="D2415" s="564">
        <v>1</v>
      </c>
      <c r="E2415" s="564">
        <v>2</v>
      </c>
      <c r="F2415" s="564">
        <v>2</v>
      </c>
      <c r="G2415" s="564" t="s">
        <v>487</v>
      </c>
      <c r="H2415" s="564">
        <v>1320.55</v>
      </c>
      <c r="I2415" s="564">
        <v>89</v>
      </c>
      <c r="J2415" s="564">
        <v>48</v>
      </c>
      <c r="K2415" s="564">
        <v>3</v>
      </c>
      <c r="L2415" s="564">
        <v>1</v>
      </c>
      <c r="M2415" s="561" t="s">
        <v>137</v>
      </c>
      <c r="N2415" s="520"/>
      <c r="O2415" s="564"/>
      <c r="P2415" s="564" t="s">
        <v>3098</v>
      </c>
      <c r="Q2415" s="564"/>
      <c r="R2415" s="564">
        <v>1</v>
      </c>
    </row>
    <row r="2416" spans="1:18" ht="15" customHeight="1" x14ac:dyDescent="0.25">
      <c r="A2416" s="564">
        <v>24</v>
      </c>
      <c r="B2416" s="564">
        <v>4</v>
      </c>
      <c r="C2416" s="564">
        <v>2</v>
      </c>
      <c r="D2416" s="564">
        <v>1</v>
      </c>
      <c r="E2416" s="564">
        <v>2</v>
      </c>
      <c r="F2416" s="564">
        <v>2</v>
      </c>
      <c r="G2416" s="521" t="s">
        <v>489</v>
      </c>
      <c r="H2416" s="564">
        <v>1320.55</v>
      </c>
      <c r="I2416" s="564">
        <v>89</v>
      </c>
      <c r="J2416" s="564">
        <v>48</v>
      </c>
      <c r="K2416" s="564">
        <v>3</v>
      </c>
      <c r="L2416" s="564">
        <v>1</v>
      </c>
      <c r="M2416" s="561" t="s">
        <v>137</v>
      </c>
      <c r="N2416" s="520"/>
      <c r="O2416" s="564"/>
      <c r="P2416" s="564" t="s">
        <v>3099</v>
      </c>
      <c r="Q2416" s="564"/>
      <c r="R2416" s="564">
        <v>1</v>
      </c>
    </row>
    <row r="2417" spans="1:20" ht="15" customHeight="1" x14ac:dyDescent="0.25">
      <c r="A2417" s="564">
        <v>24</v>
      </c>
      <c r="B2417" s="564">
        <v>4</v>
      </c>
      <c r="C2417" s="564">
        <v>2</v>
      </c>
      <c r="D2417" s="564">
        <v>1</v>
      </c>
      <c r="E2417" s="564">
        <v>2</v>
      </c>
      <c r="F2417" s="564">
        <v>2</v>
      </c>
      <c r="G2417" s="564" t="s">
        <v>491</v>
      </c>
      <c r="H2417" s="564">
        <v>1320.55</v>
      </c>
      <c r="I2417" s="564">
        <v>89</v>
      </c>
      <c r="J2417" s="564">
        <v>48</v>
      </c>
      <c r="K2417" s="564">
        <v>3</v>
      </c>
      <c r="L2417" s="564">
        <v>1</v>
      </c>
      <c r="M2417" s="561" t="s">
        <v>137</v>
      </c>
      <c r="N2417" s="520"/>
      <c r="O2417" s="564"/>
      <c r="P2417" s="564" t="s">
        <v>3100</v>
      </c>
      <c r="Q2417" s="564"/>
      <c r="R2417" s="564">
        <v>1</v>
      </c>
    </row>
    <row r="2418" spans="1:20" ht="15" customHeight="1" x14ac:dyDescent="0.25">
      <c r="A2418" s="564">
        <v>24</v>
      </c>
      <c r="B2418" s="564">
        <v>4</v>
      </c>
      <c r="C2418" s="564">
        <v>2</v>
      </c>
      <c r="D2418" s="564">
        <v>1</v>
      </c>
      <c r="E2418" s="564">
        <v>2</v>
      </c>
      <c r="F2418" s="564">
        <v>2</v>
      </c>
      <c r="G2418" s="564" t="s">
        <v>494</v>
      </c>
      <c r="H2418" s="564">
        <v>1320.55</v>
      </c>
      <c r="I2418" s="564">
        <v>89</v>
      </c>
      <c r="J2418" s="564">
        <v>48</v>
      </c>
      <c r="K2418" s="564">
        <v>3</v>
      </c>
      <c r="L2418" s="564">
        <v>1</v>
      </c>
      <c r="M2418" s="561" t="s">
        <v>137</v>
      </c>
      <c r="N2418" s="520"/>
      <c r="O2418" s="564"/>
      <c r="P2418" s="564" t="s">
        <v>3101</v>
      </c>
      <c r="Q2418" s="564"/>
      <c r="R2418" s="564">
        <v>1</v>
      </c>
    </row>
    <row r="2419" spans="1:20" ht="15" customHeight="1" x14ac:dyDescent="0.25">
      <c r="A2419" s="564">
        <v>24</v>
      </c>
      <c r="B2419" s="564">
        <v>3</v>
      </c>
      <c r="C2419" s="564">
        <v>2</v>
      </c>
      <c r="D2419" s="564">
        <v>5</v>
      </c>
      <c r="E2419" s="564">
        <v>2</v>
      </c>
      <c r="F2419" s="564">
        <v>2</v>
      </c>
      <c r="G2419" s="564" t="s">
        <v>473</v>
      </c>
      <c r="H2419" s="564">
        <v>1318.095</v>
      </c>
      <c r="I2419" s="564">
        <v>0</v>
      </c>
      <c r="J2419" s="564">
        <v>7</v>
      </c>
      <c r="K2419" s="564">
        <v>46</v>
      </c>
      <c r="L2419" s="564">
        <v>2</v>
      </c>
      <c r="M2419" s="561" t="s">
        <v>137</v>
      </c>
      <c r="N2419" s="651">
        <v>4301354084</v>
      </c>
      <c r="O2419" s="564" t="s">
        <v>2968</v>
      </c>
      <c r="P2419" s="564" t="s">
        <v>3102</v>
      </c>
      <c r="Q2419" s="564"/>
      <c r="R2419" s="564">
        <v>2</v>
      </c>
      <c r="S2419" s="484"/>
      <c r="T2419" s="484"/>
    </row>
    <row r="2420" spans="1:20" ht="15" customHeight="1" x14ac:dyDescent="0.25">
      <c r="A2420" s="564">
        <v>24</v>
      </c>
      <c r="B2420" s="564">
        <v>3</v>
      </c>
      <c r="C2420" s="564">
        <v>2</v>
      </c>
      <c r="D2420" s="564">
        <v>5</v>
      </c>
      <c r="E2420" s="564">
        <v>2</v>
      </c>
      <c r="F2420" s="564">
        <v>2</v>
      </c>
      <c r="G2420" s="521" t="s">
        <v>476</v>
      </c>
      <c r="H2420" s="564">
        <v>1318.095</v>
      </c>
      <c r="I2420" s="564">
        <v>0</v>
      </c>
      <c r="J2420" s="564">
        <v>7</v>
      </c>
      <c r="K2420" s="564">
        <v>46</v>
      </c>
      <c r="L2420" s="564">
        <v>2</v>
      </c>
      <c r="M2420" s="561" t="s">
        <v>137</v>
      </c>
      <c r="N2420" s="651">
        <v>4301354084</v>
      </c>
      <c r="O2420" s="564" t="s">
        <v>2968</v>
      </c>
      <c r="P2420" s="564" t="s">
        <v>3103</v>
      </c>
      <c r="Q2420" s="564"/>
      <c r="R2420" s="564">
        <v>2</v>
      </c>
      <c r="S2420" s="484"/>
      <c r="T2420" s="484"/>
    </row>
    <row r="2421" spans="1:20" ht="15" customHeight="1" x14ac:dyDescent="0.25">
      <c r="A2421" s="564">
        <v>24</v>
      </c>
      <c r="B2421" s="564">
        <v>3</v>
      </c>
      <c r="C2421" s="564">
        <v>2</v>
      </c>
      <c r="D2421" s="564">
        <v>5</v>
      </c>
      <c r="E2421" s="564">
        <v>2</v>
      </c>
      <c r="F2421" s="564">
        <v>2</v>
      </c>
      <c r="G2421" s="564" t="s">
        <v>478</v>
      </c>
      <c r="H2421" s="564">
        <v>1318.095</v>
      </c>
      <c r="I2421" s="564">
        <v>0</v>
      </c>
      <c r="J2421" s="564">
        <v>7</v>
      </c>
      <c r="K2421" s="564">
        <v>46</v>
      </c>
      <c r="L2421" s="564">
        <v>2</v>
      </c>
      <c r="M2421" s="561" t="s">
        <v>137</v>
      </c>
      <c r="N2421" s="651">
        <v>4301354084</v>
      </c>
      <c r="O2421" s="564" t="s">
        <v>2968</v>
      </c>
      <c r="P2421" s="564" t="s">
        <v>3104</v>
      </c>
      <c r="Q2421" s="564"/>
      <c r="R2421" s="564">
        <v>2</v>
      </c>
      <c r="S2421" s="484"/>
      <c r="T2421" s="484"/>
    </row>
    <row r="2422" spans="1:20" ht="15" customHeight="1" x14ac:dyDescent="0.25">
      <c r="A2422" s="564">
        <v>24</v>
      </c>
      <c r="B2422" s="564">
        <v>3</v>
      </c>
      <c r="C2422" s="564">
        <v>2</v>
      </c>
      <c r="D2422" s="564">
        <v>5</v>
      </c>
      <c r="E2422" s="564">
        <v>2</v>
      </c>
      <c r="F2422" s="564">
        <v>2</v>
      </c>
      <c r="G2422" s="564" t="s">
        <v>484</v>
      </c>
      <c r="H2422" s="564">
        <v>1318.095</v>
      </c>
      <c r="I2422" s="564">
        <v>0</v>
      </c>
      <c r="J2422" s="564">
        <v>7</v>
      </c>
      <c r="K2422" s="564">
        <v>46</v>
      </c>
      <c r="L2422" s="564">
        <v>2</v>
      </c>
      <c r="M2422" s="561" t="s">
        <v>137</v>
      </c>
      <c r="N2422" s="651">
        <v>4301354084</v>
      </c>
      <c r="O2422" s="564" t="s">
        <v>2968</v>
      </c>
      <c r="P2422" s="564" t="s">
        <v>3105</v>
      </c>
      <c r="Q2422" s="564"/>
      <c r="R2422" s="564">
        <v>2</v>
      </c>
      <c r="S2422" s="484"/>
      <c r="T2422" s="484"/>
    </row>
    <row r="2423" spans="1:20" ht="15" customHeight="1" x14ac:dyDescent="0.25">
      <c r="A2423" s="564">
        <v>24</v>
      </c>
      <c r="B2423" s="564">
        <v>3</v>
      </c>
      <c r="C2423" s="564">
        <v>2</v>
      </c>
      <c r="D2423" s="564">
        <v>5</v>
      </c>
      <c r="E2423" s="564">
        <v>2</v>
      </c>
      <c r="F2423" s="564">
        <v>2</v>
      </c>
      <c r="G2423" s="564" t="s">
        <v>486</v>
      </c>
      <c r="H2423" s="564">
        <v>1320.31</v>
      </c>
      <c r="I2423" s="564">
        <v>0</v>
      </c>
      <c r="J2423" s="564">
        <v>1</v>
      </c>
      <c r="K2423" s="564">
        <v>28</v>
      </c>
      <c r="L2423" s="564">
        <v>2</v>
      </c>
      <c r="M2423" s="561" t="s">
        <v>137</v>
      </c>
      <c r="N2423" s="651">
        <v>4301354084</v>
      </c>
      <c r="O2423" s="564" t="s">
        <v>2968</v>
      </c>
      <c r="P2423" s="564" t="s">
        <v>3106</v>
      </c>
      <c r="Q2423" s="564"/>
      <c r="R2423" s="564">
        <v>2</v>
      </c>
      <c r="S2423" s="484"/>
      <c r="T2423" s="484"/>
    </row>
    <row r="2424" spans="1:20" ht="15" customHeight="1" x14ac:dyDescent="0.25">
      <c r="A2424" s="564">
        <v>24</v>
      </c>
      <c r="B2424" s="564">
        <v>3</v>
      </c>
      <c r="C2424" s="564">
        <v>2</v>
      </c>
      <c r="D2424" s="564">
        <v>5</v>
      </c>
      <c r="E2424" s="564">
        <v>2</v>
      </c>
      <c r="F2424" s="564">
        <v>2</v>
      </c>
      <c r="G2424" s="521" t="s">
        <v>488</v>
      </c>
      <c r="H2424" s="564">
        <v>1320.31</v>
      </c>
      <c r="I2424" s="564">
        <v>0</v>
      </c>
      <c r="J2424" s="564">
        <v>1</v>
      </c>
      <c r="K2424" s="564">
        <v>28</v>
      </c>
      <c r="L2424" s="564">
        <v>2</v>
      </c>
      <c r="M2424" s="561" t="s">
        <v>137</v>
      </c>
      <c r="N2424" s="651">
        <v>4301354084</v>
      </c>
      <c r="O2424" s="564" t="s">
        <v>2968</v>
      </c>
      <c r="P2424" s="564" t="s">
        <v>3107</v>
      </c>
      <c r="Q2424" s="564"/>
      <c r="R2424" s="564">
        <v>2</v>
      </c>
      <c r="S2424" s="484"/>
      <c r="T2424" s="484"/>
    </row>
    <row r="2425" spans="1:20" ht="15" customHeight="1" x14ac:dyDescent="0.25">
      <c r="A2425" s="564">
        <v>24</v>
      </c>
      <c r="B2425" s="564">
        <v>3</v>
      </c>
      <c r="C2425" s="564">
        <v>2</v>
      </c>
      <c r="D2425" s="564">
        <v>5</v>
      </c>
      <c r="E2425" s="564">
        <v>2</v>
      </c>
      <c r="F2425" s="564">
        <v>2</v>
      </c>
      <c r="G2425" s="564" t="s">
        <v>490</v>
      </c>
      <c r="H2425" s="564">
        <v>1320.31</v>
      </c>
      <c r="I2425" s="564">
        <v>0</v>
      </c>
      <c r="J2425" s="564">
        <v>1</v>
      </c>
      <c r="K2425" s="564">
        <v>28</v>
      </c>
      <c r="L2425" s="564">
        <v>2</v>
      </c>
      <c r="M2425" s="561" t="s">
        <v>137</v>
      </c>
      <c r="N2425" s="651">
        <v>4301354084</v>
      </c>
      <c r="O2425" s="564" t="s">
        <v>2968</v>
      </c>
      <c r="P2425" s="564" t="s">
        <v>3108</v>
      </c>
      <c r="Q2425" s="564"/>
      <c r="R2425" s="564">
        <v>2</v>
      </c>
      <c r="S2425" s="484"/>
      <c r="T2425" s="484"/>
    </row>
    <row r="2426" spans="1:20" ht="15" customHeight="1" x14ac:dyDescent="0.25">
      <c r="A2426" s="564">
        <v>24</v>
      </c>
      <c r="B2426" s="564">
        <v>3</v>
      </c>
      <c r="C2426" s="564">
        <v>2</v>
      </c>
      <c r="D2426" s="564">
        <v>5</v>
      </c>
      <c r="E2426" s="564">
        <v>2</v>
      </c>
      <c r="F2426" s="564">
        <v>2</v>
      </c>
      <c r="G2426" s="564" t="s">
        <v>493</v>
      </c>
      <c r="H2426" s="564">
        <v>1320.31</v>
      </c>
      <c r="I2426" s="564">
        <v>0</v>
      </c>
      <c r="J2426" s="564">
        <v>1</v>
      </c>
      <c r="K2426" s="564">
        <v>28</v>
      </c>
      <c r="L2426" s="564">
        <v>2</v>
      </c>
      <c r="M2426" s="561" t="s">
        <v>137</v>
      </c>
      <c r="N2426" s="651">
        <v>4301354084</v>
      </c>
      <c r="O2426" s="564" t="s">
        <v>2968</v>
      </c>
      <c r="P2426" s="564" t="s">
        <v>3109</v>
      </c>
      <c r="Q2426" s="564"/>
      <c r="R2426" s="564">
        <v>2</v>
      </c>
      <c r="S2426" s="484"/>
      <c r="T2426" s="484"/>
    </row>
    <row r="2427" spans="1:20" ht="15" customHeight="1" x14ac:dyDescent="0.25">
      <c r="A2427" s="564">
        <v>24</v>
      </c>
      <c r="B2427" s="564">
        <v>3</v>
      </c>
      <c r="C2427" s="564">
        <v>2</v>
      </c>
      <c r="D2427" s="564">
        <v>5</v>
      </c>
      <c r="E2427" s="564">
        <v>2</v>
      </c>
      <c r="F2427" s="564">
        <v>2</v>
      </c>
      <c r="G2427" s="564" t="s">
        <v>474</v>
      </c>
      <c r="H2427" s="564">
        <v>1319.6775</v>
      </c>
      <c r="I2427" s="564">
        <v>89</v>
      </c>
      <c r="J2427" s="564">
        <v>38</v>
      </c>
      <c r="K2427" s="564">
        <v>17</v>
      </c>
      <c r="L2427" s="564">
        <v>2</v>
      </c>
      <c r="M2427" s="561" t="s">
        <v>137</v>
      </c>
      <c r="N2427" s="651">
        <v>4301354084</v>
      </c>
      <c r="O2427" s="564" t="s">
        <v>2968</v>
      </c>
      <c r="P2427" s="564" t="s">
        <v>3110</v>
      </c>
      <c r="Q2427" s="564"/>
      <c r="R2427" s="564">
        <v>2</v>
      </c>
      <c r="S2427" s="484"/>
      <c r="T2427" s="484"/>
    </row>
    <row r="2428" spans="1:20" ht="15" customHeight="1" x14ac:dyDescent="0.25">
      <c r="A2428" s="564">
        <v>24</v>
      </c>
      <c r="B2428" s="564">
        <v>3</v>
      </c>
      <c r="C2428" s="564">
        <v>2</v>
      </c>
      <c r="D2428" s="564">
        <v>5</v>
      </c>
      <c r="E2428" s="564">
        <v>2</v>
      </c>
      <c r="F2428" s="564">
        <v>2</v>
      </c>
      <c r="G2428" s="521" t="s">
        <v>477</v>
      </c>
      <c r="H2428" s="564">
        <v>1319.6775</v>
      </c>
      <c r="I2428" s="564">
        <v>89</v>
      </c>
      <c r="J2428" s="564">
        <v>38</v>
      </c>
      <c r="K2428" s="564">
        <v>17</v>
      </c>
      <c r="L2428" s="564">
        <v>2</v>
      </c>
      <c r="M2428" s="561" t="s">
        <v>137</v>
      </c>
      <c r="N2428" s="651">
        <v>4301354084</v>
      </c>
      <c r="O2428" s="564" t="s">
        <v>2968</v>
      </c>
      <c r="P2428" s="564" t="s">
        <v>3111</v>
      </c>
      <c r="Q2428" s="564"/>
      <c r="R2428" s="564">
        <v>2</v>
      </c>
      <c r="S2428" s="484"/>
      <c r="T2428" s="484"/>
    </row>
    <row r="2429" spans="1:20" ht="15" customHeight="1" x14ac:dyDescent="0.25">
      <c r="A2429" s="564">
        <v>24</v>
      </c>
      <c r="B2429" s="564">
        <v>3</v>
      </c>
      <c r="C2429" s="564">
        <v>2</v>
      </c>
      <c r="D2429" s="564">
        <v>5</v>
      </c>
      <c r="E2429" s="564">
        <v>2</v>
      </c>
      <c r="F2429" s="564">
        <v>2</v>
      </c>
      <c r="G2429" s="564" t="s">
        <v>479</v>
      </c>
      <c r="H2429" s="564">
        <v>1319.6775</v>
      </c>
      <c r="I2429" s="564">
        <v>89</v>
      </c>
      <c r="J2429" s="564">
        <v>38</v>
      </c>
      <c r="K2429" s="564">
        <v>17</v>
      </c>
      <c r="L2429" s="564">
        <v>2</v>
      </c>
      <c r="M2429" s="561" t="s">
        <v>137</v>
      </c>
      <c r="N2429" s="651">
        <v>4301354084</v>
      </c>
      <c r="O2429" s="564" t="s">
        <v>2968</v>
      </c>
      <c r="P2429" s="564" t="s">
        <v>3112</v>
      </c>
      <c r="Q2429" s="564"/>
      <c r="R2429" s="564">
        <v>2</v>
      </c>
      <c r="S2429" s="484"/>
      <c r="T2429" s="484"/>
    </row>
    <row r="2430" spans="1:20" ht="15" customHeight="1" x14ac:dyDescent="0.25">
      <c r="A2430" s="564">
        <v>24</v>
      </c>
      <c r="B2430" s="564">
        <v>3</v>
      </c>
      <c r="C2430" s="564">
        <v>2</v>
      </c>
      <c r="D2430" s="564">
        <v>5</v>
      </c>
      <c r="E2430" s="564">
        <v>2</v>
      </c>
      <c r="F2430" s="564">
        <v>2</v>
      </c>
      <c r="G2430" s="564" t="s">
        <v>485</v>
      </c>
      <c r="H2430" s="564">
        <v>1319.6775</v>
      </c>
      <c r="I2430" s="564">
        <v>89</v>
      </c>
      <c r="J2430" s="564">
        <v>38</v>
      </c>
      <c r="K2430" s="564">
        <v>17</v>
      </c>
      <c r="L2430" s="564">
        <v>2</v>
      </c>
      <c r="M2430" s="561" t="s">
        <v>137</v>
      </c>
      <c r="N2430" s="651">
        <v>4301354084</v>
      </c>
      <c r="O2430" s="564" t="s">
        <v>2968</v>
      </c>
      <c r="P2430" s="564" t="s">
        <v>3113</v>
      </c>
      <c r="Q2430" s="564"/>
      <c r="R2430" s="564">
        <v>2</v>
      </c>
      <c r="S2430" s="484"/>
      <c r="T2430" s="484"/>
    </row>
    <row r="2431" spans="1:20" ht="15" customHeight="1" x14ac:dyDescent="0.25">
      <c r="A2431" s="564">
        <v>24</v>
      </c>
      <c r="B2431" s="564">
        <v>3</v>
      </c>
      <c r="C2431" s="564">
        <v>2</v>
      </c>
      <c r="D2431" s="564">
        <v>5</v>
      </c>
      <c r="E2431" s="564">
        <v>2</v>
      </c>
      <c r="F2431" s="564">
        <v>2</v>
      </c>
      <c r="G2431" s="564" t="s">
        <v>487</v>
      </c>
      <c r="H2431" s="564">
        <v>1322.11</v>
      </c>
      <c r="I2431" s="564">
        <v>89</v>
      </c>
      <c r="J2431" s="564">
        <v>44</v>
      </c>
      <c r="K2431" s="564">
        <v>10</v>
      </c>
      <c r="L2431" s="564">
        <v>3</v>
      </c>
      <c r="M2431" s="561" t="s">
        <v>137</v>
      </c>
      <c r="N2431" s="651">
        <v>4301354084</v>
      </c>
      <c r="O2431" s="564" t="s">
        <v>2968</v>
      </c>
      <c r="P2431" s="564" t="s">
        <v>3114</v>
      </c>
      <c r="Q2431" s="564"/>
      <c r="R2431" s="564">
        <v>2</v>
      </c>
      <c r="S2431" s="484"/>
      <c r="T2431" s="484"/>
    </row>
    <row r="2432" spans="1:20" ht="15" customHeight="1" x14ac:dyDescent="0.25">
      <c r="A2432" s="564">
        <v>24</v>
      </c>
      <c r="B2432" s="564">
        <v>3</v>
      </c>
      <c r="C2432" s="564">
        <v>2</v>
      </c>
      <c r="D2432" s="564">
        <v>5</v>
      </c>
      <c r="E2432" s="564">
        <v>2</v>
      </c>
      <c r="F2432" s="564">
        <v>2</v>
      </c>
      <c r="G2432" s="521" t="s">
        <v>489</v>
      </c>
      <c r="H2432" s="564">
        <v>1322.11</v>
      </c>
      <c r="I2432" s="564">
        <v>89</v>
      </c>
      <c r="J2432" s="564">
        <v>44</v>
      </c>
      <c r="K2432" s="564">
        <v>10</v>
      </c>
      <c r="L2432" s="564">
        <v>3</v>
      </c>
      <c r="M2432" s="561" t="s">
        <v>137</v>
      </c>
      <c r="N2432" s="651">
        <v>4301354084</v>
      </c>
      <c r="O2432" s="564" t="s">
        <v>2968</v>
      </c>
      <c r="P2432" s="564" t="s">
        <v>3115</v>
      </c>
      <c r="Q2432" s="564"/>
      <c r="R2432" s="564">
        <v>2</v>
      </c>
      <c r="S2432" s="484"/>
      <c r="T2432" s="484"/>
    </row>
    <row r="2433" spans="1:20" ht="15" customHeight="1" x14ac:dyDescent="0.25">
      <c r="A2433" s="564">
        <v>24</v>
      </c>
      <c r="B2433" s="564">
        <v>3</v>
      </c>
      <c r="C2433" s="564">
        <v>2</v>
      </c>
      <c r="D2433" s="564">
        <v>5</v>
      </c>
      <c r="E2433" s="564">
        <v>2</v>
      </c>
      <c r="F2433" s="564">
        <v>2</v>
      </c>
      <c r="G2433" s="564" t="s">
        <v>491</v>
      </c>
      <c r="H2433" s="564">
        <v>1322.0650000000001</v>
      </c>
      <c r="I2433" s="564">
        <v>89</v>
      </c>
      <c r="J2433" s="564">
        <v>44</v>
      </c>
      <c r="K2433" s="564">
        <v>1</v>
      </c>
      <c r="L2433" s="564">
        <v>2</v>
      </c>
      <c r="M2433" s="561" t="s">
        <v>137</v>
      </c>
      <c r="N2433" s="651">
        <v>4301354084</v>
      </c>
      <c r="O2433" s="564" t="s">
        <v>2968</v>
      </c>
      <c r="P2433" s="564" t="s">
        <v>3116</v>
      </c>
      <c r="Q2433" s="564"/>
      <c r="R2433" s="564">
        <v>2</v>
      </c>
      <c r="S2433" s="484"/>
      <c r="T2433" s="484"/>
    </row>
    <row r="2434" spans="1:20" ht="15" customHeight="1" x14ac:dyDescent="0.25">
      <c r="A2434" s="564">
        <v>24</v>
      </c>
      <c r="B2434" s="564">
        <v>3</v>
      </c>
      <c r="C2434" s="564">
        <v>2</v>
      </c>
      <c r="D2434" s="564">
        <v>5</v>
      </c>
      <c r="E2434" s="564">
        <v>2</v>
      </c>
      <c r="F2434" s="564">
        <v>2</v>
      </c>
      <c r="G2434" s="564" t="s">
        <v>494</v>
      </c>
      <c r="H2434" s="564">
        <v>1322.0650000000001</v>
      </c>
      <c r="I2434" s="564">
        <v>89</v>
      </c>
      <c r="J2434" s="564">
        <v>44</v>
      </c>
      <c r="K2434" s="564">
        <v>1</v>
      </c>
      <c r="L2434" s="564">
        <v>2</v>
      </c>
      <c r="M2434" s="561" t="s">
        <v>137</v>
      </c>
      <c r="N2434" s="651">
        <v>4301354084</v>
      </c>
      <c r="O2434" s="564" t="s">
        <v>2968</v>
      </c>
      <c r="P2434" s="564" t="s">
        <v>3117</v>
      </c>
      <c r="Q2434" s="564"/>
      <c r="R2434" s="564">
        <v>2</v>
      </c>
      <c r="S2434" s="484"/>
      <c r="T2434" s="484"/>
    </row>
    <row r="2435" spans="1:20" ht="15" customHeight="1" x14ac:dyDescent="0.25">
      <c r="A2435" s="564">
        <v>24</v>
      </c>
      <c r="B2435" s="564">
        <v>4</v>
      </c>
      <c r="C2435" s="564">
        <v>2</v>
      </c>
      <c r="D2435" s="564">
        <v>2</v>
      </c>
      <c r="E2435" s="564">
        <v>1</v>
      </c>
      <c r="F2435" s="564">
        <v>2</v>
      </c>
      <c r="G2435" s="564" t="s">
        <v>473</v>
      </c>
      <c r="H2435" s="564">
        <v>1327.56</v>
      </c>
      <c r="I2435" s="564">
        <v>1</v>
      </c>
      <c r="J2435" s="564">
        <v>5</v>
      </c>
      <c r="K2435" s="564">
        <v>26</v>
      </c>
      <c r="L2435" s="564">
        <v>4</v>
      </c>
      <c r="M2435" s="561" t="s">
        <v>312</v>
      </c>
      <c r="N2435" s="651">
        <v>4304756708</v>
      </c>
      <c r="O2435" s="564" t="s">
        <v>3118</v>
      </c>
      <c r="P2435" s="564" t="s">
        <v>3119</v>
      </c>
      <c r="Q2435" s="564"/>
      <c r="R2435" s="564">
        <v>1</v>
      </c>
    </row>
    <row r="2436" spans="1:20" ht="15" customHeight="1" x14ac:dyDescent="0.25">
      <c r="A2436" s="564">
        <v>24</v>
      </c>
      <c r="B2436" s="564">
        <v>4</v>
      </c>
      <c r="C2436" s="564">
        <v>2</v>
      </c>
      <c r="D2436" s="564">
        <v>2</v>
      </c>
      <c r="E2436" s="564">
        <v>1</v>
      </c>
      <c r="F2436" s="564">
        <v>2</v>
      </c>
      <c r="G2436" s="521" t="s">
        <v>476</v>
      </c>
      <c r="H2436" s="564">
        <v>1357.5</v>
      </c>
      <c r="I2436" s="564">
        <v>1</v>
      </c>
      <c r="J2436" s="564">
        <v>5</v>
      </c>
      <c r="K2436" s="564">
        <v>18</v>
      </c>
      <c r="L2436" s="564">
        <v>4</v>
      </c>
      <c r="M2436" s="561" t="s">
        <v>312</v>
      </c>
      <c r="N2436" s="651">
        <v>4304756708</v>
      </c>
      <c r="O2436" s="564" t="s">
        <v>3118</v>
      </c>
      <c r="P2436" s="564" t="s">
        <v>3120</v>
      </c>
      <c r="Q2436" s="564"/>
      <c r="R2436" s="564">
        <v>1</v>
      </c>
    </row>
    <row r="2437" spans="1:20" ht="15" customHeight="1" x14ac:dyDescent="0.25">
      <c r="A2437" s="564">
        <v>24</v>
      </c>
      <c r="B2437" s="564">
        <v>4</v>
      </c>
      <c r="C2437" s="564">
        <v>2</v>
      </c>
      <c r="D2437" s="564">
        <v>2</v>
      </c>
      <c r="E2437" s="564">
        <v>1</v>
      </c>
      <c r="F2437" s="564">
        <v>2</v>
      </c>
      <c r="G2437" s="564" t="s">
        <v>478</v>
      </c>
      <c r="H2437" s="564">
        <v>1307.3399999999999</v>
      </c>
      <c r="I2437" s="564">
        <v>0</v>
      </c>
      <c r="J2437" s="564">
        <v>5</v>
      </c>
      <c r="K2437" s="564">
        <v>38</v>
      </c>
      <c r="L2437" s="564">
        <v>2</v>
      </c>
      <c r="M2437" s="561" t="s">
        <v>312</v>
      </c>
      <c r="N2437" s="651">
        <v>4304756708</v>
      </c>
      <c r="O2437" s="564" t="s">
        <v>3118</v>
      </c>
      <c r="P2437" s="564" t="s">
        <v>3121</v>
      </c>
      <c r="Q2437" s="564"/>
      <c r="R2437" s="564">
        <v>1</v>
      </c>
    </row>
    <row r="2438" spans="1:20" ht="15" customHeight="1" x14ac:dyDescent="0.25">
      <c r="A2438" s="564">
        <v>24</v>
      </c>
      <c r="B2438" s="564">
        <v>4</v>
      </c>
      <c r="C2438" s="564">
        <v>2</v>
      </c>
      <c r="D2438" s="564">
        <v>2</v>
      </c>
      <c r="E2438" s="564">
        <v>1</v>
      </c>
      <c r="F2438" s="564">
        <v>2</v>
      </c>
      <c r="G2438" s="564" t="s">
        <v>484</v>
      </c>
      <c r="H2438" s="564">
        <v>763.23</v>
      </c>
      <c r="I2438" s="564">
        <v>1</v>
      </c>
      <c r="J2438" s="564">
        <v>46</v>
      </c>
      <c r="K2438" s="564">
        <v>51</v>
      </c>
      <c r="L2438" s="564">
        <v>4</v>
      </c>
      <c r="M2438" s="561" t="s">
        <v>312</v>
      </c>
      <c r="N2438" s="651">
        <v>4304756708</v>
      </c>
      <c r="O2438" s="564" t="s">
        <v>3118</v>
      </c>
      <c r="P2438" s="564" t="s">
        <v>3122</v>
      </c>
      <c r="Q2438" s="564"/>
      <c r="R2438" s="564">
        <v>1</v>
      </c>
    </row>
    <row r="2439" spans="1:20" ht="15" customHeight="1" x14ac:dyDescent="0.25">
      <c r="A2439" s="564">
        <v>24</v>
      </c>
      <c r="B2439" s="564">
        <v>4</v>
      </c>
      <c r="C2439" s="564">
        <v>2</v>
      </c>
      <c r="D2439" s="564">
        <v>2</v>
      </c>
      <c r="E2439" s="564">
        <v>1</v>
      </c>
      <c r="F2439" s="564">
        <v>2</v>
      </c>
      <c r="G2439" s="564" t="s">
        <v>486</v>
      </c>
      <c r="H2439" s="564">
        <v>1301.8399999999999</v>
      </c>
      <c r="I2439" s="564">
        <v>2</v>
      </c>
      <c r="J2439" s="564">
        <v>14</v>
      </c>
      <c r="K2439" s="564">
        <v>22</v>
      </c>
      <c r="L2439" s="564">
        <v>4</v>
      </c>
      <c r="M2439" s="561" t="s">
        <v>312</v>
      </c>
      <c r="N2439" s="520">
        <v>4304756708</v>
      </c>
      <c r="O2439" s="564" t="s">
        <v>3118</v>
      </c>
      <c r="P2439" s="564" t="s">
        <v>3123</v>
      </c>
      <c r="Q2439" s="564"/>
      <c r="R2439" s="564">
        <v>1</v>
      </c>
    </row>
    <row r="2440" spans="1:20" ht="15" customHeight="1" x14ac:dyDescent="0.25">
      <c r="A2440" s="564">
        <v>24</v>
      </c>
      <c r="B2440" s="564">
        <v>4</v>
      </c>
      <c r="C2440" s="564">
        <v>2</v>
      </c>
      <c r="D2440" s="564">
        <v>2</v>
      </c>
      <c r="E2440" s="564">
        <v>1</v>
      </c>
      <c r="F2440" s="564">
        <v>2</v>
      </c>
      <c r="G2440" s="521" t="s">
        <v>488</v>
      </c>
      <c r="H2440" s="564">
        <v>1141.133333333333</v>
      </c>
      <c r="I2440" s="564">
        <v>2</v>
      </c>
      <c r="J2440" s="564">
        <v>13</v>
      </c>
      <c r="K2440" s="564">
        <v>54</v>
      </c>
      <c r="L2440" s="564">
        <v>4</v>
      </c>
      <c r="M2440" s="561" t="s">
        <v>312</v>
      </c>
      <c r="N2440" s="651">
        <v>4304756708</v>
      </c>
      <c r="O2440" s="564" t="s">
        <v>3118</v>
      </c>
      <c r="P2440" s="564" t="s">
        <v>3124</v>
      </c>
      <c r="Q2440" s="564"/>
      <c r="R2440" s="564">
        <v>1</v>
      </c>
    </row>
    <row r="2441" spans="1:20" ht="15" customHeight="1" x14ac:dyDescent="0.25">
      <c r="A2441" s="564">
        <v>24</v>
      </c>
      <c r="B2441" s="564">
        <v>4</v>
      </c>
      <c r="C2441" s="564">
        <v>2</v>
      </c>
      <c r="D2441" s="564">
        <v>2</v>
      </c>
      <c r="E2441" s="564">
        <v>1</v>
      </c>
      <c r="F2441" s="564">
        <v>2</v>
      </c>
      <c r="G2441" s="564" t="s">
        <v>490</v>
      </c>
      <c r="H2441" s="564">
        <v>1141.133333333333</v>
      </c>
      <c r="I2441" s="564">
        <v>2</v>
      </c>
      <c r="J2441" s="564">
        <v>13</v>
      </c>
      <c r="K2441" s="564">
        <v>54</v>
      </c>
      <c r="L2441" s="564">
        <v>4</v>
      </c>
      <c r="M2441" s="561" t="s">
        <v>312</v>
      </c>
      <c r="N2441" s="651">
        <v>4304756708</v>
      </c>
      <c r="O2441" s="564" t="s">
        <v>3118</v>
      </c>
      <c r="P2441" s="564" t="s">
        <v>3125</v>
      </c>
      <c r="Q2441" s="564"/>
      <c r="R2441" s="564">
        <v>1</v>
      </c>
    </row>
    <row r="2442" spans="1:20" ht="15" customHeight="1" x14ac:dyDescent="0.25">
      <c r="A2442" s="564">
        <v>24</v>
      </c>
      <c r="B2442" s="564">
        <v>4</v>
      </c>
      <c r="C2442" s="564">
        <v>2</v>
      </c>
      <c r="D2442" s="564">
        <v>2</v>
      </c>
      <c r="E2442" s="564">
        <v>1</v>
      </c>
      <c r="F2442" s="564">
        <v>2</v>
      </c>
      <c r="G2442" s="564" t="s">
        <v>493</v>
      </c>
      <c r="H2442" s="564">
        <v>1141.133333333333</v>
      </c>
      <c r="I2442" s="564">
        <v>2</v>
      </c>
      <c r="J2442" s="564">
        <v>13</v>
      </c>
      <c r="K2442" s="564">
        <v>54</v>
      </c>
      <c r="L2442" s="564">
        <v>4</v>
      </c>
      <c r="M2442" s="561" t="s">
        <v>312</v>
      </c>
      <c r="N2442" s="651">
        <v>4304756708</v>
      </c>
      <c r="O2442" s="564" t="s">
        <v>3118</v>
      </c>
      <c r="P2442" s="564" t="s">
        <v>3126</v>
      </c>
      <c r="Q2442" s="564"/>
      <c r="R2442" s="564">
        <v>1</v>
      </c>
    </row>
    <row r="2443" spans="1:20" ht="15" customHeight="1" x14ac:dyDescent="0.25">
      <c r="A2443" s="564">
        <v>24</v>
      </c>
      <c r="B2443" s="564">
        <v>4</v>
      </c>
      <c r="C2443" s="564">
        <v>2</v>
      </c>
      <c r="D2443" s="564">
        <v>2</v>
      </c>
      <c r="E2443" s="564">
        <v>1</v>
      </c>
      <c r="F2443" s="564">
        <v>2</v>
      </c>
      <c r="G2443" s="564" t="s">
        <v>474</v>
      </c>
      <c r="H2443" s="564">
        <v>1278.2325000000001</v>
      </c>
      <c r="I2443" s="564">
        <v>88</v>
      </c>
      <c r="J2443" s="564">
        <v>51</v>
      </c>
      <c r="K2443" s="564">
        <v>36</v>
      </c>
      <c r="L2443" s="564">
        <v>3</v>
      </c>
      <c r="M2443" s="561" t="s">
        <v>312</v>
      </c>
      <c r="N2443" s="651">
        <v>4304756708</v>
      </c>
      <c r="O2443" s="564" t="s">
        <v>3118</v>
      </c>
      <c r="P2443" s="564" t="s">
        <v>3127</v>
      </c>
      <c r="Q2443" s="564"/>
      <c r="R2443" s="564">
        <v>1</v>
      </c>
    </row>
    <row r="2444" spans="1:20" ht="15" customHeight="1" x14ac:dyDescent="0.25">
      <c r="A2444" s="564">
        <v>24</v>
      </c>
      <c r="B2444" s="564">
        <v>4</v>
      </c>
      <c r="C2444" s="564">
        <v>2</v>
      </c>
      <c r="D2444" s="564">
        <v>2</v>
      </c>
      <c r="E2444" s="564">
        <v>1</v>
      </c>
      <c r="F2444" s="564">
        <v>2</v>
      </c>
      <c r="G2444" s="521" t="s">
        <v>477</v>
      </c>
      <c r="H2444" s="564">
        <v>1278.2325000000001</v>
      </c>
      <c r="I2444" s="564">
        <v>88</v>
      </c>
      <c r="J2444" s="564">
        <v>51</v>
      </c>
      <c r="K2444" s="564">
        <v>36</v>
      </c>
      <c r="L2444" s="564">
        <v>3</v>
      </c>
      <c r="M2444" s="561" t="s">
        <v>312</v>
      </c>
      <c r="N2444" s="651">
        <v>4304756708</v>
      </c>
      <c r="O2444" s="564" t="s">
        <v>3118</v>
      </c>
      <c r="P2444" s="564" t="s">
        <v>3128</v>
      </c>
      <c r="Q2444" s="564"/>
      <c r="R2444" s="564">
        <v>1</v>
      </c>
    </row>
    <row r="2445" spans="1:20" ht="15" customHeight="1" x14ac:dyDescent="0.25">
      <c r="A2445" s="564">
        <v>24</v>
      </c>
      <c r="B2445" s="564">
        <v>4</v>
      </c>
      <c r="C2445" s="564">
        <v>2</v>
      </c>
      <c r="D2445" s="564">
        <v>2</v>
      </c>
      <c r="E2445" s="564">
        <v>1</v>
      </c>
      <c r="F2445" s="564">
        <v>2</v>
      </c>
      <c r="G2445" s="564" t="s">
        <v>479</v>
      </c>
      <c r="H2445" s="564">
        <v>1278.2325000000001</v>
      </c>
      <c r="I2445" s="564">
        <v>88</v>
      </c>
      <c r="J2445" s="564">
        <v>51</v>
      </c>
      <c r="K2445" s="564">
        <v>36</v>
      </c>
      <c r="L2445" s="564">
        <v>3</v>
      </c>
      <c r="M2445" s="561" t="s">
        <v>312</v>
      </c>
      <c r="N2445" s="651">
        <v>4304756708</v>
      </c>
      <c r="O2445" s="564" t="s">
        <v>3118</v>
      </c>
      <c r="P2445" s="564" t="s">
        <v>3129</v>
      </c>
      <c r="Q2445" s="564"/>
      <c r="R2445" s="564">
        <v>1</v>
      </c>
    </row>
    <row r="2446" spans="1:20" ht="15" customHeight="1" x14ac:dyDescent="0.25">
      <c r="A2446" s="564">
        <v>24</v>
      </c>
      <c r="B2446" s="564">
        <v>4</v>
      </c>
      <c r="C2446" s="564">
        <v>2</v>
      </c>
      <c r="D2446" s="564">
        <v>2</v>
      </c>
      <c r="E2446" s="564">
        <v>1</v>
      </c>
      <c r="F2446" s="564">
        <v>2</v>
      </c>
      <c r="G2446" s="564" t="s">
        <v>485</v>
      </c>
      <c r="H2446" s="564">
        <v>1278.2325000000001</v>
      </c>
      <c r="I2446" s="564">
        <v>88</v>
      </c>
      <c r="J2446" s="564">
        <v>51</v>
      </c>
      <c r="K2446" s="564">
        <v>36</v>
      </c>
      <c r="L2446" s="564">
        <v>3</v>
      </c>
      <c r="M2446" s="561" t="s">
        <v>312</v>
      </c>
      <c r="N2446" s="651">
        <v>4304756708</v>
      </c>
      <c r="O2446" s="564" t="s">
        <v>3118</v>
      </c>
      <c r="P2446" s="564" t="s">
        <v>3130</v>
      </c>
      <c r="Q2446" s="564"/>
      <c r="R2446" s="564">
        <v>1</v>
      </c>
    </row>
    <row r="2447" spans="1:20" ht="15" customHeight="1" x14ac:dyDescent="0.25">
      <c r="A2447" s="564">
        <v>24</v>
      </c>
      <c r="B2447" s="564">
        <v>4</v>
      </c>
      <c r="C2447" s="564">
        <v>2</v>
      </c>
      <c r="D2447" s="564">
        <v>2</v>
      </c>
      <c r="E2447" s="564">
        <v>1</v>
      </c>
      <c r="F2447" s="564">
        <v>2</v>
      </c>
      <c r="G2447" s="564" t="s">
        <v>487</v>
      </c>
      <c r="H2447" s="564">
        <v>1306.5450000000001</v>
      </c>
      <c r="I2447" s="564">
        <v>88</v>
      </c>
      <c r="J2447" s="564">
        <v>46</v>
      </c>
      <c r="K2447" s="564">
        <v>34</v>
      </c>
      <c r="L2447" s="564">
        <v>3</v>
      </c>
      <c r="M2447" s="561" t="s">
        <v>312</v>
      </c>
      <c r="N2447" s="651">
        <v>4304756708</v>
      </c>
      <c r="O2447" s="564" t="s">
        <v>3118</v>
      </c>
      <c r="P2447" s="564" t="s">
        <v>3131</v>
      </c>
      <c r="Q2447" s="564"/>
      <c r="R2447" s="564">
        <v>1</v>
      </c>
    </row>
    <row r="2448" spans="1:20" ht="15" customHeight="1" x14ac:dyDescent="0.25">
      <c r="A2448" s="564">
        <v>24</v>
      </c>
      <c r="B2448" s="564">
        <v>4</v>
      </c>
      <c r="C2448" s="564">
        <v>2</v>
      </c>
      <c r="D2448" s="564">
        <v>2</v>
      </c>
      <c r="E2448" s="564">
        <v>1</v>
      </c>
      <c r="F2448" s="564">
        <v>2</v>
      </c>
      <c r="G2448" s="521" t="s">
        <v>489</v>
      </c>
      <c r="H2448" s="564">
        <v>1306.5450000000001</v>
      </c>
      <c r="I2448" s="564">
        <v>88</v>
      </c>
      <c r="J2448" s="564">
        <v>46</v>
      </c>
      <c r="K2448" s="564">
        <v>34</v>
      </c>
      <c r="L2448" s="564">
        <v>3</v>
      </c>
      <c r="M2448" s="561" t="s">
        <v>312</v>
      </c>
      <c r="N2448" s="651">
        <v>4304756708</v>
      </c>
      <c r="O2448" s="564" t="s">
        <v>3118</v>
      </c>
      <c r="P2448" s="564" t="s">
        <v>3132</v>
      </c>
      <c r="Q2448" s="564"/>
      <c r="R2448" s="564">
        <v>1</v>
      </c>
    </row>
    <row r="2449" spans="1:18" ht="15" customHeight="1" x14ac:dyDescent="0.25">
      <c r="A2449" s="564">
        <v>24</v>
      </c>
      <c r="B2449" s="564">
        <v>4</v>
      </c>
      <c r="C2449" s="564">
        <v>2</v>
      </c>
      <c r="D2449" s="564">
        <v>2</v>
      </c>
      <c r="E2449" s="564">
        <v>1</v>
      </c>
      <c r="F2449" s="564">
        <v>2</v>
      </c>
      <c r="G2449" s="564" t="s">
        <v>491</v>
      </c>
      <c r="H2449" s="564">
        <v>1306.5450000000001</v>
      </c>
      <c r="I2449" s="564">
        <v>88</v>
      </c>
      <c r="J2449" s="564">
        <v>46</v>
      </c>
      <c r="K2449" s="564">
        <v>34</v>
      </c>
      <c r="L2449" s="564">
        <v>3</v>
      </c>
      <c r="M2449" s="561" t="s">
        <v>312</v>
      </c>
      <c r="N2449" s="651">
        <v>4304756708</v>
      </c>
      <c r="O2449" s="564" t="s">
        <v>3118</v>
      </c>
      <c r="P2449" s="564" t="s">
        <v>3133</v>
      </c>
      <c r="Q2449" s="564"/>
      <c r="R2449" s="564">
        <v>1</v>
      </c>
    </row>
    <row r="2450" spans="1:18" ht="15" customHeight="1" x14ac:dyDescent="0.25">
      <c r="A2450" s="564">
        <v>24</v>
      </c>
      <c r="B2450" s="564">
        <v>4</v>
      </c>
      <c r="C2450" s="564">
        <v>2</v>
      </c>
      <c r="D2450" s="564">
        <v>2</v>
      </c>
      <c r="E2450" s="564">
        <v>1</v>
      </c>
      <c r="F2450" s="564">
        <v>2</v>
      </c>
      <c r="G2450" s="564" t="s">
        <v>494</v>
      </c>
      <c r="H2450" s="564">
        <v>1306.5450000000001</v>
      </c>
      <c r="I2450" s="564">
        <v>88</v>
      </c>
      <c r="J2450" s="564">
        <v>46</v>
      </c>
      <c r="K2450" s="564">
        <v>34</v>
      </c>
      <c r="L2450" s="564">
        <v>3</v>
      </c>
      <c r="M2450" s="561" t="s">
        <v>312</v>
      </c>
      <c r="N2450" s="651">
        <v>4304756708</v>
      </c>
      <c r="O2450" s="564" t="s">
        <v>3118</v>
      </c>
      <c r="P2450" s="564" t="s">
        <v>3134</v>
      </c>
      <c r="Q2450" s="564"/>
      <c r="R2450" s="564">
        <v>1</v>
      </c>
    </row>
    <row r="2451" spans="1:18" ht="15" customHeight="1" x14ac:dyDescent="0.25">
      <c r="A2451" s="553">
        <v>25</v>
      </c>
      <c r="B2451" s="553">
        <v>6</v>
      </c>
      <c r="C2451" s="553">
        <v>2</v>
      </c>
      <c r="D2451" s="553">
        <v>19</v>
      </c>
      <c r="E2451" s="553">
        <v>1</v>
      </c>
      <c r="F2451" s="553">
        <v>1</v>
      </c>
      <c r="G2451" s="553" t="s">
        <v>473</v>
      </c>
      <c r="H2451" s="553">
        <v>1319.61</v>
      </c>
      <c r="I2451" s="553">
        <v>1</v>
      </c>
      <c r="J2451" s="553">
        <v>12</v>
      </c>
      <c r="K2451" s="553">
        <v>12</v>
      </c>
      <c r="L2451" s="553">
        <v>4</v>
      </c>
      <c r="M2451" s="505" t="s">
        <v>312</v>
      </c>
      <c r="N2451" s="500">
        <v>43047561930000</v>
      </c>
      <c r="O2451" s="553" t="s">
        <v>3135</v>
      </c>
      <c r="P2451" s="650" t="s">
        <v>3136</v>
      </c>
      <c r="Q2451" s="564"/>
      <c r="R2451" s="564">
        <v>2</v>
      </c>
    </row>
    <row r="2452" spans="1:18" ht="15" customHeight="1" x14ac:dyDescent="0.25">
      <c r="A2452" s="553">
        <v>25</v>
      </c>
      <c r="B2452" s="553">
        <v>6</v>
      </c>
      <c r="C2452" s="553">
        <v>2</v>
      </c>
      <c r="D2452" s="553">
        <v>19</v>
      </c>
      <c r="E2452" s="553">
        <v>1</v>
      </c>
      <c r="F2452" s="553">
        <v>1</v>
      </c>
      <c r="G2452" s="502" t="s">
        <v>476</v>
      </c>
      <c r="H2452" s="553">
        <v>1319.61</v>
      </c>
      <c r="I2452" s="553">
        <v>1</v>
      </c>
      <c r="J2452" s="553">
        <v>12</v>
      </c>
      <c r="K2452" s="553">
        <v>12</v>
      </c>
      <c r="L2452" s="553">
        <v>4</v>
      </c>
      <c r="M2452" s="505" t="s">
        <v>312</v>
      </c>
      <c r="N2452" s="500">
        <v>43047561930000</v>
      </c>
      <c r="O2452" s="553" t="s">
        <v>3135</v>
      </c>
      <c r="P2452" s="650" t="s">
        <v>3137</v>
      </c>
      <c r="Q2452" s="564"/>
      <c r="R2452" s="564">
        <v>2</v>
      </c>
    </row>
    <row r="2453" spans="1:18" ht="15" customHeight="1" x14ac:dyDescent="0.25">
      <c r="A2453" s="553">
        <v>25</v>
      </c>
      <c r="B2453" s="553">
        <v>6</v>
      </c>
      <c r="C2453" s="553">
        <v>2</v>
      </c>
      <c r="D2453" s="553">
        <v>19</v>
      </c>
      <c r="E2453" s="553">
        <v>1</v>
      </c>
      <c r="F2453" s="553">
        <v>1</v>
      </c>
      <c r="G2453" s="553" t="s">
        <v>478</v>
      </c>
      <c r="H2453" s="553">
        <v>1319.4649999999999</v>
      </c>
      <c r="I2453" s="553">
        <v>1</v>
      </c>
      <c r="J2453" s="553">
        <v>13</v>
      </c>
      <c r="K2453" s="553">
        <v>53</v>
      </c>
      <c r="L2453" s="553">
        <v>4</v>
      </c>
      <c r="M2453" s="505" t="s">
        <v>312</v>
      </c>
      <c r="N2453" s="500">
        <v>43047561930000</v>
      </c>
      <c r="O2453" s="553" t="s">
        <v>3135</v>
      </c>
      <c r="P2453" s="650" t="s">
        <v>3138</v>
      </c>
      <c r="Q2453" s="564"/>
      <c r="R2453" s="564">
        <v>2</v>
      </c>
    </row>
    <row r="2454" spans="1:18" ht="15" customHeight="1" x14ac:dyDescent="0.25">
      <c r="A2454" s="553">
        <v>25</v>
      </c>
      <c r="B2454" s="553">
        <v>6</v>
      </c>
      <c r="C2454" s="553">
        <v>2</v>
      </c>
      <c r="D2454" s="553">
        <v>19</v>
      </c>
      <c r="E2454" s="553">
        <v>1</v>
      </c>
      <c r="F2454" s="553">
        <v>1</v>
      </c>
      <c r="G2454" s="553" t="s">
        <v>484</v>
      </c>
      <c r="H2454" s="553">
        <v>1319.4649999999999</v>
      </c>
      <c r="I2454" s="553">
        <v>1</v>
      </c>
      <c r="J2454" s="553">
        <v>13</v>
      </c>
      <c r="K2454" s="553">
        <v>53</v>
      </c>
      <c r="L2454" s="553">
        <v>4</v>
      </c>
      <c r="M2454" s="505" t="s">
        <v>312</v>
      </c>
      <c r="N2454" s="500">
        <v>43047561930000</v>
      </c>
      <c r="O2454" s="553" t="s">
        <v>3135</v>
      </c>
      <c r="P2454" s="650" t="s">
        <v>3139</v>
      </c>
      <c r="Q2454" s="564"/>
      <c r="R2454" s="564">
        <v>2</v>
      </c>
    </row>
    <row r="2455" spans="1:18" ht="15" customHeight="1" x14ac:dyDescent="0.25">
      <c r="A2455" s="553">
        <v>25</v>
      </c>
      <c r="B2455" s="553">
        <v>6</v>
      </c>
      <c r="C2455" s="553">
        <v>2</v>
      </c>
      <c r="D2455" s="553">
        <v>19</v>
      </c>
      <c r="E2455" s="553">
        <v>1</v>
      </c>
      <c r="F2455" s="553">
        <v>1</v>
      </c>
      <c r="G2455" s="553" t="s">
        <v>486</v>
      </c>
      <c r="H2455" s="553">
        <v>1321.65</v>
      </c>
      <c r="I2455" s="553">
        <v>1</v>
      </c>
      <c r="J2455" s="553">
        <v>13</v>
      </c>
      <c r="K2455" s="553">
        <v>44</v>
      </c>
      <c r="L2455" s="553">
        <v>4</v>
      </c>
      <c r="M2455" s="505" t="s">
        <v>312</v>
      </c>
      <c r="N2455" s="500">
        <v>43047561930000</v>
      </c>
      <c r="O2455" s="553" t="s">
        <v>3135</v>
      </c>
      <c r="P2455" s="650" t="s">
        <v>3140</v>
      </c>
      <c r="Q2455" s="564"/>
      <c r="R2455" s="564">
        <v>2</v>
      </c>
    </row>
    <row r="2456" spans="1:18" ht="15" customHeight="1" x14ac:dyDescent="0.25">
      <c r="A2456" s="553">
        <v>25</v>
      </c>
      <c r="B2456" s="553">
        <v>6</v>
      </c>
      <c r="C2456" s="553">
        <v>2</v>
      </c>
      <c r="D2456" s="553">
        <v>19</v>
      </c>
      <c r="E2456" s="553">
        <v>1</v>
      </c>
      <c r="F2456" s="553">
        <v>1</v>
      </c>
      <c r="G2456" s="502" t="s">
        <v>488</v>
      </c>
      <c r="H2456" s="553">
        <v>1321.65</v>
      </c>
      <c r="I2456" s="553">
        <v>1</v>
      </c>
      <c r="J2456" s="553">
        <v>13</v>
      </c>
      <c r="K2456" s="553">
        <v>44</v>
      </c>
      <c r="L2456" s="553">
        <v>4</v>
      </c>
      <c r="M2456" s="505" t="s">
        <v>312</v>
      </c>
      <c r="N2456" s="500">
        <v>43047561930000</v>
      </c>
      <c r="O2456" s="553" t="s">
        <v>3135</v>
      </c>
      <c r="P2456" s="650" t="s">
        <v>3141</v>
      </c>
      <c r="Q2456" s="564"/>
      <c r="R2456" s="564">
        <v>2</v>
      </c>
    </row>
    <row r="2457" spans="1:18" ht="15" customHeight="1" x14ac:dyDescent="0.25">
      <c r="A2457" s="553">
        <v>25</v>
      </c>
      <c r="B2457" s="553">
        <v>6</v>
      </c>
      <c r="C2457" s="553">
        <v>2</v>
      </c>
      <c r="D2457" s="553">
        <v>19</v>
      </c>
      <c r="E2457" s="553">
        <v>1</v>
      </c>
      <c r="F2457" s="553">
        <v>1</v>
      </c>
      <c r="G2457" s="553" t="s">
        <v>490</v>
      </c>
      <c r="H2457" s="553">
        <v>1321.7750000000001</v>
      </c>
      <c r="I2457" s="553">
        <v>1</v>
      </c>
      <c r="J2457" s="553">
        <v>13</v>
      </c>
      <c r="K2457" s="553">
        <v>44</v>
      </c>
      <c r="L2457" s="553">
        <v>4</v>
      </c>
      <c r="M2457" s="505" t="s">
        <v>312</v>
      </c>
      <c r="N2457" s="500">
        <v>43047561930000</v>
      </c>
      <c r="O2457" s="553" t="s">
        <v>3135</v>
      </c>
      <c r="P2457" s="650" t="s">
        <v>3142</v>
      </c>
      <c r="Q2457" s="564"/>
      <c r="R2457" s="564">
        <v>2</v>
      </c>
    </row>
    <row r="2458" spans="1:18" ht="15" customHeight="1" x14ac:dyDescent="0.25">
      <c r="A2458" s="553">
        <v>25</v>
      </c>
      <c r="B2458" s="553">
        <v>6</v>
      </c>
      <c r="C2458" s="553">
        <v>2</v>
      </c>
      <c r="D2458" s="553">
        <v>19</v>
      </c>
      <c r="E2458" s="553">
        <v>1</v>
      </c>
      <c r="F2458" s="553">
        <v>1</v>
      </c>
      <c r="G2458" s="553" t="s">
        <v>493</v>
      </c>
      <c r="H2458" s="553">
        <v>1321.7750000000001</v>
      </c>
      <c r="I2458" s="553">
        <v>1</v>
      </c>
      <c r="J2458" s="553">
        <v>13</v>
      </c>
      <c r="K2458" s="553">
        <v>44</v>
      </c>
      <c r="L2458" s="553">
        <v>4</v>
      </c>
      <c r="M2458" s="505" t="s">
        <v>312</v>
      </c>
      <c r="N2458" s="500">
        <v>43047561930000</v>
      </c>
      <c r="O2458" s="553" t="s">
        <v>3135</v>
      </c>
      <c r="P2458" s="650" t="s">
        <v>3143</v>
      </c>
      <c r="Q2458" s="564"/>
      <c r="R2458" s="564">
        <v>2</v>
      </c>
    </row>
    <row r="2459" spans="1:18" ht="15" customHeight="1" x14ac:dyDescent="0.25">
      <c r="A2459" s="553">
        <v>25</v>
      </c>
      <c r="B2459" s="553">
        <v>6</v>
      </c>
      <c r="C2459" s="553">
        <v>2</v>
      </c>
      <c r="D2459" s="553">
        <v>19</v>
      </c>
      <c r="E2459" s="553">
        <v>1</v>
      </c>
      <c r="F2459" s="553">
        <v>1</v>
      </c>
      <c r="G2459" s="553" t="s">
        <v>474</v>
      </c>
      <c r="H2459" s="553">
        <v>1321</v>
      </c>
      <c r="I2459" s="553">
        <v>88</v>
      </c>
      <c r="J2459" s="553">
        <v>40</v>
      </c>
      <c r="K2459" s="553">
        <v>41</v>
      </c>
      <c r="L2459" s="553">
        <v>3</v>
      </c>
      <c r="M2459" s="505" t="s">
        <v>312</v>
      </c>
      <c r="N2459" s="500">
        <v>43047561930000</v>
      </c>
      <c r="O2459" s="553" t="s">
        <v>3135</v>
      </c>
      <c r="P2459" s="650" t="s">
        <v>3144</v>
      </c>
      <c r="Q2459" s="564"/>
      <c r="R2459" s="564">
        <v>2</v>
      </c>
    </row>
    <row r="2460" spans="1:18" ht="15" customHeight="1" x14ac:dyDescent="0.25">
      <c r="A2460" s="553">
        <v>25</v>
      </c>
      <c r="B2460" s="553">
        <v>6</v>
      </c>
      <c r="C2460" s="553">
        <v>2</v>
      </c>
      <c r="D2460" s="553">
        <v>19</v>
      </c>
      <c r="E2460" s="553">
        <v>1</v>
      </c>
      <c r="F2460" s="553">
        <v>1</v>
      </c>
      <c r="G2460" s="502" t="s">
        <v>477</v>
      </c>
      <c r="H2460" s="553">
        <v>1321</v>
      </c>
      <c r="I2460" s="553">
        <v>88</v>
      </c>
      <c r="J2460" s="553">
        <v>40</v>
      </c>
      <c r="K2460" s="553">
        <v>41</v>
      </c>
      <c r="L2460" s="553">
        <v>3</v>
      </c>
      <c r="M2460" s="505" t="s">
        <v>312</v>
      </c>
      <c r="N2460" s="500">
        <v>43047561930000</v>
      </c>
      <c r="O2460" s="553" t="s">
        <v>3135</v>
      </c>
      <c r="P2460" s="650" t="s">
        <v>3145</v>
      </c>
      <c r="Q2460" s="564"/>
      <c r="R2460" s="564">
        <v>2</v>
      </c>
    </row>
    <row r="2461" spans="1:18" ht="15" customHeight="1" x14ac:dyDescent="0.25">
      <c r="A2461" s="553">
        <v>25</v>
      </c>
      <c r="B2461" s="553">
        <v>6</v>
      </c>
      <c r="C2461" s="553">
        <v>2</v>
      </c>
      <c r="D2461" s="553">
        <v>19</v>
      </c>
      <c r="E2461" s="553">
        <v>1</v>
      </c>
      <c r="F2461" s="553">
        <v>1</v>
      </c>
      <c r="G2461" s="553" t="s">
        <v>479</v>
      </c>
      <c r="H2461" s="553">
        <v>1320.33</v>
      </c>
      <c r="I2461" s="553">
        <v>88</v>
      </c>
      <c r="J2461" s="553">
        <v>40</v>
      </c>
      <c r="K2461" s="553">
        <v>41</v>
      </c>
      <c r="L2461" s="553">
        <v>3</v>
      </c>
      <c r="M2461" s="505" t="s">
        <v>312</v>
      </c>
      <c r="N2461" s="500">
        <v>43047561930000</v>
      </c>
      <c r="O2461" s="553" t="s">
        <v>3135</v>
      </c>
      <c r="P2461" s="650" t="s">
        <v>3146</v>
      </c>
      <c r="Q2461" s="564"/>
      <c r="R2461" s="564">
        <v>2</v>
      </c>
    </row>
    <row r="2462" spans="1:18" ht="15" customHeight="1" x14ac:dyDescent="0.25">
      <c r="A2462" s="553">
        <v>25</v>
      </c>
      <c r="B2462" s="553">
        <v>6</v>
      </c>
      <c r="C2462" s="553">
        <v>2</v>
      </c>
      <c r="D2462" s="553">
        <v>19</v>
      </c>
      <c r="E2462" s="553">
        <v>1</v>
      </c>
      <c r="F2462" s="553">
        <v>1</v>
      </c>
      <c r="G2462" s="553" t="s">
        <v>485</v>
      </c>
      <c r="H2462" s="553">
        <v>1320.33</v>
      </c>
      <c r="I2462" s="553">
        <v>88</v>
      </c>
      <c r="J2462" s="553">
        <v>40</v>
      </c>
      <c r="K2462" s="553">
        <v>41</v>
      </c>
      <c r="L2462" s="553">
        <v>3</v>
      </c>
      <c r="M2462" s="505" t="s">
        <v>312</v>
      </c>
      <c r="N2462" s="500">
        <v>43047561930000</v>
      </c>
      <c r="O2462" s="553" t="s">
        <v>3135</v>
      </c>
      <c r="P2462" s="650" t="s">
        <v>3147</v>
      </c>
      <c r="Q2462" s="564"/>
      <c r="R2462" s="564">
        <v>2</v>
      </c>
    </row>
    <row r="2463" spans="1:18" ht="15" customHeight="1" x14ac:dyDescent="0.25">
      <c r="A2463" s="553">
        <v>25</v>
      </c>
      <c r="B2463" s="553">
        <v>6</v>
      </c>
      <c r="C2463" s="553">
        <v>2</v>
      </c>
      <c r="D2463" s="553">
        <v>19</v>
      </c>
      <c r="E2463" s="553">
        <v>1</v>
      </c>
      <c r="F2463" s="553">
        <v>1</v>
      </c>
      <c r="G2463" s="553" t="s">
        <v>487</v>
      </c>
      <c r="H2463" s="553">
        <v>1320.125</v>
      </c>
      <c r="I2463" s="553">
        <v>88</v>
      </c>
      <c r="J2463" s="553">
        <v>47</v>
      </c>
      <c r="K2463" s="553">
        <v>33</v>
      </c>
      <c r="L2463" s="553">
        <v>3</v>
      </c>
      <c r="M2463" s="505" t="s">
        <v>312</v>
      </c>
      <c r="N2463" s="500">
        <v>43047561930000</v>
      </c>
      <c r="O2463" s="553" t="s">
        <v>3135</v>
      </c>
      <c r="P2463" s="650" t="s">
        <v>3148</v>
      </c>
      <c r="Q2463" s="564"/>
      <c r="R2463" s="564">
        <v>2</v>
      </c>
    </row>
    <row r="2464" spans="1:18" ht="15" customHeight="1" x14ac:dyDescent="0.25">
      <c r="A2464" s="553">
        <v>25</v>
      </c>
      <c r="B2464" s="553">
        <v>6</v>
      </c>
      <c r="C2464" s="553">
        <v>2</v>
      </c>
      <c r="D2464" s="553">
        <v>19</v>
      </c>
      <c r="E2464" s="553">
        <v>1</v>
      </c>
      <c r="F2464" s="553">
        <v>1</v>
      </c>
      <c r="G2464" s="502" t="s">
        <v>489</v>
      </c>
      <c r="H2464" s="553">
        <v>1320.125</v>
      </c>
      <c r="I2464" s="553">
        <v>88</v>
      </c>
      <c r="J2464" s="553">
        <v>47</v>
      </c>
      <c r="K2464" s="553">
        <v>33</v>
      </c>
      <c r="L2464" s="553">
        <v>3</v>
      </c>
      <c r="M2464" s="505" t="s">
        <v>312</v>
      </c>
      <c r="N2464" s="500">
        <v>43047561930000</v>
      </c>
      <c r="O2464" s="553" t="s">
        <v>3135</v>
      </c>
      <c r="P2464" s="650" t="s">
        <v>3149</v>
      </c>
      <c r="Q2464" s="564"/>
      <c r="R2464" s="564">
        <v>2</v>
      </c>
    </row>
    <row r="2465" spans="1:18" ht="15" customHeight="1" x14ac:dyDescent="0.25">
      <c r="A2465" s="553">
        <v>25</v>
      </c>
      <c r="B2465" s="553">
        <v>6</v>
      </c>
      <c r="C2465" s="553">
        <v>2</v>
      </c>
      <c r="D2465" s="553">
        <v>19</v>
      </c>
      <c r="E2465" s="553">
        <v>1</v>
      </c>
      <c r="F2465" s="553">
        <v>1</v>
      </c>
      <c r="G2465" s="553" t="s">
        <v>491</v>
      </c>
      <c r="H2465" s="553">
        <v>1319.0550000000001</v>
      </c>
      <c r="I2465" s="553">
        <v>88</v>
      </c>
      <c r="J2465" s="553">
        <v>47</v>
      </c>
      <c r="K2465" s="553">
        <v>8</v>
      </c>
      <c r="L2465" s="553">
        <v>3</v>
      </c>
      <c r="M2465" s="505" t="s">
        <v>312</v>
      </c>
      <c r="N2465" s="500">
        <v>43047561930000</v>
      </c>
      <c r="O2465" s="553" t="s">
        <v>3135</v>
      </c>
      <c r="P2465" s="650" t="s">
        <v>3150</v>
      </c>
      <c r="Q2465" s="564"/>
      <c r="R2465" s="564">
        <v>2</v>
      </c>
    </row>
    <row r="2466" spans="1:18" ht="15" customHeight="1" x14ac:dyDescent="0.25">
      <c r="A2466" s="553">
        <v>25</v>
      </c>
      <c r="B2466" s="553">
        <v>6</v>
      </c>
      <c r="C2466" s="553">
        <v>2</v>
      </c>
      <c r="D2466" s="553">
        <v>19</v>
      </c>
      <c r="E2466" s="553">
        <v>1</v>
      </c>
      <c r="F2466" s="553">
        <v>1</v>
      </c>
      <c r="G2466" s="553" t="s">
        <v>494</v>
      </c>
      <c r="H2466" s="553">
        <v>1319.0550000000001</v>
      </c>
      <c r="I2466" s="553">
        <v>88</v>
      </c>
      <c r="J2466" s="553">
        <v>47</v>
      </c>
      <c r="K2466" s="553">
        <v>8</v>
      </c>
      <c r="L2466" s="553">
        <v>3</v>
      </c>
      <c r="M2466" s="505" t="s">
        <v>312</v>
      </c>
      <c r="N2466" s="500">
        <v>43047561930000</v>
      </c>
      <c r="O2466" s="553" t="s">
        <v>3135</v>
      </c>
      <c r="P2466" s="650" t="s">
        <v>3151</v>
      </c>
      <c r="Q2466" s="564"/>
      <c r="R2466" s="564">
        <v>2</v>
      </c>
    </row>
    <row r="2467" spans="1:18" s="484" customFormat="1" ht="15" customHeight="1" x14ac:dyDescent="0.25">
      <c r="A2467" s="553">
        <v>25</v>
      </c>
      <c r="B2467" s="553">
        <v>2</v>
      </c>
      <c r="C2467" s="553">
        <v>2</v>
      </c>
      <c r="D2467" s="553">
        <v>1</v>
      </c>
      <c r="E2467" s="553">
        <v>2</v>
      </c>
      <c r="F2467" s="553">
        <v>2</v>
      </c>
      <c r="G2467" s="553" t="s">
        <v>473</v>
      </c>
      <c r="H2467" s="553">
        <v>1322.11</v>
      </c>
      <c r="I2467" s="553">
        <v>0</v>
      </c>
      <c r="J2467" s="553">
        <v>4</v>
      </c>
      <c r="K2467" s="553">
        <v>59</v>
      </c>
      <c r="L2467" s="553">
        <v>2</v>
      </c>
      <c r="M2467" s="505" t="s">
        <v>137</v>
      </c>
      <c r="N2467" s="500">
        <v>43047561740000</v>
      </c>
      <c r="O2467" s="553" t="s">
        <v>3152</v>
      </c>
      <c r="P2467" s="650" t="s">
        <v>3153</v>
      </c>
      <c r="Q2467" s="564"/>
      <c r="R2467" s="564">
        <v>1</v>
      </c>
    </row>
    <row r="2468" spans="1:18" s="484" customFormat="1" ht="15" customHeight="1" x14ac:dyDescent="0.25">
      <c r="A2468" s="553">
        <v>25</v>
      </c>
      <c r="B2468" s="553">
        <v>2</v>
      </c>
      <c r="C2468" s="553">
        <v>2</v>
      </c>
      <c r="D2468" s="553">
        <v>1</v>
      </c>
      <c r="E2468" s="553">
        <v>2</v>
      </c>
      <c r="F2468" s="553">
        <v>2</v>
      </c>
      <c r="G2468" s="502" t="s">
        <v>476</v>
      </c>
      <c r="H2468" s="553">
        <v>1322.11</v>
      </c>
      <c r="I2468" s="553">
        <v>0</v>
      </c>
      <c r="J2468" s="553">
        <v>4</v>
      </c>
      <c r="K2468" s="553">
        <v>59</v>
      </c>
      <c r="L2468" s="553">
        <v>2</v>
      </c>
      <c r="M2468" s="505" t="s">
        <v>137</v>
      </c>
      <c r="N2468" s="500">
        <v>43047561740001</v>
      </c>
      <c r="O2468" s="553" t="s">
        <v>3154</v>
      </c>
      <c r="P2468" s="650" t="s">
        <v>3155</v>
      </c>
      <c r="Q2468" s="564"/>
      <c r="R2468" s="564">
        <v>1</v>
      </c>
    </row>
    <row r="2469" spans="1:18" s="484" customFormat="1" ht="15" customHeight="1" x14ac:dyDescent="0.25">
      <c r="A2469" s="553">
        <v>25</v>
      </c>
      <c r="B2469" s="553">
        <v>2</v>
      </c>
      <c r="C2469" s="553">
        <v>2</v>
      </c>
      <c r="D2469" s="553">
        <v>1</v>
      </c>
      <c r="E2469" s="553">
        <v>2</v>
      </c>
      <c r="F2469" s="553">
        <v>2</v>
      </c>
      <c r="G2469" s="553" t="s">
        <v>478</v>
      </c>
      <c r="H2469" s="553">
        <v>1322.13</v>
      </c>
      <c r="I2469" s="553">
        <v>0</v>
      </c>
      <c r="J2469" s="553">
        <v>2</v>
      </c>
      <c r="K2469" s="553">
        <v>57</v>
      </c>
      <c r="L2469" s="553">
        <v>4</v>
      </c>
      <c r="M2469" s="505" t="s">
        <v>137</v>
      </c>
      <c r="N2469" s="500">
        <v>43047561740002</v>
      </c>
      <c r="O2469" s="553" t="s">
        <v>3156</v>
      </c>
      <c r="P2469" s="650" t="s">
        <v>3157</v>
      </c>
      <c r="Q2469" s="564"/>
      <c r="R2469" s="564">
        <v>1</v>
      </c>
    </row>
    <row r="2470" spans="1:18" s="484" customFormat="1" ht="15" customHeight="1" x14ac:dyDescent="0.25">
      <c r="A2470" s="553">
        <v>25</v>
      </c>
      <c r="B2470" s="553">
        <v>2</v>
      </c>
      <c r="C2470" s="553">
        <v>2</v>
      </c>
      <c r="D2470" s="553">
        <v>1</v>
      </c>
      <c r="E2470" s="553">
        <v>2</v>
      </c>
      <c r="F2470" s="553">
        <v>2</v>
      </c>
      <c r="G2470" s="553" t="s">
        <v>484</v>
      </c>
      <c r="H2470" s="553">
        <v>1328</v>
      </c>
      <c r="I2470" s="553">
        <v>0</v>
      </c>
      <c r="J2470" s="553">
        <v>9</v>
      </c>
      <c r="K2470" s="553">
        <v>32</v>
      </c>
      <c r="L2470" s="553">
        <v>4</v>
      </c>
      <c r="M2470" s="505" t="s">
        <v>137</v>
      </c>
      <c r="N2470" s="500">
        <v>43047561740003</v>
      </c>
      <c r="O2470" s="553" t="s">
        <v>3158</v>
      </c>
      <c r="P2470" s="650" t="s">
        <v>3159</v>
      </c>
      <c r="Q2470" s="564"/>
      <c r="R2470" s="564">
        <v>1</v>
      </c>
    </row>
    <row r="2471" spans="1:18" s="484" customFormat="1" ht="15" customHeight="1" x14ac:dyDescent="0.25">
      <c r="A2471" s="553">
        <v>25</v>
      </c>
      <c r="B2471" s="553">
        <v>2</v>
      </c>
      <c r="C2471" s="553">
        <v>2</v>
      </c>
      <c r="D2471" s="553">
        <v>1</v>
      </c>
      <c r="E2471" s="553">
        <v>2</v>
      </c>
      <c r="F2471" s="553">
        <v>2</v>
      </c>
      <c r="G2471" s="553" t="s">
        <v>486</v>
      </c>
      <c r="H2471" s="553">
        <v>1321.39</v>
      </c>
      <c r="I2471" s="553">
        <v>0</v>
      </c>
      <c r="J2471" s="553">
        <v>0</v>
      </c>
      <c r="K2471" s="553">
        <v>49</v>
      </c>
      <c r="L2471" s="553">
        <v>4</v>
      </c>
      <c r="M2471" s="505" t="s">
        <v>137</v>
      </c>
      <c r="N2471" s="500">
        <v>43047561740004</v>
      </c>
      <c r="O2471" s="553" t="s">
        <v>3160</v>
      </c>
      <c r="P2471" s="650" t="s">
        <v>3161</v>
      </c>
      <c r="Q2471" s="564"/>
      <c r="R2471" s="564">
        <v>1</v>
      </c>
    </row>
    <row r="2472" spans="1:18" s="484" customFormat="1" ht="15" customHeight="1" x14ac:dyDescent="0.25">
      <c r="A2472" s="553">
        <v>25</v>
      </c>
      <c r="B2472" s="553">
        <v>2</v>
      </c>
      <c r="C2472" s="553">
        <v>2</v>
      </c>
      <c r="D2472" s="553">
        <v>1</v>
      </c>
      <c r="E2472" s="553">
        <v>2</v>
      </c>
      <c r="F2472" s="553">
        <v>2</v>
      </c>
      <c r="G2472" s="502" t="s">
        <v>488</v>
      </c>
      <c r="H2472" s="553">
        <v>1321.39</v>
      </c>
      <c r="I2472" s="553">
        <v>0</v>
      </c>
      <c r="J2472" s="553">
        <v>0</v>
      </c>
      <c r="K2472" s="553">
        <v>49</v>
      </c>
      <c r="L2472" s="553">
        <v>4</v>
      </c>
      <c r="M2472" s="505" t="s">
        <v>137</v>
      </c>
      <c r="N2472" s="500">
        <v>43047561740005</v>
      </c>
      <c r="O2472" s="553" t="s">
        <v>3162</v>
      </c>
      <c r="P2472" s="650" t="s">
        <v>3163</v>
      </c>
      <c r="Q2472" s="564"/>
      <c r="R2472" s="564">
        <v>1</v>
      </c>
    </row>
    <row r="2473" spans="1:18" s="484" customFormat="1" ht="15" customHeight="1" x14ac:dyDescent="0.25">
      <c r="A2473" s="553">
        <v>25</v>
      </c>
      <c r="B2473" s="553">
        <v>2</v>
      </c>
      <c r="C2473" s="553">
        <v>2</v>
      </c>
      <c r="D2473" s="553">
        <v>1</v>
      </c>
      <c r="E2473" s="553">
        <v>2</v>
      </c>
      <c r="F2473" s="553">
        <v>2</v>
      </c>
      <c r="G2473" s="553" t="s">
        <v>490</v>
      </c>
      <c r="H2473" s="553">
        <v>1322.925</v>
      </c>
      <c r="I2473" s="553">
        <v>0</v>
      </c>
      <c r="J2473" s="553">
        <v>28</v>
      </c>
      <c r="K2473" s="553">
        <v>7</v>
      </c>
      <c r="L2473" s="553">
        <v>4</v>
      </c>
      <c r="M2473" s="505" t="s">
        <v>137</v>
      </c>
      <c r="N2473" s="500">
        <v>43047561740006</v>
      </c>
      <c r="O2473" s="553" t="s">
        <v>3164</v>
      </c>
      <c r="P2473" s="650" t="s">
        <v>3165</v>
      </c>
      <c r="Q2473" s="564"/>
      <c r="R2473" s="564">
        <v>1</v>
      </c>
    </row>
    <row r="2474" spans="1:18" s="484" customFormat="1" ht="15" customHeight="1" x14ac:dyDescent="0.25">
      <c r="A2474" s="553">
        <v>25</v>
      </c>
      <c r="B2474" s="553">
        <v>2</v>
      </c>
      <c r="C2474" s="553">
        <v>2</v>
      </c>
      <c r="D2474" s="553">
        <v>1</v>
      </c>
      <c r="E2474" s="553">
        <v>2</v>
      </c>
      <c r="F2474" s="553">
        <v>2</v>
      </c>
      <c r="G2474" s="553" t="s">
        <v>493</v>
      </c>
      <c r="H2474" s="553">
        <v>1322.925</v>
      </c>
      <c r="I2474" s="553">
        <v>0</v>
      </c>
      <c r="J2474" s="553">
        <v>28</v>
      </c>
      <c r="K2474" s="553">
        <v>7</v>
      </c>
      <c r="L2474" s="553">
        <v>4</v>
      </c>
      <c r="M2474" s="505" t="s">
        <v>137</v>
      </c>
      <c r="N2474" s="500">
        <v>43047561740007</v>
      </c>
      <c r="O2474" s="553" t="s">
        <v>3166</v>
      </c>
      <c r="P2474" s="650" t="s">
        <v>3167</v>
      </c>
      <c r="Q2474" s="564"/>
      <c r="R2474" s="564">
        <v>1</v>
      </c>
    </row>
    <row r="2475" spans="1:18" s="484" customFormat="1" ht="15" customHeight="1" x14ac:dyDescent="0.25">
      <c r="A2475" s="553">
        <v>25</v>
      </c>
      <c r="B2475" s="553">
        <v>2</v>
      </c>
      <c r="C2475" s="553">
        <v>2</v>
      </c>
      <c r="D2475" s="553">
        <v>1</v>
      </c>
      <c r="E2475" s="553">
        <v>2</v>
      </c>
      <c r="F2475" s="553">
        <v>2</v>
      </c>
      <c r="G2475" s="553" t="s">
        <v>474</v>
      </c>
      <c r="H2475" s="553">
        <v>1314.24</v>
      </c>
      <c r="I2475" s="553">
        <v>89</v>
      </c>
      <c r="J2475" s="553">
        <v>52</v>
      </c>
      <c r="K2475" s="553">
        <v>16</v>
      </c>
      <c r="L2475" s="553">
        <v>1</v>
      </c>
      <c r="M2475" s="505" t="s">
        <v>137</v>
      </c>
      <c r="N2475" s="500">
        <v>43047561740008</v>
      </c>
      <c r="O2475" s="553" t="s">
        <v>3168</v>
      </c>
      <c r="P2475" s="650" t="s">
        <v>3169</v>
      </c>
      <c r="Q2475" s="564"/>
      <c r="R2475" s="564">
        <v>1</v>
      </c>
    </row>
    <row r="2476" spans="1:18" s="484" customFormat="1" ht="15" customHeight="1" x14ac:dyDescent="0.25">
      <c r="A2476" s="553">
        <v>25</v>
      </c>
      <c r="B2476" s="553">
        <v>2</v>
      </c>
      <c r="C2476" s="553">
        <v>2</v>
      </c>
      <c r="D2476" s="553">
        <v>1</v>
      </c>
      <c r="E2476" s="553">
        <v>2</v>
      </c>
      <c r="F2476" s="553">
        <v>2</v>
      </c>
      <c r="G2476" s="502" t="s">
        <v>477</v>
      </c>
      <c r="H2476" s="553">
        <v>1302.6199999999999</v>
      </c>
      <c r="I2476" s="553">
        <v>89</v>
      </c>
      <c r="J2476" s="553">
        <v>52</v>
      </c>
      <c r="K2476" s="553">
        <v>16</v>
      </c>
      <c r="L2476" s="553">
        <v>1</v>
      </c>
      <c r="M2476" s="505" t="s">
        <v>137</v>
      </c>
      <c r="N2476" s="500">
        <v>43047561740009</v>
      </c>
      <c r="O2476" s="553" t="s">
        <v>3170</v>
      </c>
      <c r="P2476" s="650" t="s">
        <v>3171</v>
      </c>
      <c r="Q2476" s="564"/>
      <c r="R2476" s="564">
        <v>1</v>
      </c>
    </row>
    <row r="2477" spans="1:18" s="484" customFormat="1" ht="15" customHeight="1" x14ac:dyDescent="0.25">
      <c r="A2477" s="553">
        <v>25</v>
      </c>
      <c r="B2477" s="553">
        <v>2</v>
      </c>
      <c r="C2477" s="553">
        <v>2</v>
      </c>
      <c r="D2477" s="553">
        <v>1</v>
      </c>
      <c r="E2477" s="553">
        <v>2</v>
      </c>
      <c r="F2477" s="553">
        <v>2</v>
      </c>
      <c r="G2477" s="553" t="s">
        <v>479</v>
      </c>
      <c r="H2477" s="553">
        <v>1308.45</v>
      </c>
      <c r="I2477" s="553">
        <v>88</v>
      </c>
      <c r="J2477" s="553">
        <v>13</v>
      </c>
      <c r="K2477" s="553">
        <v>6</v>
      </c>
      <c r="L2477" s="553">
        <v>2</v>
      </c>
      <c r="M2477" s="505" t="s">
        <v>137</v>
      </c>
      <c r="N2477" s="500">
        <v>43047561740010</v>
      </c>
      <c r="O2477" s="553" t="s">
        <v>3172</v>
      </c>
      <c r="P2477" s="650" t="s">
        <v>3173</v>
      </c>
      <c r="Q2477" s="564"/>
      <c r="R2477" s="564">
        <v>1</v>
      </c>
    </row>
    <row r="2478" spans="1:18" s="484" customFormat="1" ht="15" customHeight="1" x14ac:dyDescent="0.25">
      <c r="A2478" s="553">
        <v>25</v>
      </c>
      <c r="B2478" s="553">
        <v>2</v>
      </c>
      <c r="C2478" s="553">
        <v>2</v>
      </c>
      <c r="D2478" s="553">
        <v>1</v>
      </c>
      <c r="E2478" s="553">
        <v>2</v>
      </c>
      <c r="F2478" s="553">
        <v>2</v>
      </c>
      <c r="G2478" s="553" t="s">
        <v>485</v>
      </c>
      <c r="H2478" s="553">
        <v>1341.05</v>
      </c>
      <c r="I2478" s="553">
        <v>88</v>
      </c>
      <c r="J2478" s="553">
        <v>1</v>
      </c>
      <c r="K2478" s="553">
        <v>3</v>
      </c>
      <c r="L2478" s="553">
        <v>1</v>
      </c>
      <c r="M2478" s="505" t="s">
        <v>137</v>
      </c>
      <c r="N2478" s="500">
        <v>43047561740011</v>
      </c>
      <c r="O2478" s="553" t="s">
        <v>3174</v>
      </c>
      <c r="P2478" s="650" t="s">
        <v>3175</v>
      </c>
      <c r="Q2478" s="564"/>
      <c r="R2478" s="564">
        <v>1</v>
      </c>
    </row>
    <row r="2479" spans="1:18" s="484" customFormat="1" ht="15" customHeight="1" x14ac:dyDescent="0.25">
      <c r="A2479" s="553">
        <v>25</v>
      </c>
      <c r="B2479" s="553">
        <v>2</v>
      </c>
      <c r="C2479" s="553">
        <v>2</v>
      </c>
      <c r="D2479" s="553">
        <v>1</v>
      </c>
      <c r="E2479" s="553">
        <v>2</v>
      </c>
      <c r="F2479" s="553">
        <v>2</v>
      </c>
      <c r="G2479" s="553" t="s">
        <v>487</v>
      </c>
      <c r="H2479" s="553">
        <v>1316.28</v>
      </c>
      <c r="I2479" s="553">
        <v>89</v>
      </c>
      <c r="J2479" s="553">
        <v>55</v>
      </c>
      <c r="K2479" s="553">
        <v>10</v>
      </c>
      <c r="L2479" s="553">
        <v>1</v>
      </c>
      <c r="M2479" s="505" t="s">
        <v>137</v>
      </c>
      <c r="N2479" s="500">
        <v>43047561740012</v>
      </c>
      <c r="O2479" s="553" t="s">
        <v>3176</v>
      </c>
      <c r="P2479" s="650" t="s">
        <v>3177</v>
      </c>
      <c r="Q2479" s="564"/>
      <c r="R2479" s="564">
        <v>1</v>
      </c>
    </row>
    <row r="2480" spans="1:18" s="484" customFormat="1" ht="15" customHeight="1" x14ac:dyDescent="0.25">
      <c r="A2480" s="553">
        <v>25</v>
      </c>
      <c r="B2480" s="553">
        <v>2</v>
      </c>
      <c r="C2480" s="553">
        <v>2</v>
      </c>
      <c r="D2480" s="553">
        <v>1</v>
      </c>
      <c r="E2480" s="553">
        <v>2</v>
      </c>
      <c r="F2480" s="553">
        <v>2</v>
      </c>
      <c r="G2480" s="502" t="s">
        <v>489</v>
      </c>
      <c r="H2480" s="553">
        <v>1316.28</v>
      </c>
      <c r="I2480" s="553">
        <v>89</v>
      </c>
      <c r="J2480" s="553">
        <v>55</v>
      </c>
      <c r="K2480" s="553">
        <v>10</v>
      </c>
      <c r="L2480" s="553">
        <v>1</v>
      </c>
      <c r="M2480" s="554" t="s">
        <v>137</v>
      </c>
      <c r="N2480" s="500">
        <v>43047561740013</v>
      </c>
      <c r="O2480" s="553" t="s">
        <v>3178</v>
      </c>
      <c r="P2480" s="650" t="s">
        <v>3179</v>
      </c>
      <c r="Q2480" s="564"/>
      <c r="R2480" s="564">
        <v>1</v>
      </c>
    </row>
    <row r="2481" spans="1:18" s="484" customFormat="1" ht="15" customHeight="1" x14ac:dyDescent="0.25">
      <c r="A2481" s="553">
        <v>25</v>
      </c>
      <c r="B2481" s="553">
        <v>2</v>
      </c>
      <c r="C2481" s="553">
        <v>2</v>
      </c>
      <c r="D2481" s="553">
        <v>1</v>
      </c>
      <c r="E2481" s="553">
        <v>2</v>
      </c>
      <c r="F2481" s="553">
        <v>2</v>
      </c>
      <c r="G2481" s="553" t="s">
        <v>491</v>
      </c>
      <c r="H2481" s="553">
        <v>1320.27</v>
      </c>
      <c r="I2481" s="553">
        <v>89</v>
      </c>
      <c r="J2481" s="553">
        <v>55</v>
      </c>
      <c r="K2481" s="553">
        <v>10</v>
      </c>
      <c r="L2481" s="553">
        <v>1</v>
      </c>
      <c r="M2481" s="554" t="s">
        <v>137</v>
      </c>
      <c r="N2481" s="500">
        <v>43047561740014</v>
      </c>
      <c r="O2481" s="553" t="s">
        <v>3180</v>
      </c>
      <c r="P2481" s="650" t="s">
        <v>3181</v>
      </c>
      <c r="Q2481" s="564"/>
      <c r="R2481" s="564">
        <v>1</v>
      </c>
    </row>
    <row r="2482" spans="1:18" s="484" customFormat="1" ht="15" customHeight="1" x14ac:dyDescent="0.25">
      <c r="A2482" s="553">
        <v>25</v>
      </c>
      <c r="B2482" s="553">
        <v>2</v>
      </c>
      <c r="C2482" s="553">
        <v>2</v>
      </c>
      <c r="D2482" s="553">
        <v>1</v>
      </c>
      <c r="E2482" s="553">
        <v>2</v>
      </c>
      <c r="F2482" s="553">
        <v>2</v>
      </c>
      <c r="G2482" s="553" t="s">
        <v>494</v>
      </c>
      <c r="H2482" s="553">
        <v>1333.38</v>
      </c>
      <c r="I2482" s="553">
        <v>89</v>
      </c>
      <c r="J2482" s="553">
        <v>59</v>
      </c>
      <c r="K2482" s="553">
        <v>23</v>
      </c>
      <c r="L2482" s="553">
        <v>1</v>
      </c>
      <c r="M2482" s="554" t="s">
        <v>137</v>
      </c>
      <c r="N2482" s="500">
        <v>43047561740015</v>
      </c>
      <c r="O2482" s="553" t="s">
        <v>3182</v>
      </c>
      <c r="P2482" s="650" t="s">
        <v>3183</v>
      </c>
      <c r="Q2482" s="564"/>
      <c r="R2482" s="564">
        <v>1</v>
      </c>
    </row>
    <row r="2483" spans="1:18" s="484" customFormat="1" ht="15" customHeight="1" x14ac:dyDescent="0.25">
      <c r="A2483" s="553">
        <v>25</v>
      </c>
      <c r="B2483" s="553">
        <v>2</v>
      </c>
      <c r="C2483" s="553">
        <v>2</v>
      </c>
      <c r="D2483" s="553">
        <v>2</v>
      </c>
      <c r="E2483" s="553">
        <v>2</v>
      </c>
      <c r="F2483" s="553">
        <v>2</v>
      </c>
      <c r="G2483" s="553" t="s">
        <v>473</v>
      </c>
      <c r="H2483" s="553">
        <v>1320.32</v>
      </c>
      <c r="I2483" s="553">
        <v>1</v>
      </c>
      <c r="J2483" s="553">
        <v>17</v>
      </c>
      <c r="K2483" s="553">
        <v>9</v>
      </c>
      <c r="L2483" s="553">
        <v>4</v>
      </c>
      <c r="M2483" s="554" t="s">
        <v>137</v>
      </c>
      <c r="N2483" s="500">
        <v>43013538250000</v>
      </c>
      <c r="O2483" s="553" t="s">
        <v>651</v>
      </c>
      <c r="P2483" s="650" t="s">
        <v>3184</v>
      </c>
      <c r="Q2483" s="564"/>
      <c r="R2483" s="564">
        <v>2</v>
      </c>
    </row>
    <row r="2484" spans="1:18" s="484" customFormat="1" ht="15" customHeight="1" x14ac:dyDescent="0.25">
      <c r="A2484" s="553">
        <v>25</v>
      </c>
      <c r="B2484" s="553">
        <v>2</v>
      </c>
      <c r="C2484" s="553">
        <v>2</v>
      </c>
      <c r="D2484" s="553">
        <v>2</v>
      </c>
      <c r="E2484" s="553">
        <v>2</v>
      </c>
      <c r="F2484" s="553">
        <v>2</v>
      </c>
      <c r="G2484" s="502" t="s">
        <v>476</v>
      </c>
      <c r="H2484" s="553">
        <v>1320.32</v>
      </c>
      <c r="I2484" s="553">
        <v>1</v>
      </c>
      <c r="J2484" s="553">
        <v>17</v>
      </c>
      <c r="K2484" s="553">
        <v>9</v>
      </c>
      <c r="L2484" s="553">
        <v>4</v>
      </c>
      <c r="M2484" s="554" t="s">
        <v>137</v>
      </c>
      <c r="N2484" s="500">
        <v>43013538250000</v>
      </c>
      <c r="O2484" s="553" t="s">
        <v>651</v>
      </c>
      <c r="P2484" s="650" t="s">
        <v>3185</v>
      </c>
      <c r="Q2484" s="564"/>
      <c r="R2484" s="564">
        <v>2</v>
      </c>
    </row>
    <row r="2485" spans="1:18" s="484" customFormat="1" ht="15" customHeight="1" x14ac:dyDescent="0.25">
      <c r="A2485" s="553">
        <v>25</v>
      </c>
      <c r="B2485" s="553">
        <v>2</v>
      </c>
      <c r="C2485" s="553">
        <v>2</v>
      </c>
      <c r="D2485" s="553">
        <v>2</v>
      </c>
      <c r="E2485" s="553">
        <v>2</v>
      </c>
      <c r="F2485" s="553">
        <v>2</v>
      </c>
      <c r="G2485" s="553" t="s">
        <v>478</v>
      </c>
      <c r="H2485" s="553">
        <v>1320.2049999999999</v>
      </c>
      <c r="I2485" s="553">
        <v>1</v>
      </c>
      <c r="J2485" s="553">
        <v>17</v>
      </c>
      <c r="K2485" s="553">
        <v>3</v>
      </c>
      <c r="L2485" s="553">
        <v>4</v>
      </c>
      <c r="M2485" s="554" t="s">
        <v>137</v>
      </c>
      <c r="N2485" s="500">
        <v>43013538250000</v>
      </c>
      <c r="O2485" s="553" t="s">
        <v>651</v>
      </c>
      <c r="P2485" s="650" t="s">
        <v>3186</v>
      </c>
      <c r="Q2485" s="564"/>
      <c r="R2485" s="564">
        <v>2</v>
      </c>
    </row>
    <row r="2486" spans="1:18" s="484" customFormat="1" ht="15" customHeight="1" x14ac:dyDescent="0.25">
      <c r="A2486" s="553">
        <v>25</v>
      </c>
      <c r="B2486" s="553">
        <v>2</v>
      </c>
      <c r="C2486" s="553">
        <v>2</v>
      </c>
      <c r="D2486" s="553">
        <v>2</v>
      </c>
      <c r="E2486" s="553">
        <v>2</v>
      </c>
      <c r="F2486" s="553">
        <v>2</v>
      </c>
      <c r="G2486" s="553" t="s">
        <v>484</v>
      </c>
      <c r="H2486" s="553">
        <v>1320.2049999999999</v>
      </c>
      <c r="I2486" s="553">
        <v>1</v>
      </c>
      <c r="J2486" s="553">
        <v>17</v>
      </c>
      <c r="K2486" s="553">
        <v>3</v>
      </c>
      <c r="L2486" s="553">
        <v>4</v>
      </c>
      <c r="M2486" s="554" t="s">
        <v>137</v>
      </c>
      <c r="N2486" s="500">
        <v>43013538250000</v>
      </c>
      <c r="O2486" s="553" t="s">
        <v>651</v>
      </c>
      <c r="P2486" s="650" t="s">
        <v>3187</v>
      </c>
      <c r="Q2486" s="564"/>
      <c r="R2486" s="564">
        <v>2</v>
      </c>
    </row>
    <row r="2487" spans="1:18" s="484" customFormat="1" ht="15" customHeight="1" x14ac:dyDescent="0.25">
      <c r="A2487" s="553">
        <v>25</v>
      </c>
      <c r="B2487" s="553">
        <v>2</v>
      </c>
      <c r="C2487" s="553">
        <v>2</v>
      </c>
      <c r="D2487" s="553">
        <v>2</v>
      </c>
      <c r="E2487" s="553">
        <v>2</v>
      </c>
      <c r="F2487" s="553">
        <v>2</v>
      </c>
      <c r="G2487" s="553" t="s">
        <v>486</v>
      </c>
      <c r="H2487" s="553">
        <v>1321.42</v>
      </c>
      <c r="I2487" s="553">
        <v>0</v>
      </c>
      <c r="J2487" s="553">
        <v>49</v>
      </c>
      <c r="K2487" s="553">
        <v>27</v>
      </c>
      <c r="L2487" s="553">
        <v>4</v>
      </c>
      <c r="M2487" s="554" t="s">
        <v>137</v>
      </c>
      <c r="N2487" s="500">
        <v>43013538250000</v>
      </c>
      <c r="O2487" s="553" t="s">
        <v>651</v>
      </c>
      <c r="P2487" s="650" t="s">
        <v>3188</v>
      </c>
      <c r="Q2487" s="564"/>
      <c r="R2487" s="564">
        <v>2</v>
      </c>
    </row>
    <row r="2488" spans="1:18" s="484" customFormat="1" ht="15" customHeight="1" x14ac:dyDescent="0.25">
      <c r="A2488" s="553">
        <v>25</v>
      </c>
      <c r="B2488" s="553">
        <v>2</v>
      </c>
      <c r="C2488" s="553">
        <v>2</v>
      </c>
      <c r="D2488" s="553">
        <v>2</v>
      </c>
      <c r="E2488" s="553">
        <v>2</v>
      </c>
      <c r="F2488" s="553">
        <v>2</v>
      </c>
      <c r="G2488" s="502" t="s">
        <v>488</v>
      </c>
      <c r="H2488" s="553">
        <v>1321.42</v>
      </c>
      <c r="I2488" s="553">
        <v>0</v>
      </c>
      <c r="J2488" s="553">
        <v>49</v>
      </c>
      <c r="K2488" s="553">
        <v>27</v>
      </c>
      <c r="L2488" s="553">
        <v>4</v>
      </c>
      <c r="M2488" s="554" t="s">
        <v>137</v>
      </c>
      <c r="N2488" s="500">
        <v>43013538250000</v>
      </c>
      <c r="O2488" s="553" t="s">
        <v>651</v>
      </c>
      <c r="P2488" s="650" t="s">
        <v>3189</v>
      </c>
      <c r="Q2488" s="564"/>
      <c r="R2488" s="564">
        <v>2</v>
      </c>
    </row>
    <row r="2489" spans="1:18" s="484" customFormat="1" ht="15" customHeight="1" x14ac:dyDescent="0.25">
      <c r="A2489" s="553">
        <v>25</v>
      </c>
      <c r="B2489" s="553">
        <v>2</v>
      </c>
      <c r="C2489" s="553">
        <v>2</v>
      </c>
      <c r="D2489" s="553">
        <v>2</v>
      </c>
      <c r="E2489" s="553">
        <v>2</v>
      </c>
      <c r="F2489" s="553">
        <v>2</v>
      </c>
      <c r="G2489" s="553" t="s">
        <v>490</v>
      </c>
      <c r="H2489" s="553">
        <v>1321.55</v>
      </c>
      <c r="I2489" s="553">
        <v>0</v>
      </c>
      <c r="J2489" s="553">
        <v>48</v>
      </c>
      <c r="K2489" s="553">
        <v>57</v>
      </c>
      <c r="L2489" s="553">
        <v>4</v>
      </c>
      <c r="M2489" s="554" t="s">
        <v>137</v>
      </c>
      <c r="N2489" s="500">
        <v>43013538250000</v>
      </c>
      <c r="O2489" s="553" t="s">
        <v>651</v>
      </c>
      <c r="P2489" s="650" t="s">
        <v>3190</v>
      </c>
      <c r="Q2489" s="564"/>
      <c r="R2489" s="564">
        <v>2</v>
      </c>
    </row>
    <row r="2490" spans="1:18" s="484" customFormat="1" ht="15" customHeight="1" x14ac:dyDescent="0.25">
      <c r="A2490" s="553">
        <v>25</v>
      </c>
      <c r="B2490" s="553">
        <v>2</v>
      </c>
      <c r="C2490" s="553">
        <v>2</v>
      </c>
      <c r="D2490" s="553">
        <v>2</v>
      </c>
      <c r="E2490" s="553">
        <v>2</v>
      </c>
      <c r="F2490" s="553">
        <v>2</v>
      </c>
      <c r="G2490" s="553" t="s">
        <v>493</v>
      </c>
      <c r="H2490" s="553">
        <v>1321.55</v>
      </c>
      <c r="I2490" s="553">
        <v>0</v>
      </c>
      <c r="J2490" s="553">
        <v>48</v>
      </c>
      <c r="K2490" s="553">
        <v>57</v>
      </c>
      <c r="L2490" s="553">
        <v>4</v>
      </c>
      <c r="M2490" s="554" t="s">
        <v>137</v>
      </c>
      <c r="N2490" s="500">
        <v>43013538250000</v>
      </c>
      <c r="O2490" s="553" t="s">
        <v>651</v>
      </c>
      <c r="P2490" s="650" t="s">
        <v>3191</v>
      </c>
      <c r="Q2490" s="564"/>
      <c r="R2490" s="564">
        <v>2</v>
      </c>
    </row>
    <row r="2491" spans="1:18" s="484" customFormat="1" ht="15" customHeight="1" x14ac:dyDescent="0.25">
      <c r="A2491" s="553">
        <v>25</v>
      </c>
      <c r="B2491" s="553">
        <v>2</v>
      </c>
      <c r="C2491" s="553">
        <v>2</v>
      </c>
      <c r="D2491" s="553">
        <v>2</v>
      </c>
      <c r="E2491" s="553">
        <v>2</v>
      </c>
      <c r="F2491" s="553">
        <v>2</v>
      </c>
      <c r="G2491" s="553" t="s">
        <v>474</v>
      </c>
      <c r="H2491" s="553">
        <v>1323.4949999999999</v>
      </c>
      <c r="I2491" s="553">
        <v>88</v>
      </c>
      <c r="J2491" s="553">
        <v>40</v>
      </c>
      <c r="K2491" s="553">
        <v>43</v>
      </c>
      <c r="L2491" s="553">
        <v>3</v>
      </c>
      <c r="M2491" s="554" t="s">
        <v>137</v>
      </c>
      <c r="N2491" s="500">
        <v>43013538250000</v>
      </c>
      <c r="O2491" s="553" t="s">
        <v>651</v>
      </c>
      <c r="P2491" s="650" t="s">
        <v>3192</v>
      </c>
      <c r="Q2491" s="564"/>
      <c r="R2491" s="564">
        <v>2</v>
      </c>
    </row>
    <row r="2492" spans="1:18" s="484" customFormat="1" ht="15" customHeight="1" x14ac:dyDescent="0.25">
      <c r="A2492" s="553">
        <v>25</v>
      </c>
      <c r="B2492" s="553">
        <v>2</v>
      </c>
      <c r="C2492" s="553">
        <v>2</v>
      </c>
      <c r="D2492" s="553">
        <v>2</v>
      </c>
      <c r="E2492" s="553">
        <v>2</v>
      </c>
      <c r="F2492" s="553">
        <v>2</v>
      </c>
      <c r="G2492" s="502" t="s">
        <v>477</v>
      </c>
      <c r="H2492" s="553">
        <v>1323.4949999999999</v>
      </c>
      <c r="I2492" s="553">
        <v>88</v>
      </c>
      <c r="J2492" s="553">
        <v>40</v>
      </c>
      <c r="K2492" s="553">
        <v>43</v>
      </c>
      <c r="L2492" s="553">
        <v>3</v>
      </c>
      <c r="M2492" s="554" t="s">
        <v>137</v>
      </c>
      <c r="N2492" s="500">
        <v>43013538250000</v>
      </c>
      <c r="O2492" s="553" t="s">
        <v>651</v>
      </c>
      <c r="P2492" s="650" t="s">
        <v>3193</v>
      </c>
      <c r="Q2492" s="564"/>
      <c r="R2492" s="564">
        <v>2</v>
      </c>
    </row>
    <row r="2493" spans="1:18" s="484" customFormat="1" ht="15" customHeight="1" x14ac:dyDescent="0.25">
      <c r="A2493" s="553">
        <v>25</v>
      </c>
      <c r="B2493" s="553">
        <v>2</v>
      </c>
      <c r="C2493" s="553">
        <v>2</v>
      </c>
      <c r="D2493" s="553">
        <v>2</v>
      </c>
      <c r="E2493" s="553">
        <v>2</v>
      </c>
      <c r="F2493" s="553">
        <v>2</v>
      </c>
      <c r="G2493" s="553" t="s">
        <v>479</v>
      </c>
      <c r="H2493" s="553">
        <v>1323.365</v>
      </c>
      <c r="I2493" s="553">
        <v>88</v>
      </c>
      <c r="J2493" s="553">
        <v>40</v>
      </c>
      <c r="K2493" s="553">
        <v>6</v>
      </c>
      <c r="L2493" s="553">
        <v>3</v>
      </c>
      <c r="M2493" s="554" t="s">
        <v>137</v>
      </c>
      <c r="N2493" s="500">
        <v>43013538250000</v>
      </c>
      <c r="O2493" s="553" t="s">
        <v>651</v>
      </c>
      <c r="P2493" s="650" t="s">
        <v>3194</v>
      </c>
      <c r="Q2493" s="564"/>
      <c r="R2493" s="564">
        <v>2</v>
      </c>
    </row>
    <row r="2494" spans="1:18" s="484" customFormat="1" ht="15" customHeight="1" x14ac:dyDescent="0.25">
      <c r="A2494" s="553">
        <v>25</v>
      </c>
      <c r="B2494" s="553">
        <v>2</v>
      </c>
      <c r="C2494" s="553">
        <v>2</v>
      </c>
      <c r="D2494" s="553">
        <v>2</v>
      </c>
      <c r="E2494" s="553">
        <v>2</v>
      </c>
      <c r="F2494" s="553">
        <v>2</v>
      </c>
      <c r="G2494" s="553" t="s">
        <v>485</v>
      </c>
      <c r="H2494" s="553">
        <v>1323.365</v>
      </c>
      <c r="I2494" s="553">
        <v>88</v>
      </c>
      <c r="J2494" s="553">
        <v>40</v>
      </c>
      <c r="K2494" s="553">
        <v>6</v>
      </c>
      <c r="L2494" s="553">
        <v>3</v>
      </c>
      <c r="M2494" s="554" t="s">
        <v>137</v>
      </c>
      <c r="N2494" s="500">
        <v>43013538250000</v>
      </c>
      <c r="O2494" s="553" t="s">
        <v>651</v>
      </c>
      <c r="P2494" s="650" t="s">
        <v>3195</v>
      </c>
      <c r="Q2494" s="564"/>
      <c r="R2494" s="564">
        <v>2</v>
      </c>
    </row>
    <row r="2495" spans="1:18" s="484" customFormat="1" ht="15" customHeight="1" x14ac:dyDescent="0.25">
      <c r="A2495" s="553">
        <v>25</v>
      </c>
      <c r="B2495" s="553">
        <v>2</v>
      </c>
      <c r="C2495" s="553">
        <v>2</v>
      </c>
      <c r="D2495" s="553">
        <v>2</v>
      </c>
      <c r="E2495" s="553">
        <v>2</v>
      </c>
      <c r="F2495" s="553">
        <v>2</v>
      </c>
      <c r="G2495" s="553" t="s">
        <v>487</v>
      </c>
      <c r="H2495" s="553">
        <v>1319.23</v>
      </c>
      <c r="I2495" s="553">
        <v>88</v>
      </c>
      <c r="J2495" s="553">
        <v>43</v>
      </c>
      <c r="K2495" s="553">
        <v>52</v>
      </c>
      <c r="L2495" s="553">
        <v>4</v>
      </c>
      <c r="M2495" s="554" t="s">
        <v>137</v>
      </c>
      <c r="N2495" s="500">
        <v>43013538250000</v>
      </c>
      <c r="O2495" s="553" t="s">
        <v>651</v>
      </c>
      <c r="P2495" s="650" t="s">
        <v>3196</v>
      </c>
      <c r="Q2495" s="564"/>
      <c r="R2495" s="564">
        <v>2</v>
      </c>
    </row>
    <row r="2496" spans="1:18" s="484" customFormat="1" ht="15" customHeight="1" x14ac:dyDescent="0.25">
      <c r="A2496" s="553">
        <v>25</v>
      </c>
      <c r="B2496" s="553">
        <v>2</v>
      </c>
      <c r="C2496" s="553">
        <v>2</v>
      </c>
      <c r="D2496" s="553">
        <v>2</v>
      </c>
      <c r="E2496" s="553">
        <v>2</v>
      </c>
      <c r="F2496" s="553">
        <v>2</v>
      </c>
      <c r="G2496" s="502" t="s">
        <v>489</v>
      </c>
      <c r="H2496" s="553">
        <v>1319.23</v>
      </c>
      <c r="I2496" s="553">
        <v>88</v>
      </c>
      <c r="J2496" s="553">
        <v>43</v>
      </c>
      <c r="K2496" s="553">
        <v>52</v>
      </c>
      <c r="L2496" s="553">
        <v>4</v>
      </c>
      <c r="M2496" s="505" t="s">
        <v>137</v>
      </c>
      <c r="N2496" s="500">
        <v>43013538250000</v>
      </c>
      <c r="O2496" s="553" t="s">
        <v>651</v>
      </c>
      <c r="P2496" s="650" t="s">
        <v>3197</v>
      </c>
      <c r="Q2496" s="564"/>
      <c r="R2496" s="564">
        <v>2</v>
      </c>
    </row>
    <row r="2497" spans="1:18" s="484" customFormat="1" ht="15" customHeight="1" x14ac:dyDescent="0.25">
      <c r="A2497" s="553">
        <v>25</v>
      </c>
      <c r="B2497" s="553">
        <v>2</v>
      </c>
      <c r="C2497" s="553">
        <v>2</v>
      </c>
      <c r="D2497" s="553">
        <v>2</v>
      </c>
      <c r="E2497" s="553">
        <v>2</v>
      </c>
      <c r="F2497" s="553">
        <v>2</v>
      </c>
      <c r="G2497" s="553" t="s">
        <v>491</v>
      </c>
      <c r="H2497" s="553">
        <v>1306.18</v>
      </c>
      <c r="I2497" s="553">
        <v>88</v>
      </c>
      <c r="J2497" s="553">
        <v>43</v>
      </c>
      <c r="K2497" s="553">
        <v>4</v>
      </c>
      <c r="L2497" s="553">
        <v>4</v>
      </c>
      <c r="M2497" s="505" t="s">
        <v>137</v>
      </c>
      <c r="N2497" s="500">
        <v>43013538250000</v>
      </c>
      <c r="O2497" s="553" t="s">
        <v>651</v>
      </c>
      <c r="P2497" s="650" t="s">
        <v>3198</v>
      </c>
      <c r="Q2497" s="564"/>
      <c r="R2497" s="564">
        <v>2</v>
      </c>
    </row>
    <row r="2498" spans="1:18" s="484" customFormat="1" ht="15" customHeight="1" x14ac:dyDescent="0.25">
      <c r="A2498" s="553">
        <v>25</v>
      </c>
      <c r="B2498" s="553">
        <v>2</v>
      </c>
      <c r="C2498" s="553">
        <v>2</v>
      </c>
      <c r="D2498" s="553">
        <v>2</v>
      </c>
      <c r="E2498" s="553">
        <v>2</v>
      </c>
      <c r="F2498" s="553">
        <v>2</v>
      </c>
      <c r="G2498" s="553" t="s">
        <v>494</v>
      </c>
      <c r="H2498" s="553">
        <v>1306.18</v>
      </c>
      <c r="I2498" s="553">
        <v>88</v>
      </c>
      <c r="J2498" s="553">
        <v>43</v>
      </c>
      <c r="K2498" s="553">
        <v>4</v>
      </c>
      <c r="L2498" s="553">
        <v>4</v>
      </c>
      <c r="M2498" s="505" t="s">
        <v>137</v>
      </c>
      <c r="N2498" s="500">
        <v>43013538250000</v>
      </c>
      <c r="O2498" s="553" t="s">
        <v>651</v>
      </c>
      <c r="P2498" s="650" t="s">
        <v>3199</v>
      </c>
      <c r="Q2498" s="564"/>
      <c r="R2498" s="564">
        <v>2</v>
      </c>
    </row>
    <row r="2499" spans="1:18" ht="15" customHeight="1" x14ac:dyDescent="0.25">
      <c r="A2499" s="553">
        <v>25</v>
      </c>
      <c r="B2499" s="553">
        <v>2</v>
      </c>
      <c r="C2499" s="553">
        <v>2</v>
      </c>
      <c r="D2499" s="553">
        <v>3</v>
      </c>
      <c r="E2499" s="553">
        <v>2</v>
      </c>
      <c r="F2499" s="553">
        <v>2</v>
      </c>
      <c r="G2499" s="553" t="s">
        <v>473</v>
      </c>
      <c r="H2499" s="553">
        <v>1271.5899999999999</v>
      </c>
      <c r="I2499" s="553">
        <v>0</v>
      </c>
      <c r="J2499" s="553">
        <v>0</v>
      </c>
      <c r="K2499" s="553">
        <v>55</v>
      </c>
      <c r="L2499" s="553">
        <v>2</v>
      </c>
      <c r="M2499" s="505" t="s">
        <v>137</v>
      </c>
      <c r="N2499" s="652">
        <v>43013537770000</v>
      </c>
      <c r="O2499" s="553" t="s">
        <v>3200</v>
      </c>
      <c r="P2499" s="650" t="s">
        <v>3201</v>
      </c>
      <c r="Q2499" s="564"/>
      <c r="R2499" s="564">
        <v>1</v>
      </c>
    </row>
    <row r="2500" spans="1:18" ht="15" customHeight="1" x14ac:dyDescent="0.25">
      <c r="A2500" s="553">
        <v>25</v>
      </c>
      <c r="B2500" s="553">
        <v>2</v>
      </c>
      <c r="C2500" s="553">
        <v>2</v>
      </c>
      <c r="D2500" s="553">
        <v>3</v>
      </c>
      <c r="E2500" s="553">
        <v>2</v>
      </c>
      <c r="F2500" s="553">
        <v>2</v>
      </c>
      <c r="G2500" s="502" t="s">
        <v>476</v>
      </c>
      <c r="H2500" s="553">
        <v>1271.5899999999999</v>
      </c>
      <c r="I2500" s="553">
        <v>0</v>
      </c>
      <c r="J2500" s="553">
        <v>0</v>
      </c>
      <c r="K2500" s="553">
        <v>55</v>
      </c>
      <c r="L2500" s="553">
        <v>2</v>
      </c>
      <c r="M2500" s="505" t="s">
        <v>137</v>
      </c>
      <c r="N2500" s="652">
        <v>43013537770000</v>
      </c>
      <c r="O2500" s="553" t="s">
        <v>3200</v>
      </c>
      <c r="P2500" s="650" t="s">
        <v>3202</v>
      </c>
      <c r="Q2500" s="564"/>
      <c r="R2500" s="564">
        <v>1</v>
      </c>
    </row>
    <row r="2501" spans="1:18" ht="15" customHeight="1" x14ac:dyDescent="0.25">
      <c r="A2501" s="553">
        <v>25</v>
      </c>
      <c r="B2501" s="553">
        <v>2</v>
      </c>
      <c r="C2501" s="553">
        <v>2</v>
      </c>
      <c r="D2501" s="553">
        <v>3</v>
      </c>
      <c r="E2501" s="553">
        <v>2</v>
      </c>
      <c r="F2501" s="553">
        <v>2</v>
      </c>
      <c r="G2501" s="553" t="s">
        <v>478</v>
      </c>
      <c r="H2501" s="553">
        <v>1334.93</v>
      </c>
      <c r="I2501" s="553">
        <v>0</v>
      </c>
      <c r="J2501" s="553">
        <v>15</v>
      </c>
      <c r="K2501" s="553">
        <v>44</v>
      </c>
      <c r="L2501" s="553">
        <v>4</v>
      </c>
      <c r="M2501" s="505" t="s">
        <v>137</v>
      </c>
      <c r="N2501" s="652">
        <v>43013537770000</v>
      </c>
      <c r="O2501" s="553" t="s">
        <v>3200</v>
      </c>
      <c r="P2501" s="650" t="s">
        <v>3203</v>
      </c>
      <c r="Q2501" s="564"/>
      <c r="R2501" s="564">
        <v>1</v>
      </c>
    </row>
    <row r="2502" spans="1:18" ht="15" customHeight="1" x14ac:dyDescent="0.25">
      <c r="A2502" s="553">
        <v>25</v>
      </c>
      <c r="B2502" s="553">
        <v>2</v>
      </c>
      <c r="C2502" s="553">
        <v>2</v>
      </c>
      <c r="D2502" s="553">
        <v>3</v>
      </c>
      <c r="E2502" s="553">
        <v>2</v>
      </c>
      <c r="F2502" s="553">
        <v>2</v>
      </c>
      <c r="G2502" s="553" t="s">
        <v>484</v>
      </c>
      <c r="H2502" s="553">
        <v>1321.74</v>
      </c>
      <c r="I2502" s="553">
        <v>0</v>
      </c>
      <c r="J2502" s="553">
        <v>15</v>
      </c>
      <c r="K2502" s="553">
        <v>12</v>
      </c>
      <c r="L2502" s="553">
        <v>4</v>
      </c>
      <c r="M2502" s="505" t="s">
        <v>137</v>
      </c>
      <c r="N2502" s="500">
        <v>43013537770000</v>
      </c>
      <c r="O2502" s="553" t="s">
        <v>3200</v>
      </c>
      <c r="P2502" s="650" t="s">
        <v>3204</v>
      </c>
      <c r="Q2502" s="564"/>
      <c r="R2502" s="564">
        <v>1</v>
      </c>
    </row>
    <row r="2503" spans="1:18" ht="15" customHeight="1" x14ac:dyDescent="0.25">
      <c r="A2503" s="553">
        <v>25</v>
      </c>
      <c r="B2503" s="553">
        <v>2</v>
      </c>
      <c r="C2503" s="553">
        <v>2</v>
      </c>
      <c r="D2503" s="553">
        <v>3</v>
      </c>
      <c r="E2503" s="553">
        <v>2</v>
      </c>
      <c r="F2503" s="553">
        <v>2</v>
      </c>
      <c r="G2503" s="553" t="s">
        <v>486</v>
      </c>
      <c r="H2503" s="553">
        <v>1296.5</v>
      </c>
      <c r="I2503" s="553">
        <v>0</v>
      </c>
      <c r="J2503" s="553">
        <v>7</v>
      </c>
      <c r="K2503" s="553">
        <v>9</v>
      </c>
      <c r="L2503" s="553">
        <v>2</v>
      </c>
      <c r="M2503" s="505" t="s">
        <v>137</v>
      </c>
      <c r="N2503" s="652">
        <v>43013537770000</v>
      </c>
      <c r="O2503" s="553" t="s">
        <v>3200</v>
      </c>
      <c r="P2503" s="650" t="s">
        <v>3205</v>
      </c>
      <c r="Q2503" s="564"/>
      <c r="R2503" s="564">
        <v>1</v>
      </c>
    </row>
    <row r="2504" spans="1:18" ht="15" customHeight="1" x14ac:dyDescent="0.25">
      <c r="A2504" s="553">
        <v>25</v>
      </c>
      <c r="B2504" s="553">
        <v>2</v>
      </c>
      <c r="C2504" s="553">
        <v>2</v>
      </c>
      <c r="D2504" s="553">
        <v>3</v>
      </c>
      <c r="E2504" s="553">
        <v>2</v>
      </c>
      <c r="F2504" s="553">
        <v>2</v>
      </c>
      <c r="G2504" s="502" t="s">
        <v>488</v>
      </c>
      <c r="H2504" s="553">
        <v>1296.5</v>
      </c>
      <c r="I2504" s="553">
        <v>0</v>
      </c>
      <c r="J2504" s="553">
        <v>7</v>
      </c>
      <c r="K2504" s="553">
        <v>9</v>
      </c>
      <c r="L2504" s="553">
        <v>2</v>
      </c>
      <c r="M2504" s="505" t="s">
        <v>137</v>
      </c>
      <c r="N2504" s="652">
        <v>43013537770000</v>
      </c>
      <c r="O2504" s="553" t="s">
        <v>3200</v>
      </c>
      <c r="P2504" s="650" t="s">
        <v>3206</v>
      </c>
      <c r="Q2504" s="564"/>
      <c r="R2504" s="564">
        <v>1</v>
      </c>
    </row>
    <row r="2505" spans="1:18" ht="15" customHeight="1" x14ac:dyDescent="0.25">
      <c r="A2505" s="553">
        <v>25</v>
      </c>
      <c r="B2505" s="553">
        <v>2</v>
      </c>
      <c r="C2505" s="553">
        <v>2</v>
      </c>
      <c r="D2505" s="553">
        <v>3</v>
      </c>
      <c r="E2505" s="553">
        <v>2</v>
      </c>
      <c r="F2505" s="553">
        <v>2</v>
      </c>
      <c r="G2505" s="553" t="s">
        <v>490</v>
      </c>
      <c r="H2505" s="553">
        <v>1369.29</v>
      </c>
      <c r="I2505" s="553">
        <v>0</v>
      </c>
      <c r="J2505" s="553">
        <v>34</v>
      </c>
      <c r="K2505" s="553">
        <v>46</v>
      </c>
      <c r="L2505" s="553">
        <v>2</v>
      </c>
      <c r="M2505" s="505" t="s">
        <v>137</v>
      </c>
      <c r="N2505" s="652">
        <v>43013537770000</v>
      </c>
      <c r="O2505" s="553" t="s">
        <v>3200</v>
      </c>
      <c r="P2505" s="650" t="s">
        <v>3207</v>
      </c>
      <c r="Q2505" s="564"/>
      <c r="R2505" s="564">
        <v>1</v>
      </c>
    </row>
    <row r="2506" spans="1:18" ht="15" customHeight="1" x14ac:dyDescent="0.25">
      <c r="A2506" s="553">
        <v>25</v>
      </c>
      <c r="B2506" s="553">
        <v>2</v>
      </c>
      <c r="C2506" s="553">
        <v>2</v>
      </c>
      <c r="D2506" s="553">
        <v>3</v>
      </c>
      <c r="E2506" s="553">
        <v>2</v>
      </c>
      <c r="F2506" s="553">
        <v>2</v>
      </c>
      <c r="G2506" s="553" t="s">
        <v>493</v>
      </c>
      <c r="H2506" s="553">
        <v>1322.15</v>
      </c>
      <c r="I2506" s="553">
        <v>0</v>
      </c>
      <c r="J2506" s="553">
        <v>0</v>
      </c>
      <c r="K2506" s="553">
        <v>0</v>
      </c>
      <c r="L2506" s="553">
        <v>0</v>
      </c>
      <c r="M2506" s="505" t="s">
        <v>137</v>
      </c>
      <c r="N2506" s="652">
        <v>43013537770000</v>
      </c>
      <c r="O2506" s="553" t="s">
        <v>3200</v>
      </c>
      <c r="P2506" s="650" t="s">
        <v>3208</v>
      </c>
      <c r="Q2506" s="564"/>
      <c r="R2506" s="564">
        <v>1</v>
      </c>
    </row>
    <row r="2507" spans="1:18" ht="15" customHeight="1" x14ac:dyDescent="0.25">
      <c r="A2507" s="553">
        <v>25</v>
      </c>
      <c r="B2507" s="553">
        <v>2</v>
      </c>
      <c r="C2507" s="553">
        <v>2</v>
      </c>
      <c r="D2507" s="553">
        <v>3</v>
      </c>
      <c r="E2507" s="553">
        <v>2</v>
      </c>
      <c r="F2507" s="553">
        <v>2</v>
      </c>
      <c r="G2507" s="553" t="s">
        <v>474</v>
      </c>
      <c r="H2507" s="553">
        <v>1328.885</v>
      </c>
      <c r="I2507" s="553">
        <v>89</v>
      </c>
      <c r="J2507" s="553">
        <v>44</v>
      </c>
      <c r="K2507" s="553">
        <v>5</v>
      </c>
      <c r="L2507" s="553">
        <v>3</v>
      </c>
      <c r="M2507" s="505" t="s">
        <v>137</v>
      </c>
      <c r="N2507" s="652">
        <v>43013537770000</v>
      </c>
      <c r="O2507" s="553" t="s">
        <v>3200</v>
      </c>
      <c r="P2507" s="650" t="s">
        <v>3209</v>
      </c>
      <c r="Q2507" s="564"/>
      <c r="R2507" s="564">
        <v>1</v>
      </c>
    </row>
    <row r="2508" spans="1:18" ht="15" customHeight="1" x14ac:dyDescent="0.25">
      <c r="A2508" s="553">
        <v>25</v>
      </c>
      <c r="B2508" s="553">
        <v>2</v>
      </c>
      <c r="C2508" s="553">
        <v>2</v>
      </c>
      <c r="D2508" s="553">
        <v>3</v>
      </c>
      <c r="E2508" s="553">
        <v>2</v>
      </c>
      <c r="F2508" s="553">
        <v>2</v>
      </c>
      <c r="G2508" s="502" t="s">
        <v>477</v>
      </c>
      <c r="H2508" s="553">
        <v>1328.885</v>
      </c>
      <c r="I2508" s="553">
        <v>89</v>
      </c>
      <c r="J2508" s="553">
        <v>44</v>
      </c>
      <c r="K2508" s="553">
        <v>5</v>
      </c>
      <c r="L2508" s="553">
        <v>3</v>
      </c>
      <c r="M2508" s="505" t="s">
        <v>137</v>
      </c>
      <c r="N2508" s="652">
        <v>43013537770000</v>
      </c>
      <c r="O2508" s="553" t="s">
        <v>3200</v>
      </c>
      <c r="P2508" s="650" t="s">
        <v>3210</v>
      </c>
      <c r="Q2508" s="564"/>
      <c r="R2508" s="564">
        <v>1</v>
      </c>
    </row>
    <row r="2509" spans="1:18" ht="15" customHeight="1" x14ac:dyDescent="0.25">
      <c r="A2509" s="553">
        <v>25</v>
      </c>
      <c r="B2509" s="553">
        <v>2</v>
      </c>
      <c r="C2509" s="553">
        <v>2</v>
      </c>
      <c r="D2509" s="553">
        <v>3</v>
      </c>
      <c r="E2509" s="553">
        <v>2</v>
      </c>
      <c r="F2509" s="553">
        <v>2</v>
      </c>
      <c r="G2509" s="553" t="s">
        <v>479</v>
      </c>
      <c r="H2509" s="553">
        <v>1328.885</v>
      </c>
      <c r="I2509" s="553">
        <v>89</v>
      </c>
      <c r="J2509" s="553">
        <v>44</v>
      </c>
      <c r="K2509" s="553">
        <v>5</v>
      </c>
      <c r="L2509" s="553">
        <v>3</v>
      </c>
      <c r="M2509" s="505" t="s">
        <v>137</v>
      </c>
      <c r="N2509" s="652">
        <v>43013537770000</v>
      </c>
      <c r="O2509" s="553" t="s">
        <v>3200</v>
      </c>
      <c r="P2509" s="650" t="s">
        <v>3211</v>
      </c>
      <c r="Q2509" s="564"/>
      <c r="R2509" s="564">
        <v>1</v>
      </c>
    </row>
    <row r="2510" spans="1:18" ht="15" customHeight="1" x14ac:dyDescent="0.25">
      <c r="A2510" s="553">
        <v>25</v>
      </c>
      <c r="B2510" s="553">
        <v>2</v>
      </c>
      <c r="C2510" s="553">
        <v>2</v>
      </c>
      <c r="D2510" s="553">
        <v>3</v>
      </c>
      <c r="E2510" s="553">
        <v>2</v>
      </c>
      <c r="F2510" s="553">
        <v>2</v>
      </c>
      <c r="G2510" s="553" t="s">
        <v>485</v>
      </c>
      <c r="H2510" s="553">
        <v>1328.885</v>
      </c>
      <c r="I2510" s="553">
        <v>89</v>
      </c>
      <c r="J2510" s="553">
        <v>44</v>
      </c>
      <c r="K2510" s="553">
        <v>5</v>
      </c>
      <c r="L2510" s="553">
        <v>3</v>
      </c>
      <c r="M2510" s="505" t="s">
        <v>137</v>
      </c>
      <c r="N2510" s="652">
        <v>43013537770000</v>
      </c>
      <c r="O2510" s="553" t="s">
        <v>3200</v>
      </c>
      <c r="P2510" s="650" t="s">
        <v>3212</v>
      </c>
      <c r="Q2510" s="564"/>
      <c r="R2510" s="564">
        <v>1</v>
      </c>
    </row>
    <row r="2511" spans="1:18" ht="15" customHeight="1" x14ac:dyDescent="0.25">
      <c r="A2511" s="553">
        <v>25</v>
      </c>
      <c r="B2511" s="553">
        <v>2</v>
      </c>
      <c r="C2511" s="553">
        <v>2</v>
      </c>
      <c r="D2511" s="553">
        <v>3</v>
      </c>
      <c r="E2511" s="553">
        <v>2</v>
      </c>
      <c r="F2511" s="553">
        <v>2</v>
      </c>
      <c r="G2511" s="553" t="s">
        <v>487</v>
      </c>
      <c r="H2511" s="553">
        <v>1320.7550000000001</v>
      </c>
      <c r="I2511" s="553">
        <v>89</v>
      </c>
      <c r="J2511" s="553">
        <v>20</v>
      </c>
      <c r="K2511" s="553">
        <v>53</v>
      </c>
      <c r="L2511" s="553">
        <v>4</v>
      </c>
      <c r="M2511" s="505" t="s">
        <v>137</v>
      </c>
      <c r="N2511" s="652">
        <v>43013537770000</v>
      </c>
      <c r="O2511" s="553" t="s">
        <v>3200</v>
      </c>
      <c r="P2511" s="650" t="s">
        <v>3213</v>
      </c>
      <c r="Q2511" s="564"/>
      <c r="R2511" s="564">
        <v>1</v>
      </c>
    </row>
    <row r="2512" spans="1:18" ht="15" customHeight="1" x14ac:dyDescent="0.25">
      <c r="A2512" s="553">
        <v>25</v>
      </c>
      <c r="B2512" s="553">
        <v>2</v>
      </c>
      <c r="C2512" s="553">
        <v>2</v>
      </c>
      <c r="D2512" s="553">
        <v>3</v>
      </c>
      <c r="E2512" s="553">
        <v>2</v>
      </c>
      <c r="F2512" s="553">
        <v>2</v>
      </c>
      <c r="G2512" s="502" t="s">
        <v>489</v>
      </c>
      <c r="H2512" s="553">
        <v>1320.7550000000001</v>
      </c>
      <c r="I2512" s="553">
        <v>89</v>
      </c>
      <c r="J2512" s="553">
        <v>20</v>
      </c>
      <c r="K2512" s="553">
        <v>53</v>
      </c>
      <c r="L2512" s="553">
        <v>4</v>
      </c>
      <c r="M2512" s="505" t="s">
        <v>137</v>
      </c>
      <c r="N2512" s="656">
        <v>43013537770000</v>
      </c>
      <c r="O2512" s="560" t="s">
        <v>3200</v>
      </c>
      <c r="P2512" s="650" t="s">
        <v>3214</v>
      </c>
      <c r="Q2512" s="564"/>
      <c r="R2512" s="564">
        <v>1</v>
      </c>
    </row>
    <row r="2513" spans="1:18" ht="15" customHeight="1" x14ac:dyDescent="0.25">
      <c r="A2513" s="553">
        <v>25</v>
      </c>
      <c r="B2513" s="553">
        <v>2</v>
      </c>
      <c r="C2513" s="553">
        <v>2</v>
      </c>
      <c r="D2513" s="553">
        <v>3</v>
      </c>
      <c r="E2513" s="553">
        <v>2</v>
      </c>
      <c r="F2513" s="553">
        <v>2</v>
      </c>
      <c r="G2513" s="553" t="s">
        <v>491</v>
      </c>
      <c r="H2513" s="553">
        <v>1320.84</v>
      </c>
      <c r="I2513" s="553">
        <v>89</v>
      </c>
      <c r="J2513" s="553">
        <v>21</v>
      </c>
      <c r="K2513" s="553">
        <v>7</v>
      </c>
      <c r="L2513" s="553">
        <v>4</v>
      </c>
      <c r="M2513" s="505" t="s">
        <v>137</v>
      </c>
      <c r="N2513" s="656">
        <v>43013537770000</v>
      </c>
      <c r="O2513" s="560" t="s">
        <v>3200</v>
      </c>
      <c r="P2513" s="650" t="s">
        <v>3215</v>
      </c>
      <c r="Q2513" s="564"/>
      <c r="R2513" s="564">
        <v>1</v>
      </c>
    </row>
    <row r="2514" spans="1:18" ht="15" customHeight="1" x14ac:dyDescent="0.25">
      <c r="A2514" s="553">
        <v>25</v>
      </c>
      <c r="B2514" s="553">
        <v>2</v>
      </c>
      <c r="C2514" s="553">
        <v>2</v>
      </c>
      <c r="D2514" s="553">
        <v>3</v>
      </c>
      <c r="E2514" s="553">
        <v>2</v>
      </c>
      <c r="F2514" s="553">
        <v>2</v>
      </c>
      <c r="G2514" s="553" t="s">
        <v>494</v>
      </c>
      <c r="H2514" s="553">
        <v>1320.84</v>
      </c>
      <c r="I2514" s="553">
        <v>89</v>
      </c>
      <c r="J2514" s="553">
        <v>21</v>
      </c>
      <c r="K2514" s="553">
        <v>7</v>
      </c>
      <c r="L2514" s="553">
        <v>4</v>
      </c>
      <c r="M2514" s="505" t="s">
        <v>137</v>
      </c>
      <c r="N2514" s="656">
        <v>43013537770000</v>
      </c>
      <c r="O2514" s="560" t="s">
        <v>3200</v>
      </c>
      <c r="P2514" s="650" t="s">
        <v>3216</v>
      </c>
      <c r="Q2514" s="564"/>
      <c r="R2514" s="564">
        <v>1</v>
      </c>
    </row>
    <row r="2515" spans="1:18" ht="15" customHeight="1" x14ac:dyDescent="0.25">
      <c r="A2515" s="553">
        <v>25</v>
      </c>
      <c r="B2515" s="553">
        <v>2</v>
      </c>
      <c r="C2515" s="553">
        <v>2</v>
      </c>
      <c r="D2515" s="553">
        <v>4</v>
      </c>
      <c r="E2515" s="553">
        <v>2</v>
      </c>
      <c r="F2515" s="553">
        <v>2</v>
      </c>
      <c r="G2515" s="553" t="s">
        <v>473</v>
      </c>
      <c r="H2515" s="553">
        <v>1320.9425000000001</v>
      </c>
      <c r="I2515" s="553">
        <v>0</v>
      </c>
      <c r="J2515" s="553">
        <v>15</v>
      </c>
      <c r="K2515" s="553">
        <v>24</v>
      </c>
      <c r="L2515" s="553">
        <v>4</v>
      </c>
      <c r="M2515" s="505" t="s">
        <v>137</v>
      </c>
      <c r="N2515" s="514">
        <v>43013538980000</v>
      </c>
      <c r="O2515" s="560" t="s">
        <v>3217</v>
      </c>
      <c r="P2515" s="650" t="s">
        <v>3218</v>
      </c>
      <c r="Q2515" s="564"/>
      <c r="R2515" s="564">
        <v>2</v>
      </c>
    </row>
    <row r="2516" spans="1:18" ht="15" customHeight="1" x14ac:dyDescent="0.25">
      <c r="A2516" s="553">
        <v>25</v>
      </c>
      <c r="B2516" s="553">
        <v>2</v>
      </c>
      <c r="C2516" s="553">
        <v>2</v>
      </c>
      <c r="D2516" s="553">
        <v>4</v>
      </c>
      <c r="E2516" s="553">
        <v>2</v>
      </c>
      <c r="F2516" s="553">
        <v>2</v>
      </c>
      <c r="G2516" s="502" t="s">
        <v>476</v>
      </c>
      <c r="H2516" s="553">
        <v>1320.9425000000001</v>
      </c>
      <c r="I2516" s="553">
        <v>0</v>
      </c>
      <c r="J2516" s="553">
        <v>15</v>
      </c>
      <c r="K2516" s="553">
        <v>24</v>
      </c>
      <c r="L2516" s="553">
        <v>4</v>
      </c>
      <c r="M2516" s="505" t="s">
        <v>137</v>
      </c>
      <c r="N2516" s="514">
        <v>43013538980000</v>
      </c>
      <c r="O2516" s="560" t="s">
        <v>3217</v>
      </c>
      <c r="P2516" s="650" t="s">
        <v>3219</v>
      </c>
      <c r="Q2516" s="564"/>
      <c r="R2516" s="564">
        <v>2</v>
      </c>
    </row>
    <row r="2517" spans="1:18" ht="15" customHeight="1" x14ac:dyDescent="0.25">
      <c r="A2517" s="553">
        <v>25</v>
      </c>
      <c r="B2517" s="553">
        <v>2</v>
      </c>
      <c r="C2517" s="553">
        <v>2</v>
      </c>
      <c r="D2517" s="553">
        <v>4</v>
      </c>
      <c r="E2517" s="553">
        <v>2</v>
      </c>
      <c r="F2517" s="553">
        <v>2</v>
      </c>
      <c r="G2517" s="553" t="s">
        <v>478</v>
      </c>
      <c r="H2517" s="553">
        <v>1320.9425000000001</v>
      </c>
      <c r="I2517" s="553">
        <v>0</v>
      </c>
      <c r="J2517" s="553">
        <v>15</v>
      </c>
      <c r="K2517" s="553">
        <v>24</v>
      </c>
      <c r="L2517" s="553">
        <v>4</v>
      </c>
      <c r="M2517" s="505" t="s">
        <v>137</v>
      </c>
      <c r="N2517" s="514">
        <v>43013538980000</v>
      </c>
      <c r="O2517" s="560" t="s">
        <v>3217</v>
      </c>
      <c r="P2517" s="650" t="s">
        <v>3220</v>
      </c>
      <c r="Q2517" s="564"/>
      <c r="R2517" s="564">
        <v>2</v>
      </c>
    </row>
    <row r="2518" spans="1:18" ht="15" customHeight="1" x14ac:dyDescent="0.25">
      <c r="A2518" s="553">
        <v>25</v>
      </c>
      <c r="B2518" s="553">
        <v>2</v>
      </c>
      <c r="C2518" s="553">
        <v>2</v>
      </c>
      <c r="D2518" s="553">
        <v>4</v>
      </c>
      <c r="E2518" s="553">
        <v>2</v>
      </c>
      <c r="F2518" s="553">
        <v>2</v>
      </c>
      <c r="G2518" s="553" t="s">
        <v>484</v>
      </c>
      <c r="H2518" s="553">
        <v>1320.9425000000001</v>
      </c>
      <c r="I2518" s="553">
        <v>0</v>
      </c>
      <c r="J2518" s="553">
        <v>15</v>
      </c>
      <c r="K2518" s="553">
        <v>24</v>
      </c>
      <c r="L2518" s="553">
        <v>4</v>
      </c>
      <c r="M2518" s="505" t="s">
        <v>137</v>
      </c>
      <c r="N2518" s="514">
        <v>43013538980000</v>
      </c>
      <c r="O2518" s="560" t="s">
        <v>3217</v>
      </c>
      <c r="P2518" s="650" t="s">
        <v>3221</v>
      </c>
      <c r="Q2518" s="564"/>
      <c r="R2518" s="564">
        <v>2</v>
      </c>
    </row>
    <row r="2519" spans="1:18" ht="15" customHeight="1" x14ac:dyDescent="0.25">
      <c r="A2519" s="553">
        <v>25</v>
      </c>
      <c r="B2519" s="553">
        <v>2</v>
      </c>
      <c r="C2519" s="553">
        <v>2</v>
      </c>
      <c r="D2519" s="553">
        <v>4</v>
      </c>
      <c r="E2519" s="553">
        <v>2</v>
      </c>
      <c r="F2519" s="553">
        <v>2</v>
      </c>
      <c r="G2519" s="553" t="s">
        <v>486</v>
      </c>
      <c r="H2519" s="553">
        <v>1318.5374999999999</v>
      </c>
      <c r="I2519" s="553">
        <v>0</v>
      </c>
      <c r="J2519" s="553">
        <v>1</v>
      </c>
      <c r="K2519" s="553">
        <v>22</v>
      </c>
      <c r="L2519" s="553">
        <v>4</v>
      </c>
      <c r="M2519" s="505" t="s">
        <v>137</v>
      </c>
      <c r="N2519" s="514">
        <v>43013538980000</v>
      </c>
      <c r="O2519" s="560" t="s">
        <v>3217</v>
      </c>
      <c r="P2519" s="650" t="s">
        <v>3222</v>
      </c>
      <c r="Q2519" s="564"/>
      <c r="R2519" s="564">
        <v>2</v>
      </c>
    </row>
    <row r="2520" spans="1:18" ht="15" customHeight="1" x14ac:dyDescent="0.25">
      <c r="A2520" s="553">
        <v>25</v>
      </c>
      <c r="B2520" s="553">
        <v>2</v>
      </c>
      <c r="C2520" s="553">
        <v>2</v>
      </c>
      <c r="D2520" s="553">
        <v>4</v>
      </c>
      <c r="E2520" s="553">
        <v>2</v>
      </c>
      <c r="F2520" s="553">
        <v>2</v>
      </c>
      <c r="G2520" s="502" t="s">
        <v>488</v>
      </c>
      <c r="H2520" s="553">
        <v>1318.5374999999999</v>
      </c>
      <c r="I2520" s="553">
        <v>0</v>
      </c>
      <c r="J2520" s="553">
        <v>1</v>
      </c>
      <c r="K2520" s="553">
        <v>22</v>
      </c>
      <c r="L2520" s="553">
        <v>4</v>
      </c>
      <c r="M2520" s="505" t="s">
        <v>137</v>
      </c>
      <c r="N2520" s="514">
        <v>43013538980000</v>
      </c>
      <c r="O2520" s="560" t="s">
        <v>3217</v>
      </c>
      <c r="P2520" s="650" t="s">
        <v>3223</v>
      </c>
      <c r="Q2520" s="564"/>
      <c r="R2520" s="564">
        <v>2</v>
      </c>
    </row>
    <row r="2521" spans="1:18" ht="15" customHeight="1" x14ac:dyDescent="0.25">
      <c r="A2521" s="553">
        <v>25</v>
      </c>
      <c r="B2521" s="553">
        <v>2</v>
      </c>
      <c r="C2521" s="553">
        <v>2</v>
      </c>
      <c r="D2521" s="553">
        <v>4</v>
      </c>
      <c r="E2521" s="553">
        <v>2</v>
      </c>
      <c r="F2521" s="553">
        <v>2</v>
      </c>
      <c r="G2521" s="553" t="s">
        <v>490</v>
      </c>
      <c r="H2521" s="553">
        <v>1318.5374999999999</v>
      </c>
      <c r="I2521" s="553">
        <v>0</v>
      </c>
      <c r="J2521" s="553">
        <v>1</v>
      </c>
      <c r="K2521" s="553">
        <v>22</v>
      </c>
      <c r="L2521" s="553">
        <v>4</v>
      </c>
      <c r="M2521" s="505" t="s">
        <v>137</v>
      </c>
      <c r="N2521" s="514">
        <v>43013538980000</v>
      </c>
      <c r="O2521" s="560" t="s">
        <v>3217</v>
      </c>
      <c r="P2521" s="650" t="s">
        <v>3224</v>
      </c>
      <c r="Q2521" s="564"/>
      <c r="R2521" s="564">
        <v>2</v>
      </c>
    </row>
    <row r="2522" spans="1:18" ht="15" customHeight="1" x14ac:dyDescent="0.25">
      <c r="A2522" s="553">
        <v>25</v>
      </c>
      <c r="B2522" s="553">
        <v>2</v>
      </c>
      <c r="C2522" s="553">
        <v>2</v>
      </c>
      <c r="D2522" s="553">
        <v>4</v>
      </c>
      <c r="E2522" s="553">
        <v>2</v>
      </c>
      <c r="F2522" s="553">
        <v>2</v>
      </c>
      <c r="G2522" s="553" t="s">
        <v>493</v>
      </c>
      <c r="H2522" s="553">
        <v>1318.5374999999999</v>
      </c>
      <c r="I2522" s="553">
        <v>0</v>
      </c>
      <c r="J2522" s="553">
        <v>1</v>
      </c>
      <c r="K2522" s="553">
        <v>22</v>
      </c>
      <c r="L2522" s="553">
        <v>4</v>
      </c>
      <c r="M2522" s="505" t="s">
        <v>137</v>
      </c>
      <c r="N2522" s="514">
        <v>43013538980000</v>
      </c>
      <c r="O2522" s="560" t="s">
        <v>3217</v>
      </c>
      <c r="P2522" s="650" t="s">
        <v>3225</v>
      </c>
      <c r="Q2522" s="564"/>
      <c r="R2522" s="564">
        <v>2</v>
      </c>
    </row>
    <row r="2523" spans="1:18" ht="15" customHeight="1" x14ac:dyDescent="0.25">
      <c r="A2523" s="553">
        <v>25</v>
      </c>
      <c r="B2523" s="553">
        <v>2</v>
      </c>
      <c r="C2523" s="553">
        <v>2</v>
      </c>
      <c r="D2523" s="553">
        <v>4</v>
      </c>
      <c r="E2523" s="553">
        <v>2</v>
      </c>
      <c r="F2523" s="553">
        <v>2</v>
      </c>
      <c r="G2523" s="553" t="s">
        <v>474</v>
      </c>
      <c r="H2523" s="553">
        <v>1328.97</v>
      </c>
      <c r="I2523" s="553">
        <v>89</v>
      </c>
      <c r="J2523" s="553">
        <v>53</v>
      </c>
      <c r="K2523" s="553">
        <v>13</v>
      </c>
      <c r="L2523" s="553">
        <v>1</v>
      </c>
      <c r="M2523" s="505" t="s">
        <v>137</v>
      </c>
      <c r="N2523" s="514">
        <v>43013538980000</v>
      </c>
      <c r="O2523" s="560" t="s">
        <v>3217</v>
      </c>
      <c r="P2523" s="650" t="s">
        <v>3226</v>
      </c>
      <c r="Q2523" s="564"/>
      <c r="R2523" s="564">
        <v>2</v>
      </c>
    </row>
    <row r="2524" spans="1:18" ht="15" customHeight="1" x14ac:dyDescent="0.25">
      <c r="A2524" s="553">
        <v>25</v>
      </c>
      <c r="B2524" s="553">
        <v>2</v>
      </c>
      <c r="C2524" s="553">
        <v>2</v>
      </c>
      <c r="D2524" s="553">
        <v>4</v>
      </c>
      <c r="E2524" s="553">
        <v>2</v>
      </c>
      <c r="F2524" s="553">
        <v>2</v>
      </c>
      <c r="G2524" s="502" t="s">
        <v>477</v>
      </c>
      <c r="H2524" s="553">
        <v>1328.97</v>
      </c>
      <c r="I2524" s="553">
        <v>89</v>
      </c>
      <c r="J2524" s="553">
        <v>53</v>
      </c>
      <c r="K2524" s="553">
        <v>13</v>
      </c>
      <c r="L2524" s="553">
        <v>1</v>
      </c>
      <c r="M2524" s="505" t="s">
        <v>137</v>
      </c>
      <c r="N2524" s="514">
        <v>43013538980000</v>
      </c>
      <c r="O2524" s="560" t="s">
        <v>3217</v>
      </c>
      <c r="P2524" s="650" t="s">
        <v>3227</v>
      </c>
      <c r="Q2524" s="564"/>
      <c r="R2524" s="564">
        <v>2</v>
      </c>
    </row>
    <row r="2525" spans="1:18" ht="15" customHeight="1" x14ac:dyDescent="0.25">
      <c r="A2525" s="553">
        <v>25</v>
      </c>
      <c r="B2525" s="553">
        <v>2</v>
      </c>
      <c r="C2525" s="553">
        <v>2</v>
      </c>
      <c r="D2525" s="553">
        <v>4</v>
      </c>
      <c r="E2525" s="553">
        <v>2</v>
      </c>
      <c r="F2525" s="553">
        <v>2</v>
      </c>
      <c r="G2525" s="553" t="s">
        <v>479</v>
      </c>
      <c r="H2525" s="553">
        <v>1310.95</v>
      </c>
      <c r="I2525" s="553">
        <v>89</v>
      </c>
      <c r="J2525" s="553">
        <v>58</v>
      </c>
      <c r="K2525" s="553">
        <v>26</v>
      </c>
      <c r="L2525" s="553">
        <v>1</v>
      </c>
      <c r="M2525" s="505" t="s">
        <v>137</v>
      </c>
      <c r="N2525" s="514">
        <v>43013538980000</v>
      </c>
      <c r="O2525" s="560" t="s">
        <v>3217</v>
      </c>
      <c r="P2525" s="650" t="s">
        <v>3228</v>
      </c>
      <c r="Q2525" s="564"/>
      <c r="R2525" s="564">
        <v>2</v>
      </c>
    </row>
    <row r="2526" spans="1:18" ht="15" customHeight="1" x14ac:dyDescent="0.25">
      <c r="A2526" s="553">
        <v>25</v>
      </c>
      <c r="B2526" s="553">
        <v>2</v>
      </c>
      <c r="C2526" s="553">
        <v>2</v>
      </c>
      <c r="D2526" s="553">
        <v>4</v>
      </c>
      <c r="E2526" s="553">
        <v>2</v>
      </c>
      <c r="F2526" s="553">
        <v>2</v>
      </c>
      <c r="G2526" s="553" t="s">
        <v>485</v>
      </c>
      <c r="H2526" s="553">
        <v>1310.95</v>
      </c>
      <c r="I2526" s="553">
        <v>89</v>
      </c>
      <c r="J2526" s="553">
        <v>58</v>
      </c>
      <c r="K2526" s="553">
        <v>26</v>
      </c>
      <c r="L2526" s="553">
        <v>1</v>
      </c>
      <c r="M2526" s="505" t="s">
        <v>137</v>
      </c>
      <c r="N2526" s="514">
        <v>43013538980000</v>
      </c>
      <c r="O2526" s="560" t="s">
        <v>3217</v>
      </c>
      <c r="P2526" s="650" t="s">
        <v>3229</v>
      </c>
      <c r="Q2526" s="564"/>
      <c r="R2526" s="564">
        <v>2</v>
      </c>
    </row>
    <row r="2527" spans="1:18" ht="15" customHeight="1" x14ac:dyDescent="0.25">
      <c r="A2527" s="553">
        <v>25</v>
      </c>
      <c r="B2527" s="553">
        <v>2</v>
      </c>
      <c r="C2527" s="553">
        <v>2</v>
      </c>
      <c r="D2527" s="553">
        <v>4</v>
      </c>
      <c r="E2527" s="553">
        <v>2</v>
      </c>
      <c r="F2527" s="553">
        <v>2</v>
      </c>
      <c r="G2527" s="553" t="s">
        <v>487</v>
      </c>
      <c r="H2527" s="553">
        <v>1311.39</v>
      </c>
      <c r="I2527" s="553">
        <v>89</v>
      </c>
      <c r="J2527" s="553">
        <v>55</v>
      </c>
      <c r="K2527" s="553">
        <v>5</v>
      </c>
      <c r="L2527" s="553">
        <v>3</v>
      </c>
      <c r="M2527" s="505" t="s">
        <v>137</v>
      </c>
      <c r="N2527" s="514">
        <v>43013538980000</v>
      </c>
      <c r="O2527" s="560" t="s">
        <v>3217</v>
      </c>
      <c r="P2527" s="650" t="s">
        <v>3230</v>
      </c>
      <c r="Q2527" s="564"/>
      <c r="R2527" s="564">
        <v>2</v>
      </c>
    </row>
    <row r="2528" spans="1:18" ht="15" customHeight="1" x14ac:dyDescent="0.25">
      <c r="A2528" s="553">
        <v>25</v>
      </c>
      <c r="B2528" s="553">
        <v>2</v>
      </c>
      <c r="C2528" s="553">
        <v>2</v>
      </c>
      <c r="D2528" s="553">
        <v>4</v>
      </c>
      <c r="E2528" s="553">
        <v>2</v>
      </c>
      <c r="F2528" s="553">
        <v>2</v>
      </c>
      <c r="G2528" s="502" t="s">
        <v>489</v>
      </c>
      <c r="H2528" s="553">
        <v>1311.39</v>
      </c>
      <c r="I2528" s="553">
        <v>89</v>
      </c>
      <c r="J2528" s="553">
        <v>55</v>
      </c>
      <c r="K2528" s="553">
        <v>5</v>
      </c>
      <c r="L2528" s="553">
        <v>3</v>
      </c>
      <c r="M2528" s="505" t="s">
        <v>137</v>
      </c>
      <c r="N2528" s="500">
        <v>43013538980000</v>
      </c>
      <c r="O2528" s="553" t="s">
        <v>3217</v>
      </c>
      <c r="P2528" s="650" t="s">
        <v>3231</v>
      </c>
      <c r="Q2528" s="564"/>
      <c r="R2528" s="564">
        <v>2</v>
      </c>
    </row>
    <row r="2529" spans="1:18" ht="15" customHeight="1" x14ac:dyDescent="0.25">
      <c r="A2529" s="553">
        <v>25</v>
      </c>
      <c r="B2529" s="553">
        <v>2</v>
      </c>
      <c r="C2529" s="553">
        <v>2</v>
      </c>
      <c r="D2529" s="553">
        <v>4</v>
      </c>
      <c r="E2529" s="553">
        <v>2</v>
      </c>
      <c r="F2529" s="553">
        <v>2</v>
      </c>
      <c r="G2529" s="553" t="s">
        <v>491</v>
      </c>
      <c r="H2529" s="553">
        <v>1317.7349999999999</v>
      </c>
      <c r="I2529" s="553">
        <v>89</v>
      </c>
      <c r="J2529" s="553">
        <v>59</v>
      </c>
      <c r="K2529" s="553">
        <v>11</v>
      </c>
      <c r="L2529" s="553">
        <v>4</v>
      </c>
      <c r="M2529" s="505" t="s">
        <v>137</v>
      </c>
      <c r="N2529" s="500">
        <v>43013538980000</v>
      </c>
      <c r="O2529" s="553" t="s">
        <v>3217</v>
      </c>
      <c r="P2529" s="650" t="s">
        <v>3232</v>
      </c>
      <c r="Q2529" s="564"/>
      <c r="R2529" s="564">
        <v>2</v>
      </c>
    </row>
    <row r="2530" spans="1:18" ht="15" customHeight="1" x14ac:dyDescent="0.25">
      <c r="A2530" s="553">
        <v>25</v>
      </c>
      <c r="B2530" s="553">
        <v>2</v>
      </c>
      <c r="C2530" s="553">
        <v>2</v>
      </c>
      <c r="D2530" s="553">
        <v>4</v>
      </c>
      <c r="E2530" s="553">
        <v>2</v>
      </c>
      <c r="F2530" s="553">
        <v>2</v>
      </c>
      <c r="G2530" s="553" t="s">
        <v>494</v>
      </c>
      <c r="H2530" s="553">
        <v>1317.7349999999999</v>
      </c>
      <c r="I2530" s="553">
        <v>89</v>
      </c>
      <c r="J2530" s="553">
        <v>59</v>
      </c>
      <c r="K2530" s="553">
        <v>11</v>
      </c>
      <c r="L2530" s="553">
        <v>4</v>
      </c>
      <c r="M2530" s="505" t="s">
        <v>137</v>
      </c>
      <c r="N2530" s="500">
        <v>43013538980000</v>
      </c>
      <c r="O2530" s="553" t="s">
        <v>3217</v>
      </c>
      <c r="P2530" s="650" t="s">
        <v>3233</v>
      </c>
      <c r="Q2530" s="564"/>
      <c r="R2530" s="564">
        <v>2</v>
      </c>
    </row>
    <row r="2531" spans="1:18" x14ac:dyDescent="0.25">
      <c r="A2531" s="553">
        <v>25</v>
      </c>
      <c r="B2531" s="553">
        <v>3</v>
      </c>
      <c r="C2531" s="553">
        <v>2</v>
      </c>
      <c r="D2531" s="553">
        <v>1</v>
      </c>
      <c r="E2531" s="553">
        <v>2</v>
      </c>
      <c r="F2531" s="553">
        <v>2</v>
      </c>
      <c r="G2531" s="553" t="s">
        <v>473</v>
      </c>
      <c r="H2531" s="553">
        <v>1320.675</v>
      </c>
      <c r="I2531" s="553">
        <v>0</v>
      </c>
      <c r="J2531" s="553">
        <v>6</v>
      </c>
      <c r="K2531" s="553">
        <v>37</v>
      </c>
      <c r="L2531" s="553">
        <v>3</v>
      </c>
      <c r="M2531" s="505" t="s">
        <v>137</v>
      </c>
      <c r="N2531" s="500">
        <v>43047562840000</v>
      </c>
      <c r="O2531" s="553" t="s">
        <v>3234</v>
      </c>
      <c r="P2531" s="650" t="s">
        <v>3235</v>
      </c>
      <c r="Q2531" s="564"/>
      <c r="R2531" s="564">
        <v>1</v>
      </c>
    </row>
    <row r="2532" spans="1:18" x14ac:dyDescent="0.25">
      <c r="A2532" s="553">
        <v>25</v>
      </c>
      <c r="B2532" s="553">
        <v>3</v>
      </c>
      <c r="C2532" s="553">
        <v>2</v>
      </c>
      <c r="D2532" s="553">
        <v>1</v>
      </c>
      <c r="E2532" s="553">
        <v>2</v>
      </c>
      <c r="F2532" s="553">
        <v>2</v>
      </c>
      <c r="G2532" s="502" t="s">
        <v>476</v>
      </c>
      <c r="H2532" s="553">
        <v>1320.675</v>
      </c>
      <c r="I2532" s="553">
        <v>0</v>
      </c>
      <c r="J2532" s="553">
        <v>6</v>
      </c>
      <c r="K2532" s="553">
        <v>37</v>
      </c>
      <c r="L2532" s="553">
        <v>3</v>
      </c>
      <c r="M2532" s="505" t="s">
        <v>137</v>
      </c>
      <c r="N2532" s="500">
        <v>43047562840000</v>
      </c>
      <c r="O2532" s="553" t="s">
        <v>3234</v>
      </c>
      <c r="P2532" s="650" t="s">
        <v>3236</v>
      </c>
      <c r="Q2532" s="564"/>
      <c r="R2532" s="564">
        <v>1</v>
      </c>
    </row>
    <row r="2533" spans="1:18" x14ac:dyDescent="0.25">
      <c r="A2533" s="553">
        <v>25</v>
      </c>
      <c r="B2533" s="553">
        <v>3</v>
      </c>
      <c r="C2533" s="553">
        <v>2</v>
      </c>
      <c r="D2533" s="553">
        <v>1</v>
      </c>
      <c r="E2533" s="553">
        <v>2</v>
      </c>
      <c r="F2533" s="553">
        <v>2</v>
      </c>
      <c r="G2533" s="553" t="s">
        <v>478</v>
      </c>
      <c r="H2533" s="553">
        <v>1317.72</v>
      </c>
      <c r="I2533" s="553">
        <v>0</v>
      </c>
      <c r="J2533" s="553">
        <v>9</v>
      </c>
      <c r="K2533" s="553">
        <v>20</v>
      </c>
      <c r="L2533" s="553">
        <v>1</v>
      </c>
      <c r="M2533" s="505" t="s">
        <v>137</v>
      </c>
      <c r="N2533" s="500">
        <v>43047562840000</v>
      </c>
      <c r="O2533" s="553" t="s">
        <v>3234</v>
      </c>
      <c r="P2533" s="650" t="s">
        <v>3237</v>
      </c>
      <c r="Q2533" s="564"/>
      <c r="R2533" s="564">
        <v>1</v>
      </c>
    </row>
    <row r="2534" spans="1:18" x14ac:dyDescent="0.25">
      <c r="A2534" s="553">
        <v>25</v>
      </c>
      <c r="B2534" s="553">
        <v>3</v>
      </c>
      <c r="C2534" s="553">
        <v>2</v>
      </c>
      <c r="D2534" s="553">
        <v>1</v>
      </c>
      <c r="E2534" s="553">
        <v>2</v>
      </c>
      <c r="F2534" s="553">
        <v>2</v>
      </c>
      <c r="G2534" s="553" t="s">
        <v>484</v>
      </c>
      <c r="H2534" s="553">
        <v>1317.72</v>
      </c>
      <c r="I2534" s="553">
        <v>0</v>
      </c>
      <c r="J2534" s="553">
        <v>8</v>
      </c>
      <c r="K2534" s="553">
        <v>20</v>
      </c>
      <c r="L2534" s="553">
        <v>1</v>
      </c>
      <c r="M2534" s="505" t="s">
        <v>137</v>
      </c>
      <c r="N2534" s="500">
        <v>43047562840000</v>
      </c>
      <c r="O2534" s="553" t="s">
        <v>3234</v>
      </c>
      <c r="P2534" s="650" t="s">
        <v>3238</v>
      </c>
      <c r="Q2534" s="564"/>
      <c r="R2534" s="564">
        <v>1</v>
      </c>
    </row>
    <row r="2535" spans="1:18" x14ac:dyDescent="0.25">
      <c r="A2535" s="553">
        <v>25</v>
      </c>
      <c r="B2535" s="553">
        <v>3</v>
      </c>
      <c r="C2535" s="553">
        <v>2</v>
      </c>
      <c r="D2535" s="553">
        <v>1</v>
      </c>
      <c r="E2535" s="553">
        <v>2</v>
      </c>
      <c r="F2535" s="553">
        <v>2</v>
      </c>
      <c r="G2535" s="553" t="s">
        <v>486</v>
      </c>
      <c r="H2535" s="553">
        <v>1409.78</v>
      </c>
      <c r="I2535" s="553">
        <v>0</v>
      </c>
      <c r="J2535" s="553">
        <v>26</v>
      </c>
      <c r="K2535" s="553">
        <v>25</v>
      </c>
      <c r="L2535" s="553">
        <v>3</v>
      </c>
      <c r="M2535" s="505" t="s">
        <v>137</v>
      </c>
      <c r="N2535" s="500">
        <v>43047562840000</v>
      </c>
      <c r="O2535" s="553" t="s">
        <v>3234</v>
      </c>
      <c r="P2535" s="650" t="s">
        <v>3239</v>
      </c>
      <c r="Q2535" s="564"/>
      <c r="R2535" s="564">
        <v>1</v>
      </c>
    </row>
    <row r="2536" spans="1:18" x14ac:dyDescent="0.25">
      <c r="A2536" s="553">
        <v>25</v>
      </c>
      <c r="B2536" s="553">
        <v>3</v>
      </c>
      <c r="C2536" s="553">
        <v>2</v>
      </c>
      <c r="D2536" s="553">
        <v>1</v>
      </c>
      <c r="E2536" s="553">
        <v>2</v>
      </c>
      <c r="F2536" s="553">
        <v>2</v>
      </c>
      <c r="G2536" s="502" t="s">
        <v>488</v>
      </c>
      <c r="H2536" s="553">
        <v>1409.78</v>
      </c>
      <c r="I2536" s="553">
        <v>0</v>
      </c>
      <c r="J2536" s="553">
        <v>26</v>
      </c>
      <c r="K2536" s="553">
        <v>25</v>
      </c>
      <c r="L2536" s="553">
        <v>3</v>
      </c>
      <c r="M2536" s="505" t="s">
        <v>137</v>
      </c>
      <c r="N2536" s="500">
        <v>43047562840000</v>
      </c>
      <c r="O2536" s="553" t="s">
        <v>3234</v>
      </c>
      <c r="P2536" s="650" t="s">
        <v>3240</v>
      </c>
      <c r="Q2536" s="564"/>
      <c r="R2536" s="564">
        <v>1</v>
      </c>
    </row>
    <row r="2537" spans="1:18" x14ac:dyDescent="0.25">
      <c r="A2537" s="553">
        <v>25</v>
      </c>
      <c r="B2537" s="553">
        <v>3</v>
      </c>
      <c r="C2537" s="553">
        <v>2</v>
      </c>
      <c r="D2537" s="553">
        <v>1</v>
      </c>
      <c r="E2537" s="553">
        <v>2</v>
      </c>
      <c r="F2537" s="553">
        <v>2</v>
      </c>
      <c r="G2537" s="553" t="s">
        <v>490</v>
      </c>
      <c r="H2537" s="553">
        <v>1319.57</v>
      </c>
      <c r="I2537" s="553">
        <v>0</v>
      </c>
      <c r="J2537" s="553">
        <v>16</v>
      </c>
      <c r="K2537" s="553">
        <v>16</v>
      </c>
      <c r="L2537" s="553">
        <v>2</v>
      </c>
      <c r="M2537" s="505" t="s">
        <v>137</v>
      </c>
      <c r="N2537" s="500">
        <v>43047562840000</v>
      </c>
      <c r="O2537" s="553" t="s">
        <v>3234</v>
      </c>
      <c r="P2537" s="650" t="s">
        <v>3241</v>
      </c>
      <c r="Q2537" s="564"/>
      <c r="R2537" s="564">
        <v>1</v>
      </c>
    </row>
    <row r="2538" spans="1:18" x14ac:dyDescent="0.25">
      <c r="A2538" s="553">
        <v>25</v>
      </c>
      <c r="B2538" s="553">
        <v>3</v>
      </c>
      <c r="C2538" s="553">
        <v>2</v>
      </c>
      <c r="D2538" s="553">
        <v>1</v>
      </c>
      <c r="E2538" s="553">
        <v>2</v>
      </c>
      <c r="F2538" s="553">
        <v>2</v>
      </c>
      <c r="G2538" s="553" t="s">
        <v>493</v>
      </c>
      <c r="H2538" s="553">
        <v>1319.57</v>
      </c>
      <c r="I2538" s="553">
        <v>0</v>
      </c>
      <c r="J2538" s="553">
        <v>16</v>
      </c>
      <c r="K2538" s="553">
        <v>16</v>
      </c>
      <c r="L2538" s="553">
        <v>2</v>
      </c>
      <c r="M2538" s="505" t="s">
        <v>137</v>
      </c>
      <c r="N2538" s="500">
        <v>43047562840000</v>
      </c>
      <c r="O2538" s="553" t="s">
        <v>3234</v>
      </c>
      <c r="P2538" s="650" t="s">
        <v>3242</v>
      </c>
      <c r="Q2538" s="564"/>
      <c r="R2538" s="564">
        <v>1</v>
      </c>
    </row>
    <row r="2539" spans="1:18" x14ac:dyDescent="0.25">
      <c r="A2539" s="553">
        <v>25</v>
      </c>
      <c r="B2539" s="553">
        <v>3</v>
      </c>
      <c r="C2539" s="553">
        <v>2</v>
      </c>
      <c r="D2539" s="553">
        <v>1</v>
      </c>
      <c r="E2539" s="553">
        <v>2</v>
      </c>
      <c r="F2539" s="553">
        <v>2</v>
      </c>
      <c r="G2539" s="553" t="s">
        <v>474</v>
      </c>
      <c r="H2539" s="553">
        <v>1326.4549999999999</v>
      </c>
      <c r="I2539" s="553">
        <v>89</v>
      </c>
      <c r="J2539" s="553">
        <v>46</v>
      </c>
      <c r="K2539" s="553">
        <v>29</v>
      </c>
      <c r="L2539" s="553">
        <v>4</v>
      </c>
      <c r="M2539" s="505" t="s">
        <v>137</v>
      </c>
      <c r="N2539" s="500">
        <v>43047562840000</v>
      </c>
      <c r="O2539" s="553" t="s">
        <v>3234</v>
      </c>
      <c r="P2539" s="650" t="s">
        <v>3243</v>
      </c>
      <c r="Q2539" s="564"/>
      <c r="R2539" s="564">
        <v>1</v>
      </c>
    </row>
    <row r="2540" spans="1:18" x14ac:dyDescent="0.25">
      <c r="A2540" s="553">
        <v>25</v>
      </c>
      <c r="B2540" s="553">
        <v>3</v>
      </c>
      <c r="C2540" s="553">
        <v>2</v>
      </c>
      <c r="D2540" s="553">
        <v>1</v>
      </c>
      <c r="E2540" s="553">
        <v>2</v>
      </c>
      <c r="F2540" s="553">
        <v>2</v>
      </c>
      <c r="G2540" s="502" t="s">
        <v>477</v>
      </c>
      <c r="H2540" s="553">
        <v>1326.4549999999999</v>
      </c>
      <c r="I2540" s="553">
        <v>89</v>
      </c>
      <c r="J2540" s="553">
        <v>46</v>
      </c>
      <c r="K2540" s="553">
        <v>29</v>
      </c>
      <c r="L2540" s="553">
        <v>4</v>
      </c>
      <c r="M2540" s="505" t="s">
        <v>137</v>
      </c>
      <c r="N2540" s="500">
        <v>43047562840000</v>
      </c>
      <c r="O2540" s="553" t="s">
        <v>3234</v>
      </c>
      <c r="P2540" s="650" t="s">
        <v>3244</v>
      </c>
      <c r="Q2540" s="564"/>
      <c r="R2540" s="564">
        <v>1</v>
      </c>
    </row>
    <row r="2541" spans="1:18" x14ac:dyDescent="0.25">
      <c r="A2541" s="553">
        <v>25</v>
      </c>
      <c r="B2541" s="553">
        <v>3</v>
      </c>
      <c r="C2541" s="553">
        <v>2</v>
      </c>
      <c r="D2541" s="553">
        <v>1</v>
      </c>
      <c r="E2541" s="553">
        <v>2</v>
      </c>
      <c r="F2541" s="553">
        <v>2</v>
      </c>
      <c r="G2541" s="553" t="s">
        <v>479</v>
      </c>
      <c r="H2541" s="553">
        <v>1326.635</v>
      </c>
      <c r="I2541" s="553">
        <v>89</v>
      </c>
      <c r="J2541" s="553">
        <v>44</v>
      </c>
      <c r="K2541" s="553">
        <v>53</v>
      </c>
      <c r="L2541" s="553">
        <v>1</v>
      </c>
      <c r="M2541" s="505" t="s">
        <v>137</v>
      </c>
      <c r="N2541" s="500">
        <v>43047562840000</v>
      </c>
      <c r="O2541" s="553" t="s">
        <v>3234</v>
      </c>
      <c r="P2541" s="650" t="s">
        <v>3245</v>
      </c>
      <c r="Q2541" s="564"/>
      <c r="R2541" s="564">
        <v>1</v>
      </c>
    </row>
    <row r="2542" spans="1:18" x14ac:dyDescent="0.25">
      <c r="A2542" s="553">
        <v>25</v>
      </c>
      <c r="B2542" s="553">
        <v>3</v>
      </c>
      <c r="C2542" s="553">
        <v>2</v>
      </c>
      <c r="D2542" s="553">
        <v>1</v>
      </c>
      <c r="E2542" s="553">
        <v>2</v>
      </c>
      <c r="F2542" s="553">
        <v>2</v>
      </c>
      <c r="G2542" s="553" t="s">
        <v>485</v>
      </c>
      <c r="H2542" s="553">
        <v>1326.635</v>
      </c>
      <c r="I2542" s="553">
        <v>89</v>
      </c>
      <c r="J2542" s="553">
        <v>44</v>
      </c>
      <c r="K2542" s="553">
        <v>53</v>
      </c>
      <c r="L2542" s="553">
        <v>1</v>
      </c>
      <c r="M2542" s="505" t="s">
        <v>137</v>
      </c>
      <c r="N2542" s="500">
        <v>43047562840000</v>
      </c>
      <c r="O2542" s="553" t="s">
        <v>3234</v>
      </c>
      <c r="P2542" s="650" t="s">
        <v>3246</v>
      </c>
      <c r="Q2542" s="564"/>
      <c r="R2542" s="564">
        <v>1</v>
      </c>
    </row>
    <row r="2543" spans="1:18" x14ac:dyDescent="0.25">
      <c r="A2543" s="553">
        <v>25</v>
      </c>
      <c r="B2543" s="553">
        <v>3</v>
      </c>
      <c r="C2543" s="553">
        <v>2</v>
      </c>
      <c r="D2543" s="553">
        <v>1</v>
      </c>
      <c r="E2543" s="553">
        <v>2</v>
      </c>
      <c r="F2543" s="553">
        <v>2</v>
      </c>
      <c r="G2543" s="553" t="s">
        <v>487</v>
      </c>
      <c r="H2543" s="553">
        <v>1317.46</v>
      </c>
      <c r="I2543" s="553">
        <v>89</v>
      </c>
      <c r="J2543" s="553">
        <v>45</v>
      </c>
      <c r="K2543" s="553">
        <v>51</v>
      </c>
      <c r="L2543" s="553">
        <v>4</v>
      </c>
      <c r="M2543" s="505" t="s">
        <v>137</v>
      </c>
      <c r="N2543" s="500">
        <v>43047562840000</v>
      </c>
      <c r="O2543" s="553" t="s">
        <v>3234</v>
      </c>
      <c r="P2543" s="650" t="s">
        <v>3247</v>
      </c>
      <c r="Q2543" s="564"/>
      <c r="R2543" s="564">
        <v>1</v>
      </c>
    </row>
    <row r="2544" spans="1:18" x14ac:dyDescent="0.25">
      <c r="A2544" s="553">
        <v>25</v>
      </c>
      <c r="B2544" s="553">
        <v>3</v>
      </c>
      <c r="C2544" s="553">
        <v>2</v>
      </c>
      <c r="D2544" s="553">
        <v>1</v>
      </c>
      <c r="E2544" s="553">
        <v>2</v>
      </c>
      <c r="F2544" s="553">
        <v>2</v>
      </c>
      <c r="G2544" s="502" t="s">
        <v>489</v>
      </c>
      <c r="H2544" s="553">
        <v>1317.46</v>
      </c>
      <c r="I2544" s="553">
        <v>89</v>
      </c>
      <c r="J2544" s="553">
        <v>45</v>
      </c>
      <c r="K2544" s="553">
        <v>51</v>
      </c>
      <c r="L2544" s="553">
        <v>4</v>
      </c>
      <c r="M2544" s="505" t="s">
        <v>137</v>
      </c>
      <c r="N2544" s="500">
        <v>43047562840000</v>
      </c>
      <c r="O2544" s="553" t="s">
        <v>3234</v>
      </c>
      <c r="P2544" s="650" t="s">
        <v>3248</v>
      </c>
      <c r="Q2544" s="564"/>
      <c r="R2544" s="564">
        <v>1</v>
      </c>
    </row>
    <row r="2545" spans="1:18" x14ac:dyDescent="0.25">
      <c r="A2545" s="553">
        <v>25</v>
      </c>
      <c r="B2545" s="553">
        <v>3</v>
      </c>
      <c r="C2545" s="553">
        <v>2</v>
      </c>
      <c r="D2545" s="553">
        <v>1</v>
      </c>
      <c r="E2545" s="553">
        <v>2</v>
      </c>
      <c r="F2545" s="553">
        <v>2</v>
      </c>
      <c r="G2545" s="553" t="s">
        <v>491</v>
      </c>
      <c r="H2545" s="553">
        <v>1317.46</v>
      </c>
      <c r="I2545" s="553">
        <v>89</v>
      </c>
      <c r="J2545" s="553">
        <v>45</v>
      </c>
      <c r="K2545" s="553">
        <v>51</v>
      </c>
      <c r="L2545" s="553">
        <v>4</v>
      </c>
      <c r="M2545" s="505" t="s">
        <v>137</v>
      </c>
      <c r="N2545" s="500">
        <v>43047562840000</v>
      </c>
      <c r="O2545" s="553" t="s">
        <v>3234</v>
      </c>
      <c r="P2545" s="650" t="s">
        <v>3249</v>
      </c>
      <c r="Q2545" s="564"/>
      <c r="R2545" s="564">
        <v>1</v>
      </c>
    </row>
    <row r="2546" spans="1:18" x14ac:dyDescent="0.25">
      <c r="A2546" s="553">
        <v>25</v>
      </c>
      <c r="B2546" s="553">
        <v>3</v>
      </c>
      <c r="C2546" s="553">
        <v>2</v>
      </c>
      <c r="D2546" s="553">
        <v>1</v>
      </c>
      <c r="E2546" s="553">
        <v>2</v>
      </c>
      <c r="F2546" s="553">
        <v>2</v>
      </c>
      <c r="G2546" s="553" t="s">
        <v>494</v>
      </c>
      <c r="H2546" s="553">
        <v>1317.46</v>
      </c>
      <c r="I2546" s="553">
        <v>89</v>
      </c>
      <c r="J2546" s="553">
        <v>45</v>
      </c>
      <c r="K2546" s="553">
        <v>51</v>
      </c>
      <c r="L2546" s="553">
        <v>4</v>
      </c>
      <c r="M2546" s="505" t="s">
        <v>137</v>
      </c>
      <c r="N2546" s="500">
        <v>43047562840000</v>
      </c>
      <c r="O2546" s="553" t="s">
        <v>3234</v>
      </c>
      <c r="P2546" s="650" t="s">
        <v>3250</v>
      </c>
      <c r="Q2546" s="564"/>
      <c r="R2546" s="564">
        <v>1</v>
      </c>
    </row>
    <row r="2547" spans="1:18" x14ac:dyDescent="0.25">
      <c r="A2547" s="553">
        <v>25</v>
      </c>
      <c r="B2547" s="553">
        <v>3</v>
      </c>
      <c r="C2547" s="553">
        <v>2</v>
      </c>
      <c r="D2547" s="553">
        <v>2</v>
      </c>
      <c r="E2547" s="553">
        <v>2</v>
      </c>
      <c r="F2547" s="553">
        <v>2</v>
      </c>
      <c r="G2547" s="553" t="s">
        <v>473</v>
      </c>
      <c r="H2547" s="553">
        <v>1319.23</v>
      </c>
      <c r="I2547" s="553">
        <v>0</v>
      </c>
      <c r="J2547" s="553">
        <v>49</v>
      </c>
      <c r="K2547" s="553">
        <v>9</v>
      </c>
      <c r="L2547" s="553">
        <v>1</v>
      </c>
      <c r="M2547" s="505" t="s">
        <v>137</v>
      </c>
      <c r="N2547" s="500">
        <v>43013537270000</v>
      </c>
      <c r="O2547" s="553" t="s">
        <v>3052</v>
      </c>
      <c r="P2547" s="650" t="s">
        <v>3251</v>
      </c>
      <c r="Q2547" s="564"/>
      <c r="R2547" s="564">
        <v>2</v>
      </c>
    </row>
    <row r="2548" spans="1:18" x14ac:dyDescent="0.25">
      <c r="A2548" s="553">
        <v>25</v>
      </c>
      <c r="B2548" s="553">
        <v>3</v>
      </c>
      <c r="C2548" s="553">
        <v>2</v>
      </c>
      <c r="D2548" s="553">
        <v>2</v>
      </c>
      <c r="E2548" s="553">
        <v>2</v>
      </c>
      <c r="F2548" s="553">
        <v>2</v>
      </c>
      <c r="G2548" s="502" t="s">
        <v>476</v>
      </c>
      <c r="H2548" s="553">
        <v>1319.23</v>
      </c>
      <c r="I2548" s="553">
        <v>0</v>
      </c>
      <c r="J2548" s="553">
        <v>49</v>
      </c>
      <c r="K2548" s="553">
        <v>9</v>
      </c>
      <c r="L2548" s="553">
        <v>1</v>
      </c>
      <c r="M2548" s="505" t="s">
        <v>137</v>
      </c>
      <c r="N2548" s="500">
        <v>43013537270000</v>
      </c>
      <c r="O2548" s="553" t="s">
        <v>3052</v>
      </c>
      <c r="P2548" s="650" t="s">
        <v>3252</v>
      </c>
      <c r="Q2548" s="564"/>
      <c r="R2548" s="564">
        <v>2</v>
      </c>
    </row>
    <row r="2549" spans="1:18" x14ac:dyDescent="0.25">
      <c r="A2549" s="553">
        <v>25</v>
      </c>
      <c r="B2549" s="553">
        <v>3</v>
      </c>
      <c r="C2549" s="553">
        <v>2</v>
      </c>
      <c r="D2549" s="553">
        <v>2</v>
      </c>
      <c r="E2549" s="553">
        <v>2</v>
      </c>
      <c r="F2549" s="553">
        <v>2</v>
      </c>
      <c r="G2549" s="553" t="s">
        <v>478</v>
      </c>
      <c r="H2549" s="553">
        <v>1317.4649999999999</v>
      </c>
      <c r="I2549" s="553">
        <v>0</v>
      </c>
      <c r="J2549" s="553">
        <v>48</v>
      </c>
      <c r="K2549" s="553">
        <v>59</v>
      </c>
      <c r="L2549" s="553">
        <v>1</v>
      </c>
      <c r="M2549" s="505" t="s">
        <v>137</v>
      </c>
      <c r="N2549" s="500">
        <v>43013537270000</v>
      </c>
      <c r="O2549" s="553" t="s">
        <v>3052</v>
      </c>
      <c r="P2549" s="650" t="s">
        <v>3253</v>
      </c>
      <c r="Q2549" s="564"/>
      <c r="R2549" s="564">
        <v>2</v>
      </c>
    </row>
    <row r="2550" spans="1:18" x14ac:dyDescent="0.25">
      <c r="A2550" s="553">
        <v>25</v>
      </c>
      <c r="B2550" s="553">
        <v>3</v>
      </c>
      <c r="C2550" s="553">
        <v>2</v>
      </c>
      <c r="D2550" s="553">
        <v>2</v>
      </c>
      <c r="E2550" s="553">
        <v>2</v>
      </c>
      <c r="F2550" s="553">
        <v>2</v>
      </c>
      <c r="G2550" s="553" t="s">
        <v>484</v>
      </c>
      <c r="H2550" s="553">
        <v>1317.4649999999999</v>
      </c>
      <c r="I2550" s="553">
        <v>0</v>
      </c>
      <c r="J2550" s="553">
        <v>48</v>
      </c>
      <c r="K2550" s="553">
        <v>59</v>
      </c>
      <c r="L2550" s="553">
        <v>1</v>
      </c>
      <c r="M2550" s="505" t="s">
        <v>137</v>
      </c>
      <c r="N2550" s="500">
        <v>43013537270000</v>
      </c>
      <c r="O2550" s="553" t="s">
        <v>3052</v>
      </c>
      <c r="P2550" s="650" t="s">
        <v>3254</v>
      </c>
      <c r="Q2550" s="564"/>
      <c r="R2550" s="564">
        <v>2</v>
      </c>
    </row>
    <row r="2551" spans="1:18" x14ac:dyDescent="0.25">
      <c r="A2551" s="553">
        <v>25</v>
      </c>
      <c r="B2551" s="553">
        <v>3</v>
      </c>
      <c r="C2551" s="553">
        <v>2</v>
      </c>
      <c r="D2551" s="553">
        <v>2</v>
      </c>
      <c r="E2551" s="553">
        <v>2</v>
      </c>
      <c r="F2551" s="553">
        <v>2</v>
      </c>
      <c r="G2551" s="553" t="s">
        <v>486</v>
      </c>
      <c r="H2551" s="553">
        <v>1318.385</v>
      </c>
      <c r="I2551" s="553">
        <v>0</v>
      </c>
      <c r="J2551" s="553">
        <v>3</v>
      </c>
      <c r="K2551" s="553">
        <v>14</v>
      </c>
      <c r="L2551" s="553">
        <v>4</v>
      </c>
      <c r="M2551" s="505" t="s">
        <v>137</v>
      </c>
      <c r="N2551" s="500">
        <v>43013537270000</v>
      </c>
      <c r="O2551" s="553" t="s">
        <v>3052</v>
      </c>
      <c r="P2551" s="650" t="s">
        <v>3255</v>
      </c>
      <c r="Q2551" s="564"/>
      <c r="R2551" s="564">
        <v>2</v>
      </c>
    </row>
    <row r="2552" spans="1:18" x14ac:dyDescent="0.25">
      <c r="A2552" s="553">
        <v>25</v>
      </c>
      <c r="B2552" s="553">
        <v>3</v>
      </c>
      <c r="C2552" s="553">
        <v>2</v>
      </c>
      <c r="D2552" s="553">
        <v>2</v>
      </c>
      <c r="E2552" s="553">
        <v>2</v>
      </c>
      <c r="F2552" s="553">
        <v>2</v>
      </c>
      <c r="G2552" s="502" t="s">
        <v>488</v>
      </c>
      <c r="H2552" s="553">
        <v>1318.385</v>
      </c>
      <c r="I2552" s="553">
        <v>0</v>
      </c>
      <c r="J2552" s="553">
        <v>3</v>
      </c>
      <c r="K2552" s="553">
        <v>14</v>
      </c>
      <c r="L2552" s="553">
        <v>4</v>
      </c>
      <c r="M2552" s="505" t="s">
        <v>137</v>
      </c>
      <c r="N2552" s="500">
        <v>43013537270000</v>
      </c>
      <c r="O2552" s="553" t="s">
        <v>3052</v>
      </c>
      <c r="P2552" s="650" t="s">
        <v>3256</v>
      </c>
      <c r="Q2552" s="564"/>
      <c r="R2552" s="564">
        <v>2</v>
      </c>
    </row>
    <row r="2553" spans="1:18" x14ac:dyDescent="0.25">
      <c r="A2553" s="553">
        <v>25</v>
      </c>
      <c r="B2553" s="553">
        <v>3</v>
      </c>
      <c r="C2553" s="553">
        <v>2</v>
      </c>
      <c r="D2553" s="553">
        <v>2</v>
      </c>
      <c r="E2553" s="553">
        <v>2</v>
      </c>
      <c r="F2553" s="553">
        <v>2</v>
      </c>
      <c r="G2553" s="553" t="s">
        <v>490</v>
      </c>
      <c r="H2553" s="553">
        <v>1319.6</v>
      </c>
      <c r="I2553" s="553">
        <v>0</v>
      </c>
      <c r="J2553" s="553">
        <v>0</v>
      </c>
      <c r="K2553" s="553">
        <v>36</v>
      </c>
      <c r="L2553" s="553">
        <v>4</v>
      </c>
      <c r="M2553" s="505" t="s">
        <v>137</v>
      </c>
      <c r="N2553" s="500">
        <v>43013537270000</v>
      </c>
      <c r="O2553" s="553" t="s">
        <v>3052</v>
      </c>
      <c r="P2553" s="650" t="s">
        <v>3257</v>
      </c>
      <c r="Q2553" s="564"/>
      <c r="R2553" s="564">
        <v>2</v>
      </c>
    </row>
    <row r="2554" spans="1:18" x14ac:dyDescent="0.25">
      <c r="A2554" s="553">
        <v>25</v>
      </c>
      <c r="B2554" s="553">
        <v>3</v>
      </c>
      <c r="C2554" s="553">
        <v>2</v>
      </c>
      <c r="D2554" s="553">
        <v>2</v>
      </c>
      <c r="E2554" s="553">
        <v>2</v>
      </c>
      <c r="F2554" s="553">
        <v>2</v>
      </c>
      <c r="G2554" s="553" t="s">
        <v>493</v>
      </c>
      <c r="H2554" s="553">
        <v>1319.6</v>
      </c>
      <c r="I2554" s="553">
        <v>0</v>
      </c>
      <c r="J2554" s="553">
        <v>0</v>
      </c>
      <c r="K2554" s="553">
        <v>36</v>
      </c>
      <c r="L2554" s="553">
        <v>4</v>
      </c>
      <c r="M2554" s="505" t="s">
        <v>137</v>
      </c>
      <c r="N2554" s="500">
        <v>43013537270000</v>
      </c>
      <c r="O2554" s="553" t="s">
        <v>3052</v>
      </c>
      <c r="P2554" s="650" t="s">
        <v>3258</v>
      </c>
      <c r="Q2554" s="564"/>
      <c r="R2554" s="564">
        <v>2</v>
      </c>
    </row>
    <row r="2555" spans="1:18" x14ac:dyDescent="0.25">
      <c r="A2555" s="553">
        <v>25</v>
      </c>
      <c r="B2555" s="553">
        <v>3</v>
      </c>
      <c r="C2555" s="553">
        <v>2</v>
      </c>
      <c r="D2555" s="553">
        <v>2</v>
      </c>
      <c r="E2555" s="553">
        <v>2</v>
      </c>
      <c r="F2555" s="553">
        <v>2</v>
      </c>
      <c r="G2555" s="553" t="s">
        <v>474</v>
      </c>
      <c r="H2555" s="553">
        <v>1399.36</v>
      </c>
      <c r="I2555" s="553">
        <v>89</v>
      </c>
      <c r="J2555" s="553">
        <v>44</v>
      </c>
      <c r="K2555" s="553">
        <v>59</v>
      </c>
      <c r="L2555" s="553">
        <v>3</v>
      </c>
      <c r="M2555" s="505" t="s">
        <v>137</v>
      </c>
      <c r="N2555" s="500">
        <v>43013537270000</v>
      </c>
      <c r="O2555" s="553" t="s">
        <v>3052</v>
      </c>
      <c r="P2555" s="650" t="s">
        <v>3259</v>
      </c>
      <c r="Q2555" s="564"/>
      <c r="R2555" s="564">
        <v>2</v>
      </c>
    </row>
    <row r="2556" spans="1:18" x14ac:dyDescent="0.25">
      <c r="A2556" s="553">
        <v>25</v>
      </c>
      <c r="B2556" s="553">
        <v>3</v>
      </c>
      <c r="C2556" s="553">
        <v>2</v>
      </c>
      <c r="D2556" s="553">
        <v>2</v>
      </c>
      <c r="E2556" s="553">
        <v>2</v>
      </c>
      <c r="F2556" s="553">
        <v>2</v>
      </c>
      <c r="G2556" s="502" t="s">
        <v>477</v>
      </c>
      <c r="H2556" s="553">
        <v>1399.36</v>
      </c>
      <c r="I2556" s="553">
        <v>89</v>
      </c>
      <c r="J2556" s="553">
        <v>44</v>
      </c>
      <c r="K2556" s="553">
        <v>59</v>
      </c>
      <c r="L2556" s="553">
        <v>3</v>
      </c>
      <c r="M2556" s="505" t="s">
        <v>137</v>
      </c>
      <c r="N2556" s="500">
        <v>43013537270000</v>
      </c>
      <c r="O2556" s="553" t="s">
        <v>3052</v>
      </c>
      <c r="P2556" s="650" t="s">
        <v>3260</v>
      </c>
      <c r="Q2556" s="564"/>
      <c r="R2556" s="564">
        <v>2</v>
      </c>
    </row>
    <row r="2557" spans="1:18" x14ac:dyDescent="0.25">
      <c r="A2557" s="553">
        <v>25</v>
      </c>
      <c r="B2557" s="553">
        <v>3</v>
      </c>
      <c r="C2557" s="553">
        <v>2</v>
      </c>
      <c r="D2557" s="553">
        <v>2</v>
      </c>
      <c r="E2557" s="553">
        <v>2</v>
      </c>
      <c r="F2557" s="553">
        <v>2</v>
      </c>
      <c r="G2557" s="553" t="s">
        <v>479</v>
      </c>
      <c r="H2557" s="553">
        <v>1219.24</v>
      </c>
      <c r="I2557" s="553">
        <v>89</v>
      </c>
      <c r="J2557" s="553">
        <v>43</v>
      </c>
      <c r="K2557" s="553">
        <v>32</v>
      </c>
      <c r="L2557" s="553">
        <v>2</v>
      </c>
      <c r="M2557" s="505" t="s">
        <v>137</v>
      </c>
      <c r="N2557" s="500">
        <v>43013537270000</v>
      </c>
      <c r="O2557" s="553" t="s">
        <v>3052</v>
      </c>
      <c r="P2557" s="650" t="s">
        <v>3261</v>
      </c>
      <c r="Q2557" s="564"/>
      <c r="R2557" s="564">
        <v>2</v>
      </c>
    </row>
    <row r="2558" spans="1:18" x14ac:dyDescent="0.25">
      <c r="A2558" s="553">
        <v>25</v>
      </c>
      <c r="B2558" s="553">
        <v>3</v>
      </c>
      <c r="C2558" s="553">
        <v>2</v>
      </c>
      <c r="D2558" s="553">
        <v>2</v>
      </c>
      <c r="E2558" s="553">
        <v>2</v>
      </c>
      <c r="F2558" s="553">
        <v>2</v>
      </c>
      <c r="G2558" s="553" t="s">
        <v>485</v>
      </c>
      <c r="H2558" s="553">
        <v>1339.04</v>
      </c>
      <c r="I2558" s="553">
        <v>89</v>
      </c>
      <c r="J2558" s="553">
        <v>23</v>
      </c>
      <c r="K2558" s="553">
        <v>42</v>
      </c>
      <c r="L2558" s="553">
        <v>2</v>
      </c>
      <c r="M2558" s="505" t="s">
        <v>137</v>
      </c>
      <c r="N2558" s="500">
        <v>43013537270000</v>
      </c>
      <c r="O2558" s="553" t="s">
        <v>3052</v>
      </c>
      <c r="P2558" s="650" t="s">
        <v>3262</v>
      </c>
      <c r="Q2558" s="564"/>
      <c r="R2558" s="564">
        <v>2</v>
      </c>
    </row>
    <row r="2559" spans="1:18" x14ac:dyDescent="0.25">
      <c r="A2559" s="553">
        <v>25</v>
      </c>
      <c r="B2559" s="553">
        <v>3</v>
      </c>
      <c r="C2559" s="553">
        <v>2</v>
      </c>
      <c r="D2559" s="553">
        <v>2</v>
      </c>
      <c r="E2559" s="553">
        <v>2</v>
      </c>
      <c r="F2559" s="553">
        <v>2</v>
      </c>
      <c r="G2559" s="553" t="s">
        <v>487</v>
      </c>
      <c r="H2559" s="553">
        <v>1321.7</v>
      </c>
      <c r="I2559" s="553">
        <v>89</v>
      </c>
      <c r="J2559" s="553">
        <v>39</v>
      </c>
      <c r="K2559" s="553">
        <v>44</v>
      </c>
      <c r="L2559" s="553">
        <v>3</v>
      </c>
      <c r="M2559" s="505" t="s">
        <v>137</v>
      </c>
      <c r="N2559" s="500">
        <v>43013537270000</v>
      </c>
      <c r="O2559" s="553" t="s">
        <v>3052</v>
      </c>
      <c r="P2559" s="650" t="s">
        <v>3263</v>
      </c>
      <c r="Q2559" s="564"/>
      <c r="R2559" s="564">
        <v>2</v>
      </c>
    </row>
    <row r="2560" spans="1:18" x14ac:dyDescent="0.25">
      <c r="A2560" s="553">
        <v>25</v>
      </c>
      <c r="B2560" s="553">
        <v>3</v>
      </c>
      <c r="C2560" s="553">
        <v>2</v>
      </c>
      <c r="D2560" s="553">
        <v>2</v>
      </c>
      <c r="E2560" s="553">
        <v>2</v>
      </c>
      <c r="F2560" s="553">
        <v>2</v>
      </c>
      <c r="G2560" s="502" t="s">
        <v>489</v>
      </c>
      <c r="H2560" s="553">
        <v>1321.7</v>
      </c>
      <c r="I2560" s="553">
        <v>89</v>
      </c>
      <c r="J2560" s="553">
        <v>39</v>
      </c>
      <c r="K2560" s="553">
        <v>44</v>
      </c>
      <c r="L2560" s="553">
        <v>3</v>
      </c>
      <c r="M2560" s="505" t="s">
        <v>137</v>
      </c>
      <c r="N2560" s="500">
        <v>43013537270000</v>
      </c>
      <c r="O2560" s="553" t="s">
        <v>3052</v>
      </c>
      <c r="P2560" s="650" t="s">
        <v>3264</v>
      </c>
      <c r="Q2560" s="564"/>
      <c r="R2560" s="564">
        <v>2</v>
      </c>
    </row>
    <row r="2561" spans="1:18" x14ac:dyDescent="0.25">
      <c r="A2561" s="553">
        <v>25</v>
      </c>
      <c r="B2561" s="553">
        <v>3</v>
      </c>
      <c r="C2561" s="553">
        <v>2</v>
      </c>
      <c r="D2561" s="553">
        <v>2</v>
      </c>
      <c r="E2561" s="553">
        <v>2</v>
      </c>
      <c r="F2561" s="553">
        <v>2</v>
      </c>
      <c r="G2561" s="553" t="s">
        <v>491</v>
      </c>
      <c r="H2561" s="553">
        <v>1319.95</v>
      </c>
      <c r="I2561" s="553">
        <v>89</v>
      </c>
      <c r="J2561" s="553">
        <v>42</v>
      </c>
      <c r="K2561" s="553">
        <v>22</v>
      </c>
      <c r="L2561" s="553">
        <v>3</v>
      </c>
      <c r="M2561" s="505" t="s">
        <v>137</v>
      </c>
      <c r="N2561" s="500">
        <v>43013537270000</v>
      </c>
      <c r="O2561" s="553" t="s">
        <v>3052</v>
      </c>
      <c r="P2561" s="650" t="s">
        <v>3265</v>
      </c>
      <c r="Q2561" s="564"/>
      <c r="R2561" s="564">
        <v>2</v>
      </c>
    </row>
    <row r="2562" spans="1:18" x14ac:dyDescent="0.25">
      <c r="A2562" s="553">
        <v>25</v>
      </c>
      <c r="B2562" s="553">
        <v>3</v>
      </c>
      <c r="C2562" s="553">
        <v>2</v>
      </c>
      <c r="D2562" s="553">
        <v>2</v>
      </c>
      <c r="E2562" s="553">
        <v>2</v>
      </c>
      <c r="F2562" s="553">
        <v>2</v>
      </c>
      <c r="G2562" s="553" t="s">
        <v>494</v>
      </c>
      <c r="H2562" s="553">
        <v>1321.29</v>
      </c>
      <c r="I2562" s="553">
        <v>89</v>
      </c>
      <c r="J2562" s="553">
        <v>42</v>
      </c>
      <c r="K2562" s="553">
        <v>28</v>
      </c>
      <c r="L2562" s="553">
        <v>3</v>
      </c>
      <c r="M2562" s="505" t="s">
        <v>137</v>
      </c>
      <c r="N2562" s="500">
        <v>43013537270000</v>
      </c>
      <c r="O2562" s="553" t="s">
        <v>3052</v>
      </c>
      <c r="P2562" s="650" t="s">
        <v>3266</v>
      </c>
      <c r="Q2562" s="564"/>
      <c r="R2562" s="564">
        <v>2</v>
      </c>
    </row>
    <row r="2563" spans="1:18" x14ac:dyDescent="0.25">
      <c r="A2563" s="553">
        <v>25</v>
      </c>
      <c r="B2563" s="553">
        <v>4</v>
      </c>
      <c r="C2563" s="553">
        <v>2</v>
      </c>
      <c r="D2563" s="553">
        <v>4</v>
      </c>
      <c r="E2563" s="553">
        <v>2</v>
      </c>
      <c r="F2563" s="553">
        <v>2</v>
      </c>
      <c r="G2563" s="553" t="s">
        <v>473</v>
      </c>
      <c r="H2563" s="553">
        <v>1325.38</v>
      </c>
      <c r="I2563" s="553">
        <v>1</v>
      </c>
      <c r="J2563" s="553">
        <v>12</v>
      </c>
      <c r="K2563" s="553">
        <v>16</v>
      </c>
      <c r="L2563" s="553">
        <v>3</v>
      </c>
      <c r="M2563" s="505" t="s">
        <v>137</v>
      </c>
      <c r="N2563" s="500">
        <v>43013539220000</v>
      </c>
      <c r="O2563" s="553" t="s">
        <v>3267</v>
      </c>
      <c r="P2563" s="650" t="s">
        <v>3268</v>
      </c>
      <c r="Q2563" s="564"/>
      <c r="R2563" s="564">
        <v>1</v>
      </c>
    </row>
    <row r="2564" spans="1:18" x14ac:dyDescent="0.25">
      <c r="A2564" s="553">
        <v>25</v>
      </c>
      <c r="B2564" s="553">
        <v>4</v>
      </c>
      <c r="C2564" s="553">
        <v>2</v>
      </c>
      <c r="D2564" s="553">
        <v>4</v>
      </c>
      <c r="E2564" s="553">
        <v>2</v>
      </c>
      <c r="F2564" s="553">
        <v>2</v>
      </c>
      <c r="G2564" s="502" t="s">
        <v>476</v>
      </c>
      <c r="H2564" s="553">
        <v>1325.38</v>
      </c>
      <c r="I2564" s="553">
        <v>1</v>
      </c>
      <c r="J2564" s="553">
        <v>12</v>
      </c>
      <c r="K2564" s="553">
        <v>16</v>
      </c>
      <c r="L2564" s="553">
        <v>3</v>
      </c>
      <c r="M2564" s="505" t="s">
        <v>137</v>
      </c>
      <c r="N2564" s="500">
        <v>43013539220000</v>
      </c>
      <c r="O2564" s="553" t="s">
        <v>3267</v>
      </c>
      <c r="P2564" s="650" t="s">
        <v>3269</v>
      </c>
      <c r="Q2564" s="564"/>
      <c r="R2564" s="564">
        <v>1</v>
      </c>
    </row>
    <row r="2565" spans="1:18" x14ac:dyDescent="0.25">
      <c r="A2565" s="553">
        <v>25</v>
      </c>
      <c r="B2565" s="553">
        <v>4</v>
      </c>
      <c r="C2565" s="553">
        <v>2</v>
      </c>
      <c r="D2565" s="553">
        <v>4</v>
      </c>
      <c r="E2565" s="553">
        <v>2</v>
      </c>
      <c r="F2565" s="553">
        <v>2</v>
      </c>
      <c r="G2565" s="553" t="s">
        <v>478</v>
      </c>
      <c r="H2565" s="553">
        <v>1325.38</v>
      </c>
      <c r="I2565" s="553">
        <v>1</v>
      </c>
      <c r="J2565" s="553">
        <v>12</v>
      </c>
      <c r="K2565" s="553">
        <v>16</v>
      </c>
      <c r="L2565" s="553">
        <v>3</v>
      </c>
      <c r="M2565" s="505" t="s">
        <v>137</v>
      </c>
      <c r="N2565" s="500">
        <v>43013539220000</v>
      </c>
      <c r="O2565" s="553" t="s">
        <v>3267</v>
      </c>
      <c r="P2565" s="650" t="s">
        <v>3270</v>
      </c>
      <c r="Q2565" s="564"/>
      <c r="R2565" s="564">
        <v>1</v>
      </c>
    </row>
    <row r="2566" spans="1:18" x14ac:dyDescent="0.25">
      <c r="A2566" s="553">
        <v>25</v>
      </c>
      <c r="B2566" s="553">
        <v>4</v>
      </c>
      <c r="C2566" s="553">
        <v>2</v>
      </c>
      <c r="D2566" s="553">
        <v>4</v>
      </c>
      <c r="E2566" s="553">
        <v>2</v>
      </c>
      <c r="F2566" s="553">
        <v>2</v>
      </c>
      <c r="G2566" s="553" t="s">
        <v>484</v>
      </c>
      <c r="H2566" s="553">
        <v>1325.38</v>
      </c>
      <c r="I2566" s="553">
        <v>1</v>
      </c>
      <c r="J2566" s="553">
        <v>12</v>
      </c>
      <c r="K2566" s="553">
        <v>16</v>
      </c>
      <c r="L2566" s="553">
        <v>3</v>
      </c>
      <c r="M2566" s="505" t="s">
        <v>137</v>
      </c>
      <c r="N2566" s="500">
        <v>43013539220000</v>
      </c>
      <c r="O2566" s="553" t="s">
        <v>3267</v>
      </c>
      <c r="P2566" s="650" t="s">
        <v>3271</v>
      </c>
      <c r="Q2566" s="564"/>
      <c r="R2566" s="564">
        <v>1</v>
      </c>
    </row>
    <row r="2567" spans="1:18" x14ac:dyDescent="0.25">
      <c r="A2567" s="553">
        <v>25</v>
      </c>
      <c r="B2567" s="553">
        <v>4</v>
      </c>
      <c r="C2567" s="553">
        <v>2</v>
      </c>
      <c r="D2567" s="553">
        <v>4</v>
      </c>
      <c r="E2567" s="553">
        <v>2</v>
      </c>
      <c r="F2567" s="553">
        <v>2</v>
      </c>
      <c r="G2567" s="553" t="s">
        <v>486</v>
      </c>
      <c r="H2567" s="553">
        <v>1323.47</v>
      </c>
      <c r="I2567" s="553">
        <v>0</v>
      </c>
      <c r="J2567" s="553">
        <v>13</v>
      </c>
      <c r="K2567" s="553">
        <v>26</v>
      </c>
      <c r="L2567" s="553">
        <v>2</v>
      </c>
      <c r="M2567" s="505" t="s">
        <v>137</v>
      </c>
      <c r="N2567" s="500">
        <v>43013539220000</v>
      </c>
      <c r="O2567" s="553" t="s">
        <v>3267</v>
      </c>
      <c r="P2567" s="650" t="s">
        <v>3272</v>
      </c>
      <c r="Q2567" s="564"/>
      <c r="R2567" s="564">
        <v>1</v>
      </c>
    </row>
    <row r="2568" spans="1:18" x14ac:dyDescent="0.25">
      <c r="A2568" s="553">
        <v>25</v>
      </c>
      <c r="B2568" s="553">
        <v>4</v>
      </c>
      <c r="C2568" s="553">
        <v>2</v>
      </c>
      <c r="D2568" s="553">
        <v>4</v>
      </c>
      <c r="E2568" s="553">
        <v>2</v>
      </c>
      <c r="F2568" s="553">
        <v>2</v>
      </c>
      <c r="G2568" s="502" t="s">
        <v>488</v>
      </c>
      <c r="H2568" s="553">
        <v>1323.47</v>
      </c>
      <c r="I2568" s="553">
        <v>0</v>
      </c>
      <c r="J2568" s="553">
        <v>13</v>
      </c>
      <c r="K2568" s="553">
        <v>26</v>
      </c>
      <c r="L2568" s="553">
        <v>2</v>
      </c>
      <c r="M2568" s="505" t="s">
        <v>137</v>
      </c>
      <c r="N2568" s="500">
        <v>43013539220000</v>
      </c>
      <c r="O2568" s="553" t="s">
        <v>3267</v>
      </c>
      <c r="P2568" s="650" t="s">
        <v>3273</v>
      </c>
      <c r="Q2568" s="564"/>
      <c r="R2568" s="564">
        <v>1</v>
      </c>
    </row>
    <row r="2569" spans="1:18" x14ac:dyDescent="0.25">
      <c r="A2569" s="553">
        <v>25</v>
      </c>
      <c r="B2569" s="553">
        <v>4</v>
      </c>
      <c r="C2569" s="553">
        <v>2</v>
      </c>
      <c r="D2569" s="553">
        <v>4</v>
      </c>
      <c r="E2569" s="553">
        <v>2</v>
      </c>
      <c r="F2569" s="553">
        <v>2</v>
      </c>
      <c r="G2569" s="553" t="s">
        <v>490</v>
      </c>
      <c r="H2569" s="553">
        <v>1323.47</v>
      </c>
      <c r="I2569" s="553">
        <v>0</v>
      </c>
      <c r="J2569" s="553">
        <v>13</v>
      </c>
      <c r="K2569" s="553">
        <v>26</v>
      </c>
      <c r="L2569" s="553">
        <v>2</v>
      </c>
      <c r="M2569" s="505" t="s">
        <v>137</v>
      </c>
      <c r="N2569" s="500">
        <v>43013539220000</v>
      </c>
      <c r="O2569" s="553" t="s">
        <v>3267</v>
      </c>
      <c r="P2569" s="650" t="s">
        <v>3274</v>
      </c>
      <c r="Q2569" s="564"/>
      <c r="R2569" s="564">
        <v>1</v>
      </c>
    </row>
    <row r="2570" spans="1:18" x14ac:dyDescent="0.25">
      <c r="A2570" s="553">
        <v>25</v>
      </c>
      <c r="B2570" s="553">
        <v>4</v>
      </c>
      <c r="C2570" s="553">
        <v>2</v>
      </c>
      <c r="D2570" s="553">
        <v>4</v>
      </c>
      <c r="E2570" s="553">
        <v>2</v>
      </c>
      <c r="F2570" s="553">
        <v>2</v>
      </c>
      <c r="G2570" s="553" t="s">
        <v>493</v>
      </c>
      <c r="H2570" s="553">
        <v>1323.47</v>
      </c>
      <c r="I2570" s="553">
        <v>0</v>
      </c>
      <c r="J2570" s="553">
        <v>13</v>
      </c>
      <c r="K2570" s="553">
        <v>26</v>
      </c>
      <c r="L2570" s="553">
        <v>2</v>
      </c>
      <c r="M2570" s="505" t="s">
        <v>137</v>
      </c>
      <c r="N2570" s="500">
        <v>43013539220000</v>
      </c>
      <c r="O2570" s="553" t="s">
        <v>3267</v>
      </c>
      <c r="P2570" s="650" t="s">
        <v>3275</v>
      </c>
      <c r="Q2570" s="564"/>
      <c r="R2570" s="564">
        <v>1</v>
      </c>
    </row>
    <row r="2571" spans="1:18" x14ac:dyDescent="0.25">
      <c r="A2571" s="553">
        <v>25</v>
      </c>
      <c r="B2571" s="553">
        <v>4</v>
      </c>
      <c r="C2571" s="553">
        <v>2</v>
      </c>
      <c r="D2571" s="553">
        <v>4</v>
      </c>
      <c r="E2571" s="553">
        <v>2</v>
      </c>
      <c r="F2571" s="553">
        <v>2</v>
      </c>
      <c r="G2571" s="553" t="s">
        <v>474</v>
      </c>
      <c r="H2571" s="553">
        <v>1306.95</v>
      </c>
      <c r="I2571" s="553">
        <v>89</v>
      </c>
      <c r="J2571" s="553">
        <v>58</v>
      </c>
      <c r="K2571" s="553">
        <v>52</v>
      </c>
      <c r="L2571" s="553">
        <v>3</v>
      </c>
      <c r="M2571" s="505" t="s">
        <v>137</v>
      </c>
      <c r="N2571" s="500">
        <v>43013539220000</v>
      </c>
      <c r="O2571" s="553" t="s">
        <v>3267</v>
      </c>
      <c r="P2571" s="650" t="s">
        <v>3276</v>
      </c>
      <c r="Q2571" s="564"/>
      <c r="R2571" s="564">
        <v>1</v>
      </c>
    </row>
    <row r="2572" spans="1:18" x14ac:dyDescent="0.25">
      <c r="A2572" s="553">
        <v>25</v>
      </c>
      <c r="B2572" s="553">
        <v>4</v>
      </c>
      <c r="C2572" s="553">
        <v>2</v>
      </c>
      <c r="D2572" s="553">
        <v>4</v>
      </c>
      <c r="E2572" s="553">
        <v>2</v>
      </c>
      <c r="F2572" s="553">
        <v>2</v>
      </c>
      <c r="G2572" s="502" t="s">
        <v>477</v>
      </c>
      <c r="H2572" s="553">
        <v>1306.95</v>
      </c>
      <c r="I2572" s="553">
        <v>89</v>
      </c>
      <c r="J2572" s="553">
        <v>58</v>
      </c>
      <c r="K2572" s="553">
        <v>52</v>
      </c>
      <c r="L2572" s="553">
        <v>3</v>
      </c>
      <c r="M2572" s="505" t="s">
        <v>137</v>
      </c>
      <c r="N2572" s="500">
        <v>43013539220000</v>
      </c>
      <c r="O2572" s="553" t="s">
        <v>3267</v>
      </c>
      <c r="P2572" s="650" t="s">
        <v>3277</v>
      </c>
      <c r="Q2572" s="564"/>
      <c r="R2572" s="564">
        <v>1</v>
      </c>
    </row>
    <row r="2573" spans="1:18" x14ac:dyDescent="0.25">
      <c r="A2573" s="553">
        <v>25</v>
      </c>
      <c r="B2573" s="553">
        <v>4</v>
      </c>
      <c r="C2573" s="553">
        <v>2</v>
      </c>
      <c r="D2573" s="553">
        <v>4</v>
      </c>
      <c r="E2573" s="553">
        <v>2</v>
      </c>
      <c r="F2573" s="553">
        <v>2</v>
      </c>
      <c r="G2573" s="553" t="s">
        <v>479</v>
      </c>
      <c r="H2573" s="553">
        <v>1306.95</v>
      </c>
      <c r="I2573" s="553">
        <v>89</v>
      </c>
      <c r="J2573" s="553">
        <v>58</v>
      </c>
      <c r="K2573" s="553">
        <v>52</v>
      </c>
      <c r="L2573" s="553">
        <v>3</v>
      </c>
      <c r="M2573" s="505" t="s">
        <v>137</v>
      </c>
      <c r="N2573" s="500">
        <v>43013539220000</v>
      </c>
      <c r="O2573" s="553" t="s">
        <v>3267</v>
      </c>
      <c r="P2573" s="650" t="s">
        <v>3278</v>
      </c>
      <c r="Q2573" s="564"/>
      <c r="R2573" s="564">
        <v>1</v>
      </c>
    </row>
    <row r="2574" spans="1:18" x14ac:dyDescent="0.25">
      <c r="A2574" s="553">
        <v>25</v>
      </c>
      <c r="B2574" s="553">
        <v>4</v>
      </c>
      <c r="C2574" s="553">
        <v>2</v>
      </c>
      <c r="D2574" s="553">
        <v>4</v>
      </c>
      <c r="E2574" s="553">
        <v>2</v>
      </c>
      <c r="F2574" s="553">
        <v>2</v>
      </c>
      <c r="G2574" s="553" t="s">
        <v>485</v>
      </c>
      <c r="H2574" s="553">
        <v>1306.95</v>
      </c>
      <c r="I2574" s="553">
        <v>89</v>
      </c>
      <c r="J2574" s="553">
        <v>58</v>
      </c>
      <c r="K2574" s="553">
        <v>52</v>
      </c>
      <c r="L2574" s="553">
        <v>3</v>
      </c>
      <c r="M2574" s="505" t="s">
        <v>137</v>
      </c>
      <c r="N2574" s="500">
        <v>43013539220000</v>
      </c>
      <c r="O2574" s="553" t="s">
        <v>3267</v>
      </c>
      <c r="P2574" s="650" t="s">
        <v>3279</v>
      </c>
      <c r="Q2574" s="564"/>
      <c r="R2574" s="564">
        <v>1</v>
      </c>
    </row>
    <row r="2575" spans="1:18" x14ac:dyDescent="0.25">
      <c r="A2575" s="553">
        <v>25</v>
      </c>
      <c r="B2575" s="553">
        <v>4</v>
      </c>
      <c r="C2575" s="553">
        <v>2</v>
      </c>
      <c r="D2575" s="553">
        <v>4</v>
      </c>
      <c r="E2575" s="553">
        <v>2</v>
      </c>
      <c r="F2575" s="553">
        <v>2</v>
      </c>
      <c r="G2575" s="553" t="s">
        <v>487</v>
      </c>
      <c r="H2575" s="553">
        <v>1329.64</v>
      </c>
      <c r="I2575" s="553">
        <v>89</v>
      </c>
      <c r="J2575" s="553">
        <v>54</v>
      </c>
      <c r="K2575" s="553">
        <v>40</v>
      </c>
      <c r="L2575" s="553">
        <v>2</v>
      </c>
      <c r="M2575" s="505" t="s">
        <v>137</v>
      </c>
      <c r="N2575" s="500">
        <v>43013539220000</v>
      </c>
      <c r="O2575" s="553" t="s">
        <v>3267</v>
      </c>
      <c r="P2575" s="650" t="s">
        <v>3280</v>
      </c>
      <c r="Q2575" s="564"/>
      <c r="R2575" s="564">
        <v>1</v>
      </c>
    </row>
    <row r="2576" spans="1:18" x14ac:dyDescent="0.25">
      <c r="A2576" s="553">
        <v>25</v>
      </c>
      <c r="B2576" s="553">
        <v>4</v>
      </c>
      <c r="C2576" s="553">
        <v>2</v>
      </c>
      <c r="D2576" s="553">
        <v>4</v>
      </c>
      <c r="E2576" s="553">
        <v>2</v>
      </c>
      <c r="F2576" s="553">
        <v>2</v>
      </c>
      <c r="G2576" s="502" t="s">
        <v>489</v>
      </c>
      <c r="H2576" s="553">
        <v>1329.64</v>
      </c>
      <c r="I2576" s="553">
        <v>89</v>
      </c>
      <c r="J2576" s="553">
        <v>54</v>
      </c>
      <c r="K2576" s="553">
        <v>40</v>
      </c>
      <c r="L2576" s="553">
        <v>2</v>
      </c>
      <c r="M2576" s="554" t="s">
        <v>137</v>
      </c>
      <c r="N2576" s="500">
        <v>43013539220000</v>
      </c>
      <c r="O2576" s="553" t="s">
        <v>3267</v>
      </c>
      <c r="P2576" s="650" t="s">
        <v>3281</v>
      </c>
      <c r="Q2576" s="564"/>
      <c r="R2576" s="564">
        <v>1</v>
      </c>
    </row>
    <row r="2577" spans="1:18" x14ac:dyDescent="0.25">
      <c r="A2577" s="553">
        <v>25</v>
      </c>
      <c r="B2577" s="553">
        <v>4</v>
      </c>
      <c r="C2577" s="553">
        <v>2</v>
      </c>
      <c r="D2577" s="553">
        <v>4</v>
      </c>
      <c r="E2577" s="553">
        <v>2</v>
      </c>
      <c r="F2577" s="553">
        <v>2</v>
      </c>
      <c r="G2577" s="553" t="s">
        <v>491</v>
      </c>
      <c r="H2577" s="553">
        <v>1329.64</v>
      </c>
      <c r="I2577" s="553">
        <v>89</v>
      </c>
      <c r="J2577" s="553">
        <v>54</v>
      </c>
      <c r="K2577" s="553">
        <v>40</v>
      </c>
      <c r="L2577" s="553">
        <v>2</v>
      </c>
      <c r="M2577" s="554" t="s">
        <v>137</v>
      </c>
      <c r="N2577" s="500">
        <v>43013539220000</v>
      </c>
      <c r="O2577" s="553" t="s">
        <v>3267</v>
      </c>
      <c r="P2577" s="650" t="s">
        <v>3282</v>
      </c>
      <c r="Q2577" s="564"/>
      <c r="R2577" s="564">
        <v>1</v>
      </c>
    </row>
    <row r="2578" spans="1:18" x14ac:dyDescent="0.25">
      <c r="A2578" s="553">
        <v>25</v>
      </c>
      <c r="B2578" s="553">
        <v>4</v>
      </c>
      <c r="C2578" s="553">
        <v>2</v>
      </c>
      <c r="D2578" s="553">
        <v>4</v>
      </c>
      <c r="E2578" s="553">
        <v>2</v>
      </c>
      <c r="F2578" s="553">
        <v>2</v>
      </c>
      <c r="G2578" s="553" t="s">
        <v>494</v>
      </c>
      <c r="H2578" s="553">
        <v>1329.64</v>
      </c>
      <c r="I2578" s="553">
        <v>89</v>
      </c>
      <c r="J2578" s="553">
        <v>54</v>
      </c>
      <c r="K2578" s="553">
        <v>40</v>
      </c>
      <c r="L2578" s="553">
        <v>2</v>
      </c>
      <c r="M2578" s="554" t="s">
        <v>137</v>
      </c>
      <c r="N2578" s="500">
        <v>43013539220000</v>
      </c>
      <c r="O2578" s="553" t="s">
        <v>3267</v>
      </c>
      <c r="P2578" s="650" t="s">
        <v>3283</v>
      </c>
      <c r="Q2578" s="564"/>
      <c r="R2578" s="564">
        <v>1</v>
      </c>
    </row>
    <row r="2579" spans="1:18" ht="15" customHeight="1" x14ac:dyDescent="0.25">
      <c r="A2579" s="553">
        <v>26</v>
      </c>
      <c r="B2579" s="553">
        <v>7</v>
      </c>
      <c r="C2579" s="553">
        <v>2</v>
      </c>
      <c r="D2579" s="553">
        <v>20</v>
      </c>
      <c r="E2579" s="553">
        <v>1</v>
      </c>
      <c r="F2579" s="553">
        <v>1</v>
      </c>
      <c r="G2579" s="553" t="s">
        <v>473</v>
      </c>
      <c r="H2579" s="553">
        <v>1358.345</v>
      </c>
      <c r="I2579" s="553">
        <v>1</v>
      </c>
      <c r="J2579" s="553">
        <v>32</v>
      </c>
      <c r="K2579" s="553">
        <v>36</v>
      </c>
      <c r="L2579" s="553">
        <v>4</v>
      </c>
      <c r="M2579" s="554" t="s">
        <v>312</v>
      </c>
      <c r="N2579" s="500">
        <v>43047562260000</v>
      </c>
      <c r="O2579" s="553" t="s">
        <v>3284</v>
      </c>
      <c r="P2579" s="650" t="s">
        <v>3285</v>
      </c>
      <c r="Q2579" s="564"/>
      <c r="R2579" s="564">
        <v>2</v>
      </c>
    </row>
    <row r="2580" spans="1:18" ht="15" customHeight="1" x14ac:dyDescent="0.25">
      <c r="A2580" s="553">
        <v>26</v>
      </c>
      <c r="B2580" s="553">
        <v>7</v>
      </c>
      <c r="C2580" s="553">
        <v>2</v>
      </c>
      <c r="D2580" s="553">
        <v>20</v>
      </c>
      <c r="E2580" s="553">
        <v>1</v>
      </c>
      <c r="F2580" s="553">
        <v>1</v>
      </c>
      <c r="G2580" s="502" t="s">
        <v>476</v>
      </c>
      <c r="H2580" s="553">
        <v>1358.345</v>
      </c>
      <c r="I2580" s="553">
        <v>1</v>
      </c>
      <c r="J2580" s="553">
        <v>32</v>
      </c>
      <c r="K2580" s="553">
        <v>36</v>
      </c>
      <c r="L2580" s="553">
        <v>4</v>
      </c>
      <c r="M2580" s="554" t="s">
        <v>312</v>
      </c>
      <c r="N2580" s="500">
        <v>43047562260000</v>
      </c>
      <c r="O2580" s="553" t="s">
        <v>3284</v>
      </c>
      <c r="P2580" s="650" t="s">
        <v>3286</v>
      </c>
      <c r="Q2580" s="564"/>
      <c r="R2580" s="564">
        <v>2</v>
      </c>
    </row>
    <row r="2581" spans="1:18" ht="15" customHeight="1" x14ac:dyDescent="0.25">
      <c r="A2581" s="553">
        <v>26</v>
      </c>
      <c r="B2581" s="553">
        <v>7</v>
      </c>
      <c r="C2581" s="553">
        <v>2</v>
      </c>
      <c r="D2581" s="553">
        <v>20</v>
      </c>
      <c r="E2581" s="553">
        <v>1</v>
      </c>
      <c r="F2581" s="553">
        <v>1</v>
      </c>
      <c r="G2581" s="553" t="s">
        <v>478</v>
      </c>
      <c r="H2581" s="553">
        <v>1354.47</v>
      </c>
      <c r="I2581" s="553">
        <v>1</v>
      </c>
      <c r="J2581" s="553">
        <v>28</v>
      </c>
      <c r="K2581" s="553">
        <v>13</v>
      </c>
      <c r="L2581" s="553">
        <v>4</v>
      </c>
      <c r="M2581" s="554" t="s">
        <v>312</v>
      </c>
      <c r="N2581" s="500">
        <v>43047562260000</v>
      </c>
      <c r="O2581" s="553" t="s">
        <v>3284</v>
      </c>
      <c r="P2581" s="650" t="s">
        <v>3287</v>
      </c>
      <c r="Q2581" s="564"/>
      <c r="R2581" s="564">
        <v>2</v>
      </c>
    </row>
    <row r="2582" spans="1:18" ht="15" customHeight="1" x14ac:dyDescent="0.25">
      <c r="A2582" s="553">
        <v>26</v>
      </c>
      <c r="B2582" s="553">
        <v>7</v>
      </c>
      <c r="C2582" s="553">
        <v>2</v>
      </c>
      <c r="D2582" s="553">
        <v>20</v>
      </c>
      <c r="E2582" s="553">
        <v>1</v>
      </c>
      <c r="F2582" s="553">
        <v>1</v>
      </c>
      <c r="G2582" s="553" t="s">
        <v>484</v>
      </c>
      <c r="H2582" s="553">
        <v>1354.47</v>
      </c>
      <c r="I2582" s="553">
        <v>1</v>
      </c>
      <c r="J2582" s="553">
        <v>28</v>
      </c>
      <c r="K2582" s="553">
        <v>13</v>
      </c>
      <c r="L2582" s="553">
        <v>4</v>
      </c>
      <c r="M2582" s="554" t="s">
        <v>312</v>
      </c>
      <c r="N2582" s="500">
        <v>43047562260000</v>
      </c>
      <c r="O2582" s="553" t="s">
        <v>3284</v>
      </c>
      <c r="P2582" s="650" t="s">
        <v>3288</v>
      </c>
      <c r="Q2582" s="564"/>
      <c r="R2582" s="564">
        <v>2</v>
      </c>
    </row>
    <row r="2583" spans="1:18" ht="15" customHeight="1" x14ac:dyDescent="0.25">
      <c r="A2583" s="553">
        <v>26</v>
      </c>
      <c r="B2583" s="553">
        <v>7</v>
      </c>
      <c r="C2583" s="553">
        <v>2</v>
      </c>
      <c r="D2583" s="553">
        <v>20</v>
      </c>
      <c r="E2583" s="553">
        <v>1</v>
      </c>
      <c r="F2583" s="553">
        <v>1</v>
      </c>
      <c r="G2583" s="553" t="s">
        <v>486</v>
      </c>
      <c r="H2583" s="553">
        <v>1274.665</v>
      </c>
      <c r="I2583" s="553">
        <v>0</v>
      </c>
      <c r="J2583" s="553">
        <v>43</v>
      </c>
      <c r="K2583" s="553">
        <v>23</v>
      </c>
      <c r="L2583" s="553">
        <v>4</v>
      </c>
      <c r="M2583" s="554" t="s">
        <v>312</v>
      </c>
      <c r="N2583" s="500">
        <v>43047562260000</v>
      </c>
      <c r="O2583" s="553" t="s">
        <v>3284</v>
      </c>
      <c r="P2583" s="650" t="s">
        <v>3289</v>
      </c>
      <c r="Q2583" s="564"/>
      <c r="R2583" s="564">
        <v>2</v>
      </c>
    </row>
    <row r="2584" spans="1:18" ht="15" customHeight="1" x14ac:dyDescent="0.25">
      <c r="A2584" s="553">
        <v>26</v>
      </c>
      <c r="B2584" s="553">
        <v>7</v>
      </c>
      <c r="C2584" s="553">
        <v>2</v>
      </c>
      <c r="D2584" s="553">
        <v>20</v>
      </c>
      <c r="E2584" s="553">
        <v>1</v>
      </c>
      <c r="F2584" s="553">
        <v>1</v>
      </c>
      <c r="G2584" s="502" t="s">
        <v>488</v>
      </c>
      <c r="H2584" s="553">
        <v>1274.665</v>
      </c>
      <c r="I2584" s="553">
        <v>0</v>
      </c>
      <c r="J2584" s="553">
        <v>43</v>
      </c>
      <c r="K2584" s="553">
        <v>23</v>
      </c>
      <c r="L2584" s="553">
        <v>4</v>
      </c>
      <c r="M2584" s="554" t="s">
        <v>312</v>
      </c>
      <c r="N2584" s="500">
        <v>43047562260000</v>
      </c>
      <c r="O2584" s="553" t="s">
        <v>3284</v>
      </c>
      <c r="P2584" s="650" t="s">
        <v>3290</v>
      </c>
      <c r="Q2584" s="564"/>
      <c r="R2584" s="564">
        <v>2</v>
      </c>
    </row>
    <row r="2585" spans="1:18" ht="15" customHeight="1" x14ac:dyDescent="0.25">
      <c r="A2585" s="553">
        <v>26</v>
      </c>
      <c r="B2585" s="553">
        <v>7</v>
      </c>
      <c r="C2585" s="553">
        <v>2</v>
      </c>
      <c r="D2585" s="553">
        <v>20</v>
      </c>
      <c r="E2585" s="553">
        <v>1</v>
      </c>
      <c r="F2585" s="553">
        <v>1</v>
      </c>
      <c r="G2585" s="553" t="s">
        <v>490</v>
      </c>
      <c r="H2585" s="553">
        <v>1352.82</v>
      </c>
      <c r="I2585" s="553">
        <v>2</v>
      </c>
      <c r="J2585" s="553">
        <v>42</v>
      </c>
      <c r="K2585" s="553">
        <v>0</v>
      </c>
      <c r="L2585" s="553">
        <v>4</v>
      </c>
      <c r="M2585" s="554" t="s">
        <v>312</v>
      </c>
      <c r="N2585" s="500">
        <v>43047562260000</v>
      </c>
      <c r="O2585" s="553" t="s">
        <v>3284</v>
      </c>
      <c r="P2585" s="650" t="s">
        <v>3291</v>
      </c>
      <c r="Q2585" s="564"/>
      <c r="R2585" s="564">
        <v>2</v>
      </c>
    </row>
    <row r="2586" spans="1:18" ht="15" customHeight="1" x14ac:dyDescent="0.25">
      <c r="A2586" s="553">
        <v>26</v>
      </c>
      <c r="B2586" s="553">
        <v>7</v>
      </c>
      <c r="C2586" s="553">
        <v>2</v>
      </c>
      <c r="D2586" s="553">
        <v>20</v>
      </c>
      <c r="E2586" s="553">
        <v>1</v>
      </c>
      <c r="F2586" s="553">
        <v>1</v>
      </c>
      <c r="G2586" s="553" t="s">
        <v>493</v>
      </c>
      <c r="H2586" s="553">
        <v>1352.82</v>
      </c>
      <c r="I2586" s="553">
        <v>2</v>
      </c>
      <c r="J2586" s="553">
        <v>42</v>
      </c>
      <c r="K2586" s="553">
        <v>0</v>
      </c>
      <c r="L2586" s="553">
        <v>4</v>
      </c>
      <c r="M2586" s="554" t="s">
        <v>312</v>
      </c>
      <c r="N2586" s="500">
        <v>43047562260000</v>
      </c>
      <c r="O2586" s="553" t="s">
        <v>3284</v>
      </c>
      <c r="P2586" s="650" t="s">
        <v>3292</v>
      </c>
      <c r="Q2586" s="564"/>
      <c r="R2586" s="564">
        <v>2</v>
      </c>
    </row>
    <row r="2587" spans="1:18" ht="15" customHeight="1" x14ac:dyDescent="0.25">
      <c r="A2587" s="553">
        <v>26</v>
      </c>
      <c r="B2587" s="553">
        <v>7</v>
      </c>
      <c r="C2587" s="553">
        <v>2</v>
      </c>
      <c r="D2587" s="553">
        <v>20</v>
      </c>
      <c r="E2587" s="553">
        <v>1</v>
      </c>
      <c r="F2587" s="553">
        <v>1</v>
      </c>
      <c r="G2587" s="553" t="s">
        <v>474</v>
      </c>
      <c r="H2587" s="553">
        <v>1348.65</v>
      </c>
      <c r="I2587" s="553">
        <v>89</v>
      </c>
      <c r="J2587" s="553">
        <v>18</v>
      </c>
      <c r="K2587" s="553">
        <v>27</v>
      </c>
      <c r="L2587" s="553">
        <v>3</v>
      </c>
      <c r="M2587" s="554" t="s">
        <v>312</v>
      </c>
      <c r="N2587" s="500">
        <v>43047562260000</v>
      </c>
      <c r="O2587" s="553" t="s">
        <v>3284</v>
      </c>
      <c r="P2587" s="650" t="s">
        <v>3293</v>
      </c>
      <c r="Q2587" s="564"/>
      <c r="R2587" s="564">
        <v>2</v>
      </c>
    </row>
    <row r="2588" spans="1:18" ht="15" customHeight="1" x14ac:dyDescent="0.25">
      <c r="A2588" s="553">
        <v>26</v>
      </c>
      <c r="B2588" s="553">
        <v>7</v>
      </c>
      <c r="C2588" s="553">
        <v>2</v>
      </c>
      <c r="D2588" s="553">
        <v>20</v>
      </c>
      <c r="E2588" s="553">
        <v>1</v>
      </c>
      <c r="F2588" s="553">
        <v>1</v>
      </c>
      <c r="G2588" s="502" t="s">
        <v>477</v>
      </c>
      <c r="H2588" s="553">
        <v>1348.65</v>
      </c>
      <c r="I2588" s="553">
        <v>89</v>
      </c>
      <c r="J2588" s="553">
        <v>18</v>
      </c>
      <c r="K2588" s="553">
        <v>27</v>
      </c>
      <c r="L2588" s="553">
        <v>3</v>
      </c>
      <c r="M2588" s="554" t="s">
        <v>312</v>
      </c>
      <c r="N2588" s="500">
        <v>43047562260000</v>
      </c>
      <c r="O2588" s="553" t="s">
        <v>3284</v>
      </c>
      <c r="P2588" s="650" t="s">
        <v>3294</v>
      </c>
      <c r="Q2588" s="564"/>
      <c r="R2588" s="564">
        <v>2</v>
      </c>
    </row>
    <row r="2589" spans="1:18" ht="15" customHeight="1" x14ac:dyDescent="0.25">
      <c r="A2589" s="553">
        <v>26</v>
      </c>
      <c r="B2589" s="553">
        <v>7</v>
      </c>
      <c r="C2589" s="553">
        <v>2</v>
      </c>
      <c r="D2589" s="553">
        <v>20</v>
      </c>
      <c r="E2589" s="553">
        <v>1</v>
      </c>
      <c r="F2589" s="553">
        <v>1</v>
      </c>
      <c r="G2589" s="553" t="s">
        <v>479</v>
      </c>
      <c r="H2589" s="553">
        <v>1347.63</v>
      </c>
      <c r="I2589" s="553">
        <v>89</v>
      </c>
      <c r="J2589" s="553">
        <v>42</v>
      </c>
      <c r="K2589" s="553">
        <v>43</v>
      </c>
      <c r="L2589" s="553">
        <v>3</v>
      </c>
      <c r="M2589" s="554" t="s">
        <v>312</v>
      </c>
      <c r="N2589" s="500">
        <v>43047562260000</v>
      </c>
      <c r="O2589" s="553" t="s">
        <v>3284</v>
      </c>
      <c r="P2589" s="650" t="s">
        <v>3295</v>
      </c>
      <c r="Q2589" s="564"/>
      <c r="R2589" s="564">
        <v>2</v>
      </c>
    </row>
    <row r="2590" spans="1:18" ht="15" customHeight="1" x14ac:dyDescent="0.25">
      <c r="A2590" s="553">
        <v>26</v>
      </c>
      <c r="B2590" s="553">
        <v>7</v>
      </c>
      <c r="C2590" s="553">
        <v>2</v>
      </c>
      <c r="D2590" s="553">
        <v>20</v>
      </c>
      <c r="E2590" s="553">
        <v>1</v>
      </c>
      <c r="F2590" s="553">
        <v>1</v>
      </c>
      <c r="G2590" s="553" t="s">
        <v>485</v>
      </c>
      <c r="H2590" s="553">
        <v>1347.63</v>
      </c>
      <c r="I2590" s="553">
        <v>89</v>
      </c>
      <c r="J2590" s="553">
        <v>42</v>
      </c>
      <c r="K2590" s="553">
        <v>43</v>
      </c>
      <c r="L2590" s="553">
        <v>3</v>
      </c>
      <c r="M2590" s="554" t="s">
        <v>312</v>
      </c>
      <c r="N2590" s="500">
        <v>43047562260000</v>
      </c>
      <c r="O2590" s="553" t="s">
        <v>3284</v>
      </c>
      <c r="P2590" s="650" t="s">
        <v>3296</v>
      </c>
      <c r="Q2590" s="564"/>
      <c r="R2590" s="564">
        <v>2</v>
      </c>
    </row>
    <row r="2591" spans="1:18" ht="15" customHeight="1" x14ac:dyDescent="0.25">
      <c r="A2591" s="553">
        <v>26</v>
      </c>
      <c r="B2591" s="553">
        <v>7</v>
      </c>
      <c r="C2591" s="553">
        <v>2</v>
      </c>
      <c r="D2591" s="553">
        <v>20</v>
      </c>
      <c r="E2591" s="553">
        <v>1</v>
      </c>
      <c r="F2591" s="553">
        <v>1</v>
      </c>
      <c r="G2591" s="553" t="s">
        <v>487</v>
      </c>
      <c r="H2591" s="553">
        <v>1337.07</v>
      </c>
      <c r="I2591" s="553">
        <v>84</v>
      </c>
      <c r="J2591" s="553">
        <v>35</v>
      </c>
      <c r="K2591" s="553">
        <v>37</v>
      </c>
      <c r="L2591" s="553">
        <v>4</v>
      </c>
      <c r="M2591" s="554" t="s">
        <v>312</v>
      </c>
      <c r="N2591" s="500">
        <v>43047562260000</v>
      </c>
      <c r="O2591" s="553" t="s">
        <v>3284</v>
      </c>
      <c r="P2591" s="650" t="s">
        <v>3297</v>
      </c>
      <c r="Q2591" s="564"/>
      <c r="R2591" s="564">
        <v>2</v>
      </c>
    </row>
    <row r="2592" spans="1:18" ht="15" customHeight="1" x14ac:dyDescent="0.25">
      <c r="A2592" s="508">
        <v>26</v>
      </c>
      <c r="B2592" s="508">
        <v>7</v>
      </c>
      <c r="C2592" s="508">
        <v>2</v>
      </c>
      <c r="D2592" s="508">
        <v>20</v>
      </c>
      <c r="E2592" s="508">
        <v>1</v>
      </c>
      <c r="F2592" s="508">
        <v>1</v>
      </c>
      <c r="G2592" s="509" t="s">
        <v>489</v>
      </c>
      <c r="H2592" s="508">
        <v>1434.84</v>
      </c>
      <c r="I2592" s="508">
        <v>89</v>
      </c>
      <c r="J2592" s="508">
        <v>42</v>
      </c>
      <c r="K2592" s="508">
        <v>21</v>
      </c>
      <c r="L2592" s="508">
        <v>3</v>
      </c>
      <c r="M2592" s="557" t="s">
        <v>312</v>
      </c>
      <c r="N2592" s="510">
        <v>43047562260000</v>
      </c>
      <c r="O2592" s="553" t="s">
        <v>3284</v>
      </c>
      <c r="P2592" s="650" t="s">
        <v>3298</v>
      </c>
      <c r="Q2592" s="564"/>
      <c r="R2592" s="564">
        <v>2</v>
      </c>
    </row>
    <row r="2593" spans="1:18" ht="15" customHeight="1" x14ac:dyDescent="0.25">
      <c r="A2593" s="508">
        <v>26</v>
      </c>
      <c r="B2593" s="508">
        <v>7</v>
      </c>
      <c r="C2593" s="508">
        <v>2</v>
      </c>
      <c r="D2593" s="508">
        <v>20</v>
      </c>
      <c r="E2593" s="508">
        <v>1</v>
      </c>
      <c r="F2593" s="508">
        <v>1</v>
      </c>
      <c r="G2593" s="508" t="s">
        <v>491</v>
      </c>
      <c r="H2593" s="508">
        <v>1332.155</v>
      </c>
      <c r="I2593" s="508">
        <v>82</v>
      </c>
      <c r="J2593" s="508">
        <v>49</v>
      </c>
      <c r="K2593" s="508">
        <v>32</v>
      </c>
      <c r="L2593" s="508">
        <v>3</v>
      </c>
      <c r="M2593" s="557" t="s">
        <v>312</v>
      </c>
      <c r="N2593" s="510">
        <v>43047562260000</v>
      </c>
      <c r="O2593" s="553" t="s">
        <v>3284</v>
      </c>
      <c r="P2593" s="650" t="s">
        <v>3299</v>
      </c>
      <c r="Q2593" s="564"/>
      <c r="R2593" s="564">
        <v>2</v>
      </c>
    </row>
    <row r="2594" spans="1:18" ht="15" customHeight="1" x14ac:dyDescent="0.25">
      <c r="A2594" s="508">
        <v>26</v>
      </c>
      <c r="B2594" s="508">
        <v>7</v>
      </c>
      <c r="C2594" s="508">
        <v>2</v>
      </c>
      <c r="D2594" s="508">
        <v>20</v>
      </c>
      <c r="E2594" s="508">
        <v>1</v>
      </c>
      <c r="F2594" s="508">
        <v>1</v>
      </c>
      <c r="G2594" s="508" t="s">
        <v>494</v>
      </c>
      <c r="H2594" s="508">
        <v>1332.155</v>
      </c>
      <c r="I2594" s="508">
        <v>82</v>
      </c>
      <c r="J2594" s="508">
        <v>49</v>
      </c>
      <c r="K2594" s="508">
        <v>32</v>
      </c>
      <c r="L2594" s="508">
        <v>3</v>
      </c>
      <c r="M2594" s="557" t="s">
        <v>312</v>
      </c>
      <c r="N2594" s="510">
        <v>43047562260000</v>
      </c>
      <c r="O2594" s="553" t="s">
        <v>3284</v>
      </c>
      <c r="P2594" s="650" t="s">
        <v>3300</v>
      </c>
      <c r="Q2594" s="564"/>
      <c r="R2594" s="564">
        <v>2</v>
      </c>
    </row>
    <row r="2595" spans="1:18" ht="15" customHeight="1" x14ac:dyDescent="0.25">
      <c r="A2595" s="508">
        <v>26</v>
      </c>
      <c r="B2595" s="508">
        <v>8</v>
      </c>
      <c r="C2595" s="508">
        <v>2</v>
      </c>
      <c r="D2595" s="508">
        <v>22</v>
      </c>
      <c r="E2595" s="508">
        <v>1</v>
      </c>
      <c r="F2595" s="508">
        <v>1</v>
      </c>
      <c r="G2595" s="508" t="s">
        <v>473</v>
      </c>
      <c r="H2595" s="508">
        <v>1321.2249999999999</v>
      </c>
      <c r="I2595" s="508">
        <v>1</v>
      </c>
      <c r="J2595" s="508">
        <v>48</v>
      </c>
      <c r="K2595" s="508">
        <v>57</v>
      </c>
      <c r="L2595" s="508">
        <v>4</v>
      </c>
      <c r="M2595" s="557" t="s">
        <v>137</v>
      </c>
      <c r="N2595" s="510"/>
      <c r="O2595" s="553"/>
      <c r="P2595" s="650" t="s">
        <v>3301</v>
      </c>
      <c r="Q2595" s="564"/>
      <c r="R2595" s="564">
        <v>1</v>
      </c>
    </row>
    <row r="2596" spans="1:18" ht="15" customHeight="1" x14ac:dyDescent="0.25">
      <c r="A2596" s="508">
        <v>26</v>
      </c>
      <c r="B2596" s="508">
        <v>8</v>
      </c>
      <c r="C2596" s="508">
        <v>2</v>
      </c>
      <c r="D2596" s="508">
        <v>22</v>
      </c>
      <c r="E2596" s="508">
        <v>1</v>
      </c>
      <c r="F2596" s="508">
        <v>1</v>
      </c>
      <c r="G2596" s="509" t="s">
        <v>476</v>
      </c>
      <c r="H2596" s="508">
        <v>1321.2249999999999</v>
      </c>
      <c r="I2596" s="508">
        <v>1</v>
      </c>
      <c r="J2596" s="508">
        <v>48</v>
      </c>
      <c r="K2596" s="508">
        <v>57</v>
      </c>
      <c r="L2596" s="508">
        <v>4</v>
      </c>
      <c r="M2596" s="557" t="s">
        <v>137</v>
      </c>
      <c r="N2596" s="510"/>
      <c r="O2596" s="553"/>
      <c r="P2596" s="650" t="s">
        <v>3302</v>
      </c>
      <c r="Q2596" s="564"/>
      <c r="R2596" s="564">
        <v>1</v>
      </c>
    </row>
    <row r="2597" spans="1:18" ht="15" customHeight="1" x14ac:dyDescent="0.25">
      <c r="A2597" s="508">
        <v>26</v>
      </c>
      <c r="B2597" s="508">
        <v>8</v>
      </c>
      <c r="C2597" s="508">
        <v>2</v>
      </c>
      <c r="D2597" s="508">
        <v>22</v>
      </c>
      <c r="E2597" s="508">
        <v>1</v>
      </c>
      <c r="F2597" s="508">
        <v>1</v>
      </c>
      <c r="G2597" s="508" t="s">
        <v>478</v>
      </c>
      <c r="H2597" s="508">
        <v>1321.45</v>
      </c>
      <c r="I2597" s="508">
        <v>1</v>
      </c>
      <c r="J2597" s="508">
        <v>51</v>
      </c>
      <c r="K2597" s="508">
        <v>4</v>
      </c>
      <c r="L2597" s="508">
        <v>4</v>
      </c>
      <c r="M2597" s="557" t="s">
        <v>137</v>
      </c>
      <c r="N2597" s="510"/>
      <c r="O2597" s="553"/>
      <c r="P2597" s="650" t="s">
        <v>3303</v>
      </c>
      <c r="Q2597" s="564"/>
      <c r="R2597" s="564">
        <v>1</v>
      </c>
    </row>
    <row r="2598" spans="1:18" ht="15" customHeight="1" x14ac:dyDescent="0.25">
      <c r="A2598" s="508">
        <v>26</v>
      </c>
      <c r="B2598" s="508">
        <v>8</v>
      </c>
      <c r="C2598" s="508">
        <v>2</v>
      </c>
      <c r="D2598" s="508">
        <v>22</v>
      </c>
      <c r="E2598" s="508">
        <v>1</v>
      </c>
      <c r="F2598" s="508">
        <v>1</v>
      </c>
      <c r="G2598" s="508" t="s">
        <v>484</v>
      </c>
      <c r="H2598" s="508">
        <v>1321.45</v>
      </c>
      <c r="I2598" s="508">
        <v>1</v>
      </c>
      <c r="J2598" s="508">
        <v>51</v>
      </c>
      <c r="K2598" s="508">
        <v>4</v>
      </c>
      <c r="L2598" s="508">
        <v>4</v>
      </c>
      <c r="M2598" s="557" t="s">
        <v>137</v>
      </c>
      <c r="N2598" s="510"/>
      <c r="O2598" s="553"/>
      <c r="P2598" s="650" t="s">
        <v>3304</v>
      </c>
      <c r="Q2598" s="564"/>
      <c r="R2598" s="564">
        <v>1</v>
      </c>
    </row>
    <row r="2599" spans="1:18" ht="15" customHeight="1" x14ac:dyDescent="0.25">
      <c r="A2599" s="508">
        <v>26</v>
      </c>
      <c r="B2599" s="508">
        <v>8</v>
      </c>
      <c r="C2599" s="508">
        <v>2</v>
      </c>
      <c r="D2599" s="508">
        <v>22</v>
      </c>
      <c r="E2599" s="508">
        <v>1</v>
      </c>
      <c r="F2599" s="508">
        <v>1</v>
      </c>
      <c r="G2599" s="508" t="s">
        <v>486</v>
      </c>
      <c r="H2599" s="508">
        <v>1315.325</v>
      </c>
      <c r="I2599" s="508">
        <v>0</v>
      </c>
      <c r="J2599" s="508">
        <v>4</v>
      </c>
      <c r="K2599" s="508">
        <v>47</v>
      </c>
      <c r="L2599" s="508">
        <v>4</v>
      </c>
      <c r="M2599" s="557" t="s">
        <v>137</v>
      </c>
      <c r="N2599" s="510"/>
      <c r="O2599" s="553"/>
      <c r="P2599" s="650" t="s">
        <v>3305</v>
      </c>
      <c r="Q2599" s="564"/>
      <c r="R2599" s="564">
        <v>1</v>
      </c>
    </row>
    <row r="2600" spans="1:18" ht="15" customHeight="1" x14ac:dyDescent="0.25">
      <c r="A2600" s="508">
        <v>26</v>
      </c>
      <c r="B2600" s="508">
        <v>8</v>
      </c>
      <c r="C2600" s="508">
        <v>2</v>
      </c>
      <c r="D2600" s="508">
        <v>22</v>
      </c>
      <c r="E2600" s="508">
        <v>1</v>
      </c>
      <c r="F2600" s="508">
        <v>1</v>
      </c>
      <c r="G2600" s="509" t="s">
        <v>488</v>
      </c>
      <c r="H2600" s="508">
        <v>1315.325</v>
      </c>
      <c r="I2600" s="508">
        <v>0</v>
      </c>
      <c r="J2600" s="508">
        <v>4</v>
      </c>
      <c r="K2600" s="508">
        <v>47</v>
      </c>
      <c r="L2600" s="508">
        <v>4</v>
      </c>
      <c r="M2600" s="557" t="s">
        <v>137</v>
      </c>
      <c r="N2600" s="510"/>
      <c r="O2600" s="553"/>
      <c r="P2600" s="650" t="s">
        <v>3306</v>
      </c>
      <c r="Q2600" s="564"/>
      <c r="R2600" s="564">
        <v>1</v>
      </c>
    </row>
    <row r="2601" spans="1:18" ht="15" customHeight="1" x14ac:dyDescent="0.25">
      <c r="A2601" s="508">
        <v>26</v>
      </c>
      <c r="B2601" s="508">
        <v>8</v>
      </c>
      <c r="C2601" s="508">
        <v>2</v>
      </c>
      <c r="D2601" s="508">
        <v>22</v>
      </c>
      <c r="E2601" s="508">
        <v>1</v>
      </c>
      <c r="F2601" s="508">
        <v>1</v>
      </c>
      <c r="G2601" s="508" t="s">
        <v>490</v>
      </c>
      <c r="H2601" s="508">
        <v>1314.48</v>
      </c>
      <c r="I2601" s="508">
        <v>0</v>
      </c>
      <c r="J2601" s="508">
        <v>39</v>
      </c>
      <c r="K2601" s="508">
        <v>58</v>
      </c>
      <c r="L2601" s="508">
        <v>4</v>
      </c>
      <c r="M2601" s="557" t="s">
        <v>137</v>
      </c>
      <c r="N2601" s="510"/>
      <c r="O2601" s="553"/>
      <c r="P2601" s="650" t="s">
        <v>3307</v>
      </c>
      <c r="Q2601" s="564"/>
      <c r="R2601" s="564">
        <v>1</v>
      </c>
    </row>
    <row r="2602" spans="1:18" ht="15" customHeight="1" x14ac:dyDescent="0.25">
      <c r="A2602" s="508">
        <v>26</v>
      </c>
      <c r="B2602" s="508">
        <v>8</v>
      </c>
      <c r="C2602" s="508">
        <v>2</v>
      </c>
      <c r="D2602" s="508">
        <v>22</v>
      </c>
      <c r="E2602" s="508">
        <v>1</v>
      </c>
      <c r="F2602" s="508">
        <v>1</v>
      </c>
      <c r="G2602" s="508" t="s">
        <v>493</v>
      </c>
      <c r="H2602" s="508">
        <v>1314.48</v>
      </c>
      <c r="I2602" s="508">
        <v>0</v>
      </c>
      <c r="J2602" s="508">
        <v>39</v>
      </c>
      <c r="K2602" s="508">
        <v>58</v>
      </c>
      <c r="L2602" s="508">
        <v>4</v>
      </c>
      <c r="M2602" s="557" t="s">
        <v>137</v>
      </c>
      <c r="N2602" s="510"/>
      <c r="O2602" s="553"/>
      <c r="P2602" s="650" t="s">
        <v>3308</v>
      </c>
      <c r="Q2602" s="564"/>
      <c r="R2602" s="564">
        <v>1</v>
      </c>
    </row>
    <row r="2603" spans="1:18" ht="15" customHeight="1" x14ac:dyDescent="0.25">
      <c r="A2603" s="508">
        <v>26</v>
      </c>
      <c r="B2603" s="508">
        <v>8</v>
      </c>
      <c r="C2603" s="508">
        <v>2</v>
      </c>
      <c r="D2603" s="508">
        <v>22</v>
      </c>
      <c r="E2603" s="508">
        <v>1</v>
      </c>
      <c r="F2603" s="508">
        <v>1</v>
      </c>
      <c r="G2603" s="508" t="s">
        <v>474</v>
      </c>
      <c r="H2603" s="508">
        <v>1347.42</v>
      </c>
      <c r="I2603" s="508">
        <v>89</v>
      </c>
      <c r="J2603" s="508">
        <v>18</v>
      </c>
      <c r="K2603" s="508">
        <v>40</v>
      </c>
      <c r="L2603" s="508">
        <v>0</v>
      </c>
      <c r="M2603" s="557" t="s">
        <v>137</v>
      </c>
      <c r="N2603" s="510"/>
      <c r="O2603" s="553"/>
      <c r="P2603" s="650" t="s">
        <v>3309</v>
      </c>
      <c r="Q2603" s="564"/>
      <c r="R2603" s="564">
        <v>1</v>
      </c>
    </row>
    <row r="2604" spans="1:18" ht="15" customHeight="1" x14ac:dyDescent="0.25">
      <c r="A2604" s="508">
        <v>26</v>
      </c>
      <c r="B2604" s="508">
        <v>8</v>
      </c>
      <c r="C2604" s="508">
        <v>2</v>
      </c>
      <c r="D2604" s="508">
        <v>22</v>
      </c>
      <c r="E2604" s="508">
        <v>1</v>
      </c>
      <c r="F2604" s="508">
        <v>1</v>
      </c>
      <c r="G2604" s="509" t="s">
        <v>477</v>
      </c>
      <c r="H2604" s="508">
        <v>1347.42</v>
      </c>
      <c r="I2604" s="508">
        <v>89</v>
      </c>
      <c r="J2604" s="508">
        <v>18</v>
      </c>
      <c r="K2604" s="508">
        <v>40</v>
      </c>
      <c r="L2604" s="508">
        <v>0</v>
      </c>
      <c r="M2604" s="557" t="s">
        <v>137</v>
      </c>
      <c r="N2604" s="510"/>
      <c r="O2604" s="553"/>
      <c r="P2604" s="650" t="s">
        <v>3310</v>
      </c>
      <c r="Q2604" s="564"/>
      <c r="R2604" s="564">
        <v>1</v>
      </c>
    </row>
    <row r="2605" spans="1:18" ht="15" customHeight="1" x14ac:dyDescent="0.25">
      <c r="A2605" s="508">
        <v>26</v>
      </c>
      <c r="B2605" s="508">
        <v>8</v>
      </c>
      <c r="C2605" s="508">
        <v>2</v>
      </c>
      <c r="D2605" s="508">
        <v>22</v>
      </c>
      <c r="E2605" s="508">
        <v>1</v>
      </c>
      <c r="F2605" s="508">
        <v>1</v>
      </c>
      <c r="G2605" s="508" t="s">
        <v>479</v>
      </c>
      <c r="H2605" s="508">
        <v>1347.42</v>
      </c>
      <c r="I2605" s="508">
        <v>89</v>
      </c>
      <c r="J2605" s="508">
        <v>18</v>
      </c>
      <c r="K2605" s="508">
        <v>40</v>
      </c>
      <c r="L2605" s="508">
        <v>0</v>
      </c>
      <c r="M2605" s="557" t="s">
        <v>137</v>
      </c>
      <c r="N2605" s="510"/>
      <c r="O2605" s="553"/>
      <c r="P2605" s="650" t="s">
        <v>3311</v>
      </c>
      <c r="Q2605" s="564"/>
      <c r="R2605" s="564">
        <v>1</v>
      </c>
    </row>
    <row r="2606" spans="1:18" ht="15" customHeight="1" x14ac:dyDescent="0.25">
      <c r="A2606" s="508">
        <v>26</v>
      </c>
      <c r="B2606" s="508">
        <v>8</v>
      </c>
      <c r="C2606" s="508">
        <v>2</v>
      </c>
      <c r="D2606" s="508">
        <v>22</v>
      </c>
      <c r="E2606" s="508">
        <v>1</v>
      </c>
      <c r="F2606" s="508">
        <v>1</v>
      </c>
      <c r="G2606" s="508" t="s">
        <v>485</v>
      </c>
      <c r="H2606" s="508">
        <v>1347.42</v>
      </c>
      <c r="I2606" s="508">
        <v>89</v>
      </c>
      <c r="J2606" s="508">
        <v>18</v>
      </c>
      <c r="K2606" s="508">
        <v>40</v>
      </c>
      <c r="L2606" s="508">
        <v>0</v>
      </c>
      <c r="M2606" s="557" t="s">
        <v>137</v>
      </c>
      <c r="N2606" s="510"/>
      <c r="O2606" s="553"/>
      <c r="P2606" s="650" t="s">
        <v>3312</v>
      </c>
      <c r="Q2606" s="564"/>
      <c r="R2606" s="564">
        <v>1</v>
      </c>
    </row>
    <row r="2607" spans="1:18" ht="15" customHeight="1" x14ac:dyDescent="0.25">
      <c r="A2607" s="508">
        <v>26</v>
      </c>
      <c r="B2607" s="508">
        <v>8</v>
      </c>
      <c r="C2607" s="508">
        <v>2</v>
      </c>
      <c r="D2607" s="508">
        <v>22</v>
      </c>
      <c r="E2607" s="508">
        <v>1</v>
      </c>
      <c r="F2607" s="508">
        <v>1</v>
      </c>
      <c r="G2607" s="508" t="s">
        <v>487</v>
      </c>
      <c r="H2607" s="508">
        <v>1321.0350000000001</v>
      </c>
      <c r="I2607" s="508">
        <v>89</v>
      </c>
      <c r="J2607" s="508">
        <v>33</v>
      </c>
      <c r="K2607" s="508">
        <v>30</v>
      </c>
      <c r="L2607" s="508">
        <v>4</v>
      </c>
      <c r="M2607" s="557" t="s">
        <v>137</v>
      </c>
      <c r="N2607" s="510"/>
      <c r="O2607" s="553"/>
      <c r="P2607" s="650" t="s">
        <v>3313</v>
      </c>
      <c r="Q2607" s="564"/>
      <c r="R2607" s="564">
        <v>1</v>
      </c>
    </row>
    <row r="2608" spans="1:18" ht="15" customHeight="1" x14ac:dyDescent="0.25">
      <c r="A2608" s="553">
        <v>26</v>
      </c>
      <c r="B2608" s="553">
        <v>8</v>
      </c>
      <c r="C2608" s="553">
        <v>2</v>
      </c>
      <c r="D2608" s="553">
        <v>22</v>
      </c>
      <c r="E2608" s="553">
        <v>1</v>
      </c>
      <c r="F2608" s="553">
        <v>1</v>
      </c>
      <c r="G2608" s="502" t="s">
        <v>489</v>
      </c>
      <c r="H2608" s="553">
        <v>1321.0350000000001</v>
      </c>
      <c r="I2608" s="553">
        <v>89</v>
      </c>
      <c r="J2608" s="553">
        <v>33</v>
      </c>
      <c r="K2608" s="553">
        <v>30</v>
      </c>
      <c r="L2608" s="553">
        <v>4</v>
      </c>
      <c r="M2608" s="505" t="s">
        <v>137</v>
      </c>
      <c r="N2608" s="500"/>
      <c r="O2608" s="553"/>
      <c r="P2608" s="650" t="s">
        <v>3314</v>
      </c>
      <c r="Q2608" s="564"/>
      <c r="R2608" s="564">
        <v>1</v>
      </c>
    </row>
    <row r="2609" spans="1:18" ht="15" customHeight="1" x14ac:dyDescent="0.25">
      <c r="A2609" s="553">
        <v>26</v>
      </c>
      <c r="B2609" s="553">
        <v>8</v>
      </c>
      <c r="C2609" s="553">
        <v>2</v>
      </c>
      <c r="D2609" s="553">
        <v>22</v>
      </c>
      <c r="E2609" s="553">
        <v>1</v>
      </c>
      <c r="F2609" s="553">
        <v>1</v>
      </c>
      <c r="G2609" s="553" t="s">
        <v>491</v>
      </c>
      <c r="H2609" s="553">
        <v>1320.03</v>
      </c>
      <c r="I2609" s="553">
        <v>89</v>
      </c>
      <c r="J2609" s="553">
        <v>32</v>
      </c>
      <c r="K2609" s="553">
        <v>38</v>
      </c>
      <c r="L2609" s="553">
        <v>1</v>
      </c>
      <c r="M2609" s="505" t="s">
        <v>137</v>
      </c>
      <c r="N2609" s="500"/>
      <c r="O2609" s="553"/>
      <c r="P2609" s="650" t="s">
        <v>3315</v>
      </c>
      <c r="Q2609" s="564"/>
      <c r="R2609" s="564">
        <v>1</v>
      </c>
    </row>
    <row r="2610" spans="1:18" ht="15" customHeight="1" x14ac:dyDescent="0.25">
      <c r="A2610" s="553">
        <v>26</v>
      </c>
      <c r="B2610" s="553">
        <v>8</v>
      </c>
      <c r="C2610" s="553">
        <v>2</v>
      </c>
      <c r="D2610" s="553">
        <v>22</v>
      </c>
      <c r="E2610" s="553">
        <v>1</v>
      </c>
      <c r="F2610" s="553">
        <v>1</v>
      </c>
      <c r="G2610" s="553" t="s">
        <v>494</v>
      </c>
      <c r="H2610" s="553">
        <v>1320.03</v>
      </c>
      <c r="I2610" s="553">
        <v>89</v>
      </c>
      <c r="J2610" s="553">
        <v>32</v>
      </c>
      <c r="K2610" s="553">
        <v>38</v>
      </c>
      <c r="L2610" s="553">
        <v>1</v>
      </c>
      <c r="M2610" s="505" t="s">
        <v>137</v>
      </c>
      <c r="N2610" s="500"/>
      <c r="O2610" s="553"/>
      <c r="P2610" s="650" t="s">
        <v>3316</v>
      </c>
      <c r="Q2610" s="564"/>
      <c r="R2610" s="564">
        <v>1</v>
      </c>
    </row>
    <row r="2611" spans="1:18" ht="15" customHeight="1" x14ac:dyDescent="0.25">
      <c r="A2611" s="553">
        <v>26</v>
      </c>
      <c r="B2611" s="553">
        <v>2</v>
      </c>
      <c r="C2611" s="553">
        <v>2</v>
      </c>
      <c r="D2611" s="553">
        <v>3</v>
      </c>
      <c r="E2611" s="553">
        <v>2</v>
      </c>
      <c r="F2611" s="553">
        <v>2</v>
      </c>
      <c r="G2611" s="553" t="s">
        <v>473</v>
      </c>
      <c r="H2611" s="553">
        <v>1317.4</v>
      </c>
      <c r="I2611" s="553">
        <v>0</v>
      </c>
      <c r="J2611" s="553">
        <v>7</v>
      </c>
      <c r="K2611" s="553">
        <v>14</v>
      </c>
      <c r="L2611" s="553">
        <v>4</v>
      </c>
      <c r="M2611" s="505" t="s">
        <v>137</v>
      </c>
      <c r="N2611" s="652">
        <v>43013537770000</v>
      </c>
      <c r="O2611" s="553" t="s">
        <v>3200</v>
      </c>
      <c r="P2611" s="650" t="s">
        <v>3317</v>
      </c>
      <c r="Q2611" s="564"/>
      <c r="R2611" s="564">
        <v>2</v>
      </c>
    </row>
    <row r="2612" spans="1:18" ht="15" customHeight="1" x14ac:dyDescent="0.25">
      <c r="A2612" s="553">
        <v>26</v>
      </c>
      <c r="B2612" s="553">
        <v>2</v>
      </c>
      <c r="C2612" s="553">
        <v>2</v>
      </c>
      <c r="D2612" s="553">
        <v>3</v>
      </c>
      <c r="E2612" s="553">
        <v>2</v>
      </c>
      <c r="F2612" s="553">
        <v>2</v>
      </c>
      <c r="G2612" s="502" t="s">
        <v>476</v>
      </c>
      <c r="H2612" s="553">
        <v>1317.4</v>
      </c>
      <c r="I2612" s="553">
        <v>0</v>
      </c>
      <c r="J2612" s="553">
        <v>7</v>
      </c>
      <c r="K2612" s="553">
        <v>14</v>
      </c>
      <c r="L2612" s="553">
        <v>4</v>
      </c>
      <c r="M2612" s="505" t="s">
        <v>137</v>
      </c>
      <c r="N2612" s="652">
        <v>43013537770000</v>
      </c>
      <c r="O2612" s="553" t="s">
        <v>3200</v>
      </c>
      <c r="P2612" s="650" t="s">
        <v>3318</v>
      </c>
      <c r="Q2612" s="564"/>
      <c r="R2612" s="564">
        <v>2</v>
      </c>
    </row>
    <row r="2613" spans="1:18" ht="15" customHeight="1" x14ac:dyDescent="0.25">
      <c r="A2613" s="553">
        <v>26</v>
      </c>
      <c r="B2613" s="553">
        <v>2</v>
      </c>
      <c r="C2613" s="553">
        <v>2</v>
      </c>
      <c r="D2613" s="553">
        <v>3</v>
      </c>
      <c r="E2613" s="553">
        <v>2</v>
      </c>
      <c r="F2613" s="553">
        <v>2</v>
      </c>
      <c r="G2613" s="553" t="s">
        <v>478</v>
      </c>
      <c r="H2613" s="553">
        <v>1321.42</v>
      </c>
      <c r="I2613" s="553">
        <v>0</v>
      </c>
      <c r="J2613" s="553">
        <v>12</v>
      </c>
      <c r="K2613" s="553">
        <v>36</v>
      </c>
      <c r="L2613" s="553">
        <v>4</v>
      </c>
      <c r="M2613" s="505" t="s">
        <v>137</v>
      </c>
      <c r="N2613" s="652">
        <v>43013537770000</v>
      </c>
      <c r="O2613" s="553" t="s">
        <v>3200</v>
      </c>
      <c r="P2613" s="650" t="s">
        <v>3319</v>
      </c>
      <c r="Q2613" s="564"/>
      <c r="R2613" s="564">
        <v>2</v>
      </c>
    </row>
    <row r="2614" spans="1:18" ht="15" customHeight="1" x14ac:dyDescent="0.25">
      <c r="A2614" s="553">
        <v>26</v>
      </c>
      <c r="B2614" s="553">
        <v>2</v>
      </c>
      <c r="C2614" s="553">
        <v>2</v>
      </c>
      <c r="D2614" s="553">
        <v>3</v>
      </c>
      <c r="E2614" s="553">
        <v>2</v>
      </c>
      <c r="F2614" s="553">
        <v>2</v>
      </c>
      <c r="G2614" s="553" t="s">
        <v>484</v>
      </c>
      <c r="H2614" s="553">
        <v>1301.33</v>
      </c>
      <c r="I2614" s="553">
        <v>0</v>
      </c>
      <c r="J2614" s="553">
        <v>16</v>
      </c>
      <c r="K2614" s="553">
        <v>28</v>
      </c>
      <c r="L2614" s="553">
        <v>4</v>
      </c>
      <c r="M2614" s="505" t="s">
        <v>137</v>
      </c>
      <c r="N2614" s="652">
        <v>43013537770000</v>
      </c>
      <c r="O2614" s="553" t="s">
        <v>3200</v>
      </c>
      <c r="P2614" s="650" t="s">
        <v>3320</v>
      </c>
      <c r="Q2614" s="564"/>
      <c r="R2614" s="564">
        <v>2</v>
      </c>
    </row>
    <row r="2615" spans="1:18" ht="15" customHeight="1" x14ac:dyDescent="0.25">
      <c r="A2615" s="553">
        <v>26</v>
      </c>
      <c r="B2615" s="553">
        <v>2</v>
      </c>
      <c r="C2615" s="553">
        <v>2</v>
      </c>
      <c r="D2615" s="553">
        <v>3</v>
      </c>
      <c r="E2615" s="553">
        <v>2</v>
      </c>
      <c r="F2615" s="553">
        <v>2</v>
      </c>
      <c r="G2615" s="553" t="s">
        <v>486</v>
      </c>
      <c r="H2615" s="553">
        <v>1271.5899999999999</v>
      </c>
      <c r="I2615" s="553">
        <v>0</v>
      </c>
      <c r="J2615" s="553">
        <v>0</v>
      </c>
      <c r="K2615" s="553">
        <v>55</v>
      </c>
      <c r="L2615" s="553">
        <v>2</v>
      </c>
      <c r="M2615" s="505" t="s">
        <v>137</v>
      </c>
      <c r="N2615" s="652">
        <v>43013537770000</v>
      </c>
      <c r="O2615" s="553" t="s">
        <v>3200</v>
      </c>
      <c r="P2615" s="650" t="s">
        <v>3321</v>
      </c>
      <c r="Q2615" s="564"/>
      <c r="R2615" s="564">
        <v>2</v>
      </c>
    </row>
    <row r="2616" spans="1:18" ht="15" customHeight="1" x14ac:dyDescent="0.25">
      <c r="A2616" s="553">
        <v>26</v>
      </c>
      <c r="B2616" s="553">
        <v>2</v>
      </c>
      <c r="C2616" s="553">
        <v>2</v>
      </c>
      <c r="D2616" s="553">
        <v>3</v>
      </c>
      <c r="E2616" s="553">
        <v>2</v>
      </c>
      <c r="F2616" s="553">
        <v>2</v>
      </c>
      <c r="G2616" s="502" t="s">
        <v>488</v>
      </c>
      <c r="H2616" s="553">
        <v>1271.5899999999999</v>
      </c>
      <c r="I2616" s="553">
        <v>0</v>
      </c>
      <c r="J2616" s="553">
        <v>0</v>
      </c>
      <c r="K2616" s="553">
        <v>55</v>
      </c>
      <c r="L2616" s="553">
        <v>2</v>
      </c>
      <c r="M2616" s="505" t="s">
        <v>137</v>
      </c>
      <c r="N2616" s="652">
        <v>43013537770000</v>
      </c>
      <c r="O2616" s="553" t="s">
        <v>3200</v>
      </c>
      <c r="P2616" s="650" t="s">
        <v>3322</v>
      </c>
      <c r="Q2616" s="564"/>
      <c r="R2616" s="564">
        <v>2</v>
      </c>
    </row>
    <row r="2617" spans="1:18" ht="15" customHeight="1" x14ac:dyDescent="0.25">
      <c r="A2617" s="553">
        <v>26</v>
      </c>
      <c r="B2617" s="553">
        <v>2</v>
      </c>
      <c r="C2617" s="553">
        <v>2</v>
      </c>
      <c r="D2617" s="553">
        <v>3</v>
      </c>
      <c r="E2617" s="553">
        <v>2</v>
      </c>
      <c r="F2617" s="553">
        <v>2</v>
      </c>
      <c r="G2617" s="553" t="s">
        <v>490</v>
      </c>
      <c r="H2617" s="553">
        <v>1334.93</v>
      </c>
      <c r="I2617" s="553">
        <v>0</v>
      </c>
      <c r="J2617" s="553">
        <v>15</v>
      </c>
      <c r="K2617" s="553">
        <v>44</v>
      </c>
      <c r="L2617" s="553">
        <v>4</v>
      </c>
      <c r="M2617" s="505" t="s">
        <v>137</v>
      </c>
      <c r="N2617" s="652">
        <v>43013537770000</v>
      </c>
      <c r="O2617" s="553" t="s">
        <v>3200</v>
      </c>
      <c r="P2617" s="650" t="s">
        <v>3323</v>
      </c>
      <c r="Q2617" s="564"/>
      <c r="R2617" s="564">
        <v>2</v>
      </c>
    </row>
    <row r="2618" spans="1:18" ht="15" customHeight="1" x14ac:dyDescent="0.25">
      <c r="A2618" s="553">
        <v>26</v>
      </c>
      <c r="B2618" s="553">
        <v>2</v>
      </c>
      <c r="C2618" s="553">
        <v>2</v>
      </c>
      <c r="D2618" s="553">
        <v>3</v>
      </c>
      <c r="E2618" s="553">
        <v>2</v>
      </c>
      <c r="F2618" s="553">
        <v>2</v>
      </c>
      <c r="G2618" s="553" t="s">
        <v>493</v>
      </c>
      <c r="H2618" s="553">
        <v>1321.74</v>
      </c>
      <c r="I2618" s="553">
        <v>0</v>
      </c>
      <c r="J2618" s="553">
        <v>15</v>
      </c>
      <c r="K2618" s="553">
        <v>12</v>
      </c>
      <c r="L2618" s="553">
        <v>4</v>
      </c>
      <c r="M2618" s="505" t="s">
        <v>137</v>
      </c>
      <c r="N2618" s="652">
        <v>43013537770000</v>
      </c>
      <c r="O2618" s="553" t="s">
        <v>3200</v>
      </c>
      <c r="P2618" s="650" t="s">
        <v>3324</v>
      </c>
      <c r="Q2618" s="564"/>
      <c r="R2618" s="564">
        <v>2</v>
      </c>
    </row>
    <row r="2619" spans="1:18" ht="15" customHeight="1" x14ac:dyDescent="0.25">
      <c r="A2619" s="553">
        <v>26</v>
      </c>
      <c r="B2619" s="553">
        <v>2</v>
      </c>
      <c r="C2619" s="553">
        <v>2</v>
      </c>
      <c r="D2619" s="553">
        <v>3</v>
      </c>
      <c r="E2619" s="553">
        <v>2</v>
      </c>
      <c r="F2619" s="553">
        <v>2</v>
      </c>
      <c r="G2619" s="553" t="s">
        <v>474</v>
      </c>
      <c r="H2619" s="553">
        <v>1321.9749999999999</v>
      </c>
      <c r="I2619" s="553">
        <v>89</v>
      </c>
      <c r="J2619" s="553">
        <v>30</v>
      </c>
      <c r="K2619" s="553">
        <v>42</v>
      </c>
      <c r="L2619" s="553">
        <v>4</v>
      </c>
      <c r="M2619" s="505" t="s">
        <v>137</v>
      </c>
      <c r="N2619" s="652">
        <v>43013537770000</v>
      </c>
      <c r="O2619" s="553" t="s">
        <v>3200</v>
      </c>
      <c r="P2619" s="650" t="s">
        <v>3325</v>
      </c>
      <c r="Q2619" s="564"/>
      <c r="R2619" s="564">
        <v>2</v>
      </c>
    </row>
    <row r="2620" spans="1:18" ht="15" customHeight="1" x14ac:dyDescent="0.25">
      <c r="A2620" s="553">
        <v>26</v>
      </c>
      <c r="B2620" s="553">
        <v>2</v>
      </c>
      <c r="C2620" s="553">
        <v>2</v>
      </c>
      <c r="D2620" s="553">
        <v>3</v>
      </c>
      <c r="E2620" s="553">
        <v>2</v>
      </c>
      <c r="F2620" s="553">
        <v>2</v>
      </c>
      <c r="G2620" s="502" t="s">
        <v>477</v>
      </c>
      <c r="H2620" s="553">
        <v>1321.9749999999999</v>
      </c>
      <c r="I2620" s="553">
        <v>89</v>
      </c>
      <c r="J2620" s="553">
        <v>30</v>
      </c>
      <c r="K2620" s="553">
        <v>42</v>
      </c>
      <c r="L2620" s="553">
        <v>4</v>
      </c>
      <c r="M2620" s="505" t="s">
        <v>137</v>
      </c>
      <c r="N2620" s="652">
        <v>43013537770000</v>
      </c>
      <c r="O2620" s="553" t="s">
        <v>3200</v>
      </c>
      <c r="P2620" s="650" t="s">
        <v>3326</v>
      </c>
      <c r="Q2620" s="564"/>
      <c r="R2620" s="564">
        <v>2</v>
      </c>
    </row>
    <row r="2621" spans="1:18" ht="15" customHeight="1" x14ac:dyDescent="0.25">
      <c r="A2621" s="553">
        <v>26</v>
      </c>
      <c r="B2621" s="553">
        <v>2</v>
      </c>
      <c r="C2621" s="553">
        <v>2</v>
      </c>
      <c r="D2621" s="553">
        <v>3</v>
      </c>
      <c r="E2621" s="553">
        <v>2</v>
      </c>
      <c r="F2621" s="553">
        <v>2</v>
      </c>
      <c r="G2621" s="553" t="s">
        <v>479</v>
      </c>
      <c r="H2621" s="553">
        <v>1322.115</v>
      </c>
      <c r="I2621" s="553">
        <v>89</v>
      </c>
      <c r="J2621" s="553">
        <v>30</v>
      </c>
      <c r="K2621" s="553">
        <v>34</v>
      </c>
      <c r="L2621" s="553">
        <v>4</v>
      </c>
      <c r="M2621" s="505" t="s">
        <v>137</v>
      </c>
      <c r="N2621" s="652">
        <v>43013537770000</v>
      </c>
      <c r="O2621" s="553" t="s">
        <v>3200</v>
      </c>
      <c r="P2621" s="650" t="s">
        <v>3327</v>
      </c>
      <c r="Q2621" s="564"/>
      <c r="R2621" s="564">
        <v>2</v>
      </c>
    </row>
    <row r="2622" spans="1:18" ht="15" customHeight="1" x14ac:dyDescent="0.25">
      <c r="A2622" s="553">
        <v>26</v>
      </c>
      <c r="B2622" s="553">
        <v>2</v>
      </c>
      <c r="C2622" s="553">
        <v>2</v>
      </c>
      <c r="D2622" s="553">
        <v>3</v>
      </c>
      <c r="E2622" s="553">
        <v>2</v>
      </c>
      <c r="F2622" s="553">
        <v>2</v>
      </c>
      <c r="G2622" s="553" t="s">
        <v>485</v>
      </c>
      <c r="H2622" s="553">
        <v>1322.115</v>
      </c>
      <c r="I2622" s="553">
        <v>89</v>
      </c>
      <c r="J2622" s="553">
        <v>30</v>
      </c>
      <c r="K2622" s="553">
        <v>34</v>
      </c>
      <c r="L2622" s="553">
        <v>4</v>
      </c>
      <c r="M2622" s="505" t="s">
        <v>137</v>
      </c>
      <c r="N2622" s="652">
        <v>43013537770000</v>
      </c>
      <c r="O2622" s="553" t="s">
        <v>3200</v>
      </c>
      <c r="P2622" s="650" t="s">
        <v>3328</v>
      </c>
      <c r="Q2622" s="564"/>
      <c r="R2622" s="564">
        <v>2</v>
      </c>
    </row>
    <row r="2623" spans="1:18" ht="15" customHeight="1" x14ac:dyDescent="0.25">
      <c r="A2623" s="553">
        <v>26</v>
      </c>
      <c r="B2623" s="553">
        <v>2</v>
      </c>
      <c r="C2623" s="553">
        <v>2</v>
      </c>
      <c r="D2623" s="553">
        <v>3</v>
      </c>
      <c r="E2623" s="553">
        <v>2</v>
      </c>
      <c r="F2623" s="553">
        <v>2</v>
      </c>
      <c r="G2623" s="553" t="s">
        <v>487</v>
      </c>
      <c r="H2623" s="553">
        <v>1317.43</v>
      </c>
      <c r="I2623" s="553">
        <v>89</v>
      </c>
      <c r="J2623" s="553">
        <v>51</v>
      </c>
      <c r="K2623" s="553">
        <v>57</v>
      </c>
      <c r="L2623" s="553">
        <v>2</v>
      </c>
      <c r="M2623" s="505" t="s">
        <v>137</v>
      </c>
      <c r="N2623" s="652">
        <v>43013537770000</v>
      </c>
      <c r="O2623" s="553" t="s">
        <v>3200</v>
      </c>
      <c r="P2623" s="650" t="s">
        <v>3329</v>
      </c>
      <c r="Q2623" s="564"/>
      <c r="R2623" s="564">
        <v>2</v>
      </c>
    </row>
    <row r="2624" spans="1:18" ht="15" customHeight="1" x14ac:dyDescent="0.25">
      <c r="A2624" s="553">
        <v>26</v>
      </c>
      <c r="B2624" s="553">
        <v>2</v>
      </c>
      <c r="C2624" s="553">
        <v>2</v>
      </c>
      <c r="D2624" s="553">
        <v>3</v>
      </c>
      <c r="E2624" s="553">
        <v>2</v>
      </c>
      <c r="F2624" s="553">
        <v>2</v>
      </c>
      <c r="G2624" s="502" t="s">
        <v>489</v>
      </c>
      <c r="H2624" s="553">
        <v>1317.43</v>
      </c>
      <c r="I2624" s="553">
        <v>89</v>
      </c>
      <c r="J2624" s="553">
        <v>51</v>
      </c>
      <c r="K2624" s="553">
        <v>57</v>
      </c>
      <c r="L2624" s="553">
        <v>2</v>
      </c>
      <c r="M2624" s="505" t="s">
        <v>137</v>
      </c>
      <c r="N2624" s="652">
        <v>43013537770000</v>
      </c>
      <c r="O2624" s="553" t="s">
        <v>3200</v>
      </c>
      <c r="P2624" s="650" t="s">
        <v>3330</v>
      </c>
      <c r="Q2624" s="564"/>
      <c r="R2624" s="564">
        <v>2</v>
      </c>
    </row>
    <row r="2625" spans="1:18" ht="15" customHeight="1" x14ac:dyDescent="0.25">
      <c r="A2625" s="553">
        <v>26</v>
      </c>
      <c r="B2625" s="553">
        <v>2</v>
      </c>
      <c r="C2625" s="553">
        <v>2</v>
      </c>
      <c r="D2625" s="553">
        <v>3</v>
      </c>
      <c r="E2625" s="553">
        <v>2</v>
      </c>
      <c r="F2625" s="553">
        <v>2</v>
      </c>
      <c r="G2625" s="553" t="s">
        <v>491</v>
      </c>
      <c r="H2625" s="553">
        <v>1323.895</v>
      </c>
      <c r="I2625" s="553">
        <v>89</v>
      </c>
      <c r="J2625" s="553">
        <v>51</v>
      </c>
      <c r="K2625" s="553">
        <v>43</v>
      </c>
      <c r="L2625" s="553">
        <v>2</v>
      </c>
      <c r="M2625" s="505" t="s">
        <v>137</v>
      </c>
      <c r="N2625" s="652">
        <v>43013537770000</v>
      </c>
      <c r="O2625" s="553" t="s">
        <v>3200</v>
      </c>
      <c r="P2625" s="650" t="s">
        <v>3331</v>
      </c>
      <c r="Q2625" s="564"/>
      <c r="R2625" s="564">
        <v>2</v>
      </c>
    </row>
    <row r="2626" spans="1:18" ht="15" customHeight="1" x14ac:dyDescent="0.25">
      <c r="A2626" s="553">
        <v>26</v>
      </c>
      <c r="B2626" s="553">
        <v>2</v>
      </c>
      <c r="C2626" s="553">
        <v>2</v>
      </c>
      <c r="D2626" s="553">
        <v>3</v>
      </c>
      <c r="E2626" s="553">
        <v>2</v>
      </c>
      <c r="F2626" s="553">
        <v>2</v>
      </c>
      <c r="G2626" s="553" t="s">
        <v>494</v>
      </c>
      <c r="H2626" s="553">
        <v>1323.895</v>
      </c>
      <c r="I2626" s="553">
        <v>89</v>
      </c>
      <c r="J2626" s="553">
        <v>51</v>
      </c>
      <c r="K2626" s="553">
        <v>43</v>
      </c>
      <c r="L2626" s="553">
        <v>2</v>
      </c>
      <c r="M2626" s="505" t="s">
        <v>137</v>
      </c>
      <c r="N2626" s="652">
        <v>43013537770000</v>
      </c>
      <c r="O2626" s="553" t="s">
        <v>3200</v>
      </c>
      <c r="P2626" s="650" t="s">
        <v>3332</v>
      </c>
      <c r="Q2626" s="564"/>
      <c r="R2626" s="564">
        <v>2</v>
      </c>
    </row>
    <row r="2627" spans="1:18" x14ac:dyDescent="0.25">
      <c r="A2627" s="553">
        <v>26</v>
      </c>
      <c r="B2627" s="553">
        <v>2</v>
      </c>
      <c r="C2627" s="553">
        <v>2</v>
      </c>
      <c r="D2627" s="553">
        <v>4</v>
      </c>
      <c r="E2627" s="553">
        <v>2</v>
      </c>
      <c r="F2627" s="553">
        <v>2</v>
      </c>
      <c r="G2627" s="553" t="s">
        <v>473</v>
      </c>
      <c r="H2627" s="553">
        <v>1324.9849999999999</v>
      </c>
      <c r="I2627" s="553">
        <v>0</v>
      </c>
      <c r="J2627" s="553">
        <v>55</v>
      </c>
      <c r="K2627" s="553">
        <v>27</v>
      </c>
      <c r="L2627" s="553">
        <v>4</v>
      </c>
      <c r="M2627" s="505" t="s">
        <v>137</v>
      </c>
      <c r="N2627" s="500">
        <v>43013538980000</v>
      </c>
      <c r="O2627" s="553" t="s">
        <v>3217</v>
      </c>
      <c r="P2627" s="650" t="s">
        <v>3333</v>
      </c>
      <c r="Q2627" s="564"/>
      <c r="R2627" s="564">
        <v>1</v>
      </c>
    </row>
    <row r="2628" spans="1:18" x14ac:dyDescent="0.25">
      <c r="A2628" s="553">
        <v>26</v>
      </c>
      <c r="B2628" s="553">
        <v>2</v>
      </c>
      <c r="C2628" s="553">
        <v>2</v>
      </c>
      <c r="D2628" s="553">
        <v>4</v>
      </c>
      <c r="E2628" s="553">
        <v>2</v>
      </c>
      <c r="F2628" s="553">
        <v>2</v>
      </c>
      <c r="G2628" s="502" t="s">
        <v>476</v>
      </c>
      <c r="H2628" s="553">
        <v>1324.9849999999999</v>
      </c>
      <c r="I2628" s="553">
        <v>0</v>
      </c>
      <c r="J2628" s="553">
        <v>55</v>
      </c>
      <c r="K2628" s="553">
        <v>27</v>
      </c>
      <c r="L2628" s="553">
        <v>4</v>
      </c>
      <c r="M2628" s="505" t="s">
        <v>137</v>
      </c>
      <c r="N2628" s="500">
        <v>43013538980000</v>
      </c>
      <c r="O2628" s="553" t="s">
        <v>3217</v>
      </c>
      <c r="P2628" s="650" t="s">
        <v>3334</v>
      </c>
      <c r="Q2628" s="564"/>
      <c r="R2628" s="564">
        <v>1</v>
      </c>
    </row>
    <row r="2629" spans="1:18" x14ac:dyDescent="0.25">
      <c r="A2629" s="553">
        <v>26</v>
      </c>
      <c r="B2629" s="553">
        <v>2</v>
      </c>
      <c r="C2629" s="553">
        <v>2</v>
      </c>
      <c r="D2629" s="553">
        <v>4</v>
      </c>
      <c r="E2629" s="553">
        <v>2</v>
      </c>
      <c r="F2629" s="553">
        <v>2</v>
      </c>
      <c r="G2629" s="553" t="s">
        <v>478</v>
      </c>
      <c r="H2629" s="553">
        <v>1322.08</v>
      </c>
      <c r="I2629" s="553">
        <v>0</v>
      </c>
      <c r="J2629" s="553">
        <v>4</v>
      </c>
      <c r="K2629" s="553">
        <v>32</v>
      </c>
      <c r="L2629" s="553">
        <v>3</v>
      </c>
      <c r="M2629" s="505" t="s">
        <v>137</v>
      </c>
      <c r="N2629" s="500">
        <v>43013538980000</v>
      </c>
      <c r="O2629" s="553" t="s">
        <v>3217</v>
      </c>
      <c r="P2629" s="650" t="s">
        <v>3335</v>
      </c>
      <c r="Q2629" s="564"/>
      <c r="R2629" s="564">
        <v>1</v>
      </c>
    </row>
    <row r="2630" spans="1:18" x14ac:dyDescent="0.25">
      <c r="A2630" s="553">
        <v>26</v>
      </c>
      <c r="B2630" s="553">
        <v>2</v>
      </c>
      <c r="C2630" s="553">
        <v>2</v>
      </c>
      <c r="D2630" s="553">
        <v>4</v>
      </c>
      <c r="E2630" s="553">
        <v>2</v>
      </c>
      <c r="F2630" s="553">
        <v>2</v>
      </c>
      <c r="G2630" s="553" t="s">
        <v>484</v>
      </c>
      <c r="H2630" s="553">
        <v>1322.08</v>
      </c>
      <c r="I2630" s="553">
        <v>0</v>
      </c>
      <c r="J2630" s="553">
        <v>4</v>
      </c>
      <c r="K2630" s="553">
        <v>32</v>
      </c>
      <c r="L2630" s="553">
        <v>3</v>
      </c>
      <c r="M2630" s="505" t="s">
        <v>137</v>
      </c>
      <c r="N2630" s="500">
        <v>43013538980000</v>
      </c>
      <c r="O2630" s="553" t="s">
        <v>3217</v>
      </c>
      <c r="P2630" s="650" t="s">
        <v>3336</v>
      </c>
      <c r="Q2630" s="564"/>
      <c r="R2630" s="564">
        <v>1</v>
      </c>
    </row>
    <row r="2631" spans="1:18" x14ac:dyDescent="0.25">
      <c r="A2631" s="553">
        <v>26</v>
      </c>
      <c r="B2631" s="553">
        <v>2</v>
      </c>
      <c r="C2631" s="553">
        <v>2</v>
      </c>
      <c r="D2631" s="553">
        <v>4</v>
      </c>
      <c r="E2631" s="553">
        <v>2</v>
      </c>
      <c r="F2631" s="553">
        <v>2</v>
      </c>
      <c r="G2631" s="553" t="s">
        <v>486</v>
      </c>
      <c r="H2631" s="553">
        <v>1320.9425000000001</v>
      </c>
      <c r="I2631" s="553">
        <v>0</v>
      </c>
      <c r="J2631" s="553">
        <v>15</v>
      </c>
      <c r="K2631" s="553">
        <v>24</v>
      </c>
      <c r="L2631" s="553">
        <v>4</v>
      </c>
      <c r="M2631" s="505" t="s">
        <v>137</v>
      </c>
      <c r="N2631" s="500">
        <v>43013538980000</v>
      </c>
      <c r="O2631" s="553" t="s">
        <v>3217</v>
      </c>
      <c r="P2631" s="650" t="s">
        <v>3337</v>
      </c>
      <c r="Q2631" s="564"/>
      <c r="R2631" s="564">
        <v>1</v>
      </c>
    </row>
    <row r="2632" spans="1:18" x14ac:dyDescent="0.25">
      <c r="A2632" s="553">
        <v>26</v>
      </c>
      <c r="B2632" s="553">
        <v>2</v>
      </c>
      <c r="C2632" s="553">
        <v>2</v>
      </c>
      <c r="D2632" s="553">
        <v>4</v>
      </c>
      <c r="E2632" s="553">
        <v>2</v>
      </c>
      <c r="F2632" s="553">
        <v>2</v>
      </c>
      <c r="G2632" s="502" t="s">
        <v>488</v>
      </c>
      <c r="H2632" s="553">
        <v>1320.9425000000001</v>
      </c>
      <c r="I2632" s="553">
        <v>0</v>
      </c>
      <c r="J2632" s="553">
        <v>15</v>
      </c>
      <c r="K2632" s="553">
        <v>24</v>
      </c>
      <c r="L2632" s="553">
        <v>4</v>
      </c>
      <c r="M2632" s="505" t="s">
        <v>137</v>
      </c>
      <c r="N2632" s="500">
        <v>43013538980000</v>
      </c>
      <c r="O2632" s="553" t="s">
        <v>3217</v>
      </c>
      <c r="P2632" s="650" t="s">
        <v>3338</v>
      </c>
      <c r="Q2632" s="564"/>
      <c r="R2632" s="564">
        <v>1</v>
      </c>
    </row>
    <row r="2633" spans="1:18" x14ac:dyDescent="0.25">
      <c r="A2633" s="553">
        <v>26</v>
      </c>
      <c r="B2633" s="553">
        <v>2</v>
      </c>
      <c r="C2633" s="553">
        <v>2</v>
      </c>
      <c r="D2633" s="553">
        <v>4</v>
      </c>
      <c r="E2633" s="553">
        <v>2</v>
      </c>
      <c r="F2633" s="553">
        <v>2</v>
      </c>
      <c r="G2633" s="553" t="s">
        <v>490</v>
      </c>
      <c r="H2633" s="553">
        <v>1320.9425000000001</v>
      </c>
      <c r="I2633" s="553">
        <v>0</v>
      </c>
      <c r="J2633" s="553">
        <v>15</v>
      </c>
      <c r="K2633" s="553">
        <v>24</v>
      </c>
      <c r="L2633" s="553">
        <v>4</v>
      </c>
      <c r="M2633" s="505" t="s">
        <v>137</v>
      </c>
      <c r="N2633" s="500">
        <v>43013538980000</v>
      </c>
      <c r="O2633" s="553" t="s">
        <v>3217</v>
      </c>
      <c r="P2633" s="650" t="s">
        <v>3339</v>
      </c>
      <c r="Q2633" s="564"/>
      <c r="R2633" s="564">
        <v>1</v>
      </c>
    </row>
    <row r="2634" spans="1:18" x14ac:dyDescent="0.25">
      <c r="A2634" s="553">
        <v>26</v>
      </c>
      <c r="B2634" s="553">
        <v>2</v>
      </c>
      <c r="C2634" s="553">
        <v>2</v>
      </c>
      <c r="D2634" s="553">
        <v>4</v>
      </c>
      <c r="E2634" s="553">
        <v>2</v>
      </c>
      <c r="F2634" s="553">
        <v>2</v>
      </c>
      <c r="G2634" s="553" t="s">
        <v>493</v>
      </c>
      <c r="H2634" s="553">
        <v>1320.9425000000001</v>
      </c>
      <c r="I2634" s="553">
        <v>0</v>
      </c>
      <c r="J2634" s="553">
        <v>15</v>
      </c>
      <c r="K2634" s="553">
        <v>24</v>
      </c>
      <c r="L2634" s="553">
        <v>4</v>
      </c>
      <c r="M2634" s="505" t="s">
        <v>137</v>
      </c>
      <c r="N2634" s="500">
        <v>43013538980000</v>
      </c>
      <c r="O2634" s="553" t="s">
        <v>3217</v>
      </c>
      <c r="P2634" s="650" t="s">
        <v>3340</v>
      </c>
      <c r="Q2634" s="564"/>
      <c r="R2634" s="564">
        <v>1</v>
      </c>
    </row>
    <row r="2635" spans="1:18" x14ac:dyDescent="0.25">
      <c r="A2635" s="553">
        <v>26</v>
      </c>
      <c r="B2635" s="553">
        <v>2</v>
      </c>
      <c r="C2635" s="553">
        <v>2</v>
      </c>
      <c r="D2635" s="553">
        <v>4</v>
      </c>
      <c r="E2635" s="553">
        <v>2</v>
      </c>
      <c r="F2635" s="553">
        <v>2</v>
      </c>
      <c r="G2635" s="553" t="s">
        <v>474</v>
      </c>
      <c r="H2635" s="553">
        <v>1322.7075</v>
      </c>
      <c r="I2635" s="553">
        <v>89</v>
      </c>
      <c r="J2635" s="553">
        <v>54</v>
      </c>
      <c r="K2635" s="553">
        <v>30</v>
      </c>
      <c r="L2635" s="553">
        <v>4</v>
      </c>
      <c r="M2635" s="505" t="s">
        <v>137</v>
      </c>
      <c r="N2635" s="500">
        <v>43013538980000</v>
      </c>
      <c r="O2635" s="553" t="s">
        <v>3217</v>
      </c>
      <c r="P2635" s="650" t="s">
        <v>3341</v>
      </c>
      <c r="Q2635" s="564"/>
      <c r="R2635" s="564">
        <v>1</v>
      </c>
    </row>
    <row r="2636" spans="1:18" x14ac:dyDescent="0.25">
      <c r="A2636" s="553">
        <v>26</v>
      </c>
      <c r="B2636" s="553">
        <v>2</v>
      </c>
      <c r="C2636" s="553">
        <v>2</v>
      </c>
      <c r="D2636" s="553">
        <v>4</v>
      </c>
      <c r="E2636" s="553">
        <v>2</v>
      </c>
      <c r="F2636" s="553">
        <v>2</v>
      </c>
      <c r="G2636" s="502" t="s">
        <v>477</v>
      </c>
      <c r="H2636" s="553">
        <v>1322.7075</v>
      </c>
      <c r="I2636" s="553">
        <v>89</v>
      </c>
      <c r="J2636" s="553">
        <v>54</v>
      </c>
      <c r="K2636" s="553">
        <v>30</v>
      </c>
      <c r="L2636" s="553">
        <v>4</v>
      </c>
      <c r="M2636" s="505" t="s">
        <v>137</v>
      </c>
      <c r="N2636" s="500">
        <v>43013538980000</v>
      </c>
      <c r="O2636" s="553" t="s">
        <v>3217</v>
      </c>
      <c r="P2636" s="650" t="s">
        <v>3342</v>
      </c>
      <c r="Q2636" s="564"/>
      <c r="R2636" s="564">
        <v>1</v>
      </c>
    </row>
    <row r="2637" spans="1:18" x14ac:dyDescent="0.25">
      <c r="A2637" s="553">
        <v>26</v>
      </c>
      <c r="B2637" s="553">
        <v>2</v>
      </c>
      <c r="C2637" s="553">
        <v>2</v>
      </c>
      <c r="D2637" s="553">
        <v>4</v>
      </c>
      <c r="E2637" s="553">
        <v>2</v>
      </c>
      <c r="F2637" s="553">
        <v>2</v>
      </c>
      <c r="G2637" s="553" t="s">
        <v>479</v>
      </c>
      <c r="H2637" s="553">
        <v>1322.7075</v>
      </c>
      <c r="I2637" s="553">
        <v>89</v>
      </c>
      <c r="J2637" s="553">
        <v>54</v>
      </c>
      <c r="K2637" s="553">
        <v>30</v>
      </c>
      <c r="L2637" s="553">
        <v>4</v>
      </c>
      <c r="M2637" s="505" t="s">
        <v>137</v>
      </c>
      <c r="N2637" s="500">
        <v>43013538980000</v>
      </c>
      <c r="O2637" s="553" t="s">
        <v>3217</v>
      </c>
      <c r="P2637" s="650" t="s">
        <v>3343</v>
      </c>
      <c r="Q2637" s="564"/>
      <c r="R2637" s="564">
        <v>1</v>
      </c>
    </row>
    <row r="2638" spans="1:18" x14ac:dyDescent="0.25">
      <c r="A2638" s="553">
        <v>26</v>
      </c>
      <c r="B2638" s="553">
        <v>2</v>
      </c>
      <c r="C2638" s="553">
        <v>2</v>
      </c>
      <c r="D2638" s="553">
        <v>4</v>
      </c>
      <c r="E2638" s="553">
        <v>2</v>
      </c>
      <c r="F2638" s="553">
        <v>2</v>
      </c>
      <c r="G2638" s="553" t="s">
        <v>485</v>
      </c>
      <c r="H2638" s="553">
        <v>1322.7075</v>
      </c>
      <c r="I2638" s="553">
        <v>89</v>
      </c>
      <c r="J2638" s="553">
        <v>54</v>
      </c>
      <c r="K2638" s="553">
        <v>30</v>
      </c>
      <c r="L2638" s="553">
        <v>4</v>
      </c>
      <c r="M2638" s="505" t="s">
        <v>137</v>
      </c>
      <c r="N2638" s="500">
        <v>43013538980000</v>
      </c>
      <c r="O2638" s="553" t="s">
        <v>3217</v>
      </c>
      <c r="P2638" s="650" t="s">
        <v>3344</v>
      </c>
      <c r="Q2638" s="564"/>
      <c r="R2638" s="564">
        <v>1</v>
      </c>
    </row>
    <row r="2639" spans="1:18" x14ac:dyDescent="0.25">
      <c r="A2639" s="553">
        <v>26</v>
      </c>
      <c r="B2639" s="553">
        <v>2</v>
      </c>
      <c r="C2639" s="553">
        <v>2</v>
      </c>
      <c r="D2639" s="553">
        <v>4</v>
      </c>
      <c r="E2639" s="553">
        <v>2</v>
      </c>
      <c r="F2639" s="553">
        <v>2</v>
      </c>
      <c r="G2639" s="553" t="s">
        <v>487</v>
      </c>
      <c r="H2639" s="553">
        <v>1318.81</v>
      </c>
      <c r="I2639" s="553">
        <v>89</v>
      </c>
      <c r="J2639" s="553">
        <v>58</v>
      </c>
      <c r="K2639" s="553">
        <v>57</v>
      </c>
      <c r="L2639" s="553">
        <v>2</v>
      </c>
      <c r="M2639" s="505" t="s">
        <v>137</v>
      </c>
      <c r="N2639" s="500">
        <v>43013538980000</v>
      </c>
      <c r="O2639" s="553" t="s">
        <v>3217</v>
      </c>
      <c r="P2639" s="650" t="s">
        <v>3345</v>
      </c>
      <c r="Q2639" s="564"/>
      <c r="R2639" s="564">
        <v>1</v>
      </c>
    </row>
    <row r="2640" spans="1:18" x14ac:dyDescent="0.25">
      <c r="A2640" s="553">
        <v>26</v>
      </c>
      <c r="B2640" s="553">
        <v>2</v>
      </c>
      <c r="C2640" s="553">
        <v>2</v>
      </c>
      <c r="D2640" s="553">
        <v>4</v>
      </c>
      <c r="E2640" s="553">
        <v>2</v>
      </c>
      <c r="F2640" s="553">
        <v>2</v>
      </c>
      <c r="G2640" s="502" t="s">
        <v>489</v>
      </c>
      <c r="H2640" s="553">
        <v>1318.81</v>
      </c>
      <c r="I2640" s="553">
        <v>89</v>
      </c>
      <c r="J2640" s="553">
        <v>58</v>
      </c>
      <c r="K2640" s="553">
        <v>57</v>
      </c>
      <c r="L2640" s="553">
        <v>2</v>
      </c>
      <c r="M2640" s="505" t="s">
        <v>137</v>
      </c>
      <c r="N2640" s="500">
        <v>43013538980000</v>
      </c>
      <c r="O2640" s="553" t="s">
        <v>3217</v>
      </c>
      <c r="P2640" s="650" t="s">
        <v>3346</v>
      </c>
      <c r="Q2640" s="564"/>
      <c r="R2640" s="564">
        <v>1</v>
      </c>
    </row>
    <row r="2641" spans="1:18" x14ac:dyDescent="0.25">
      <c r="A2641" s="553">
        <v>26</v>
      </c>
      <c r="B2641" s="553">
        <v>2</v>
      </c>
      <c r="C2641" s="553">
        <v>2</v>
      </c>
      <c r="D2641" s="553">
        <v>4</v>
      </c>
      <c r="E2641" s="553">
        <v>2</v>
      </c>
      <c r="F2641" s="553">
        <v>2</v>
      </c>
      <c r="G2641" s="553" t="s">
        <v>491</v>
      </c>
      <c r="H2641" s="553">
        <v>1318.81</v>
      </c>
      <c r="I2641" s="553">
        <v>89</v>
      </c>
      <c r="J2641" s="553">
        <v>58</v>
      </c>
      <c r="K2641" s="553">
        <v>57</v>
      </c>
      <c r="L2641" s="553">
        <v>2</v>
      </c>
      <c r="M2641" s="505" t="s">
        <v>137</v>
      </c>
      <c r="N2641" s="500">
        <v>43013538980000</v>
      </c>
      <c r="O2641" s="553" t="s">
        <v>3217</v>
      </c>
      <c r="P2641" s="650" t="s">
        <v>3347</v>
      </c>
      <c r="Q2641" s="564"/>
      <c r="R2641" s="564">
        <v>1</v>
      </c>
    </row>
    <row r="2642" spans="1:18" x14ac:dyDescent="0.25">
      <c r="A2642" s="553">
        <v>26</v>
      </c>
      <c r="B2642" s="553">
        <v>2</v>
      </c>
      <c r="C2642" s="553">
        <v>2</v>
      </c>
      <c r="D2642" s="553">
        <v>4</v>
      </c>
      <c r="E2642" s="553">
        <v>2</v>
      </c>
      <c r="F2642" s="553">
        <v>2</v>
      </c>
      <c r="G2642" s="553" t="s">
        <v>494</v>
      </c>
      <c r="H2642" s="553">
        <v>1318.81</v>
      </c>
      <c r="I2642" s="553">
        <v>89</v>
      </c>
      <c r="J2642" s="553">
        <v>58</v>
      </c>
      <c r="K2642" s="553">
        <v>57</v>
      </c>
      <c r="L2642" s="553">
        <v>2</v>
      </c>
      <c r="M2642" s="505" t="s">
        <v>137</v>
      </c>
      <c r="N2642" s="500">
        <v>43013538980000</v>
      </c>
      <c r="O2642" s="553" t="s">
        <v>3217</v>
      </c>
      <c r="P2642" s="650" t="s">
        <v>3348</v>
      </c>
      <c r="Q2642" s="564"/>
      <c r="R2642" s="564">
        <v>1</v>
      </c>
    </row>
    <row r="2643" spans="1:18" x14ac:dyDescent="0.25">
      <c r="A2643" s="553">
        <v>26</v>
      </c>
      <c r="B2643" s="553">
        <v>3</v>
      </c>
      <c r="C2643" s="553">
        <v>2</v>
      </c>
      <c r="D2643" s="553">
        <v>2</v>
      </c>
      <c r="E2643" s="553">
        <v>2</v>
      </c>
      <c r="F2643" s="553">
        <v>2</v>
      </c>
      <c r="G2643" s="553" t="s">
        <v>473</v>
      </c>
      <c r="H2643" s="553">
        <v>1325.64</v>
      </c>
      <c r="I2643" s="553">
        <v>0</v>
      </c>
      <c r="J2643" s="553">
        <v>20</v>
      </c>
      <c r="K2643" s="553">
        <v>44</v>
      </c>
      <c r="L2643" s="553">
        <v>2</v>
      </c>
      <c r="M2643" s="505" t="s">
        <v>137</v>
      </c>
      <c r="N2643" s="500">
        <v>43013537280000</v>
      </c>
      <c r="O2643" s="553" t="s">
        <v>2935</v>
      </c>
      <c r="P2643" s="650" t="s">
        <v>3349</v>
      </c>
      <c r="Q2643" s="564"/>
      <c r="R2643" s="564">
        <v>2</v>
      </c>
    </row>
    <row r="2644" spans="1:18" x14ac:dyDescent="0.25">
      <c r="A2644" s="553">
        <v>26</v>
      </c>
      <c r="B2644" s="553">
        <v>3</v>
      </c>
      <c r="C2644" s="553">
        <v>2</v>
      </c>
      <c r="D2644" s="553">
        <v>2</v>
      </c>
      <c r="E2644" s="553">
        <v>2</v>
      </c>
      <c r="F2644" s="553">
        <v>2</v>
      </c>
      <c r="G2644" s="502" t="s">
        <v>476</v>
      </c>
      <c r="H2644" s="553">
        <v>1328.46</v>
      </c>
      <c r="I2644" s="553">
        <v>0</v>
      </c>
      <c r="J2644" s="553">
        <v>3</v>
      </c>
      <c r="K2644" s="553">
        <v>23</v>
      </c>
      <c r="L2644" s="553">
        <v>2</v>
      </c>
      <c r="M2644" s="505" t="s">
        <v>137</v>
      </c>
      <c r="N2644" s="500">
        <v>43013537280000</v>
      </c>
      <c r="O2644" s="553" t="s">
        <v>2935</v>
      </c>
      <c r="P2644" s="650" t="s">
        <v>3350</v>
      </c>
      <c r="Q2644" s="564"/>
      <c r="R2644" s="564">
        <v>2</v>
      </c>
    </row>
    <row r="2645" spans="1:18" x14ac:dyDescent="0.25">
      <c r="A2645" s="553">
        <v>26</v>
      </c>
      <c r="B2645" s="553">
        <v>3</v>
      </c>
      <c r="C2645" s="553">
        <v>2</v>
      </c>
      <c r="D2645" s="553">
        <v>2</v>
      </c>
      <c r="E2645" s="553">
        <v>2</v>
      </c>
      <c r="F2645" s="553">
        <v>2</v>
      </c>
      <c r="G2645" s="553" t="s">
        <v>478</v>
      </c>
      <c r="H2645" s="553">
        <v>1323.415</v>
      </c>
      <c r="I2645" s="553">
        <v>0</v>
      </c>
      <c r="J2645" s="553">
        <v>2</v>
      </c>
      <c r="K2645" s="553">
        <v>9</v>
      </c>
      <c r="L2645" s="553">
        <v>4</v>
      </c>
      <c r="M2645" s="505" t="s">
        <v>137</v>
      </c>
      <c r="N2645" s="500">
        <v>43013537280000</v>
      </c>
      <c r="O2645" s="553" t="s">
        <v>2935</v>
      </c>
      <c r="P2645" s="650" t="s">
        <v>3351</v>
      </c>
      <c r="Q2645" s="564"/>
      <c r="R2645" s="564">
        <v>2</v>
      </c>
    </row>
    <row r="2646" spans="1:18" x14ac:dyDescent="0.25">
      <c r="A2646" s="553">
        <v>26</v>
      </c>
      <c r="B2646" s="553">
        <v>3</v>
      </c>
      <c r="C2646" s="553">
        <v>2</v>
      </c>
      <c r="D2646" s="553">
        <v>2</v>
      </c>
      <c r="E2646" s="553">
        <v>2</v>
      </c>
      <c r="F2646" s="553">
        <v>2</v>
      </c>
      <c r="G2646" s="553" t="s">
        <v>484</v>
      </c>
      <c r="H2646" s="553">
        <v>1323.415</v>
      </c>
      <c r="I2646" s="553">
        <v>0</v>
      </c>
      <c r="J2646" s="553">
        <v>2</v>
      </c>
      <c r="K2646" s="553">
        <v>9</v>
      </c>
      <c r="L2646" s="553">
        <v>4</v>
      </c>
      <c r="M2646" s="505" t="s">
        <v>137</v>
      </c>
      <c r="N2646" s="500">
        <v>43013537280000</v>
      </c>
      <c r="O2646" s="553" t="s">
        <v>2935</v>
      </c>
      <c r="P2646" s="650" t="s">
        <v>3352</v>
      </c>
      <c r="Q2646" s="564"/>
      <c r="R2646" s="564">
        <v>2</v>
      </c>
    </row>
    <row r="2647" spans="1:18" x14ac:dyDescent="0.25">
      <c r="A2647" s="553">
        <v>26</v>
      </c>
      <c r="B2647" s="553">
        <v>3</v>
      </c>
      <c r="C2647" s="553">
        <v>2</v>
      </c>
      <c r="D2647" s="553">
        <v>2</v>
      </c>
      <c r="E2647" s="553">
        <v>2</v>
      </c>
      <c r="F2647" s="553">
        <v>2</v>
      </c>
      <c r="G2647" s="553" t="s">
        <v>486</v>
      </c>
      <c r="H2647" s="553">
        <v>1319.23</v>
      </c>
      <c r="I2647" s="553">
        <v>0</v>
      </c>
      <c r="J2647" s="553">
        <v>49</v>
      </c>
      <c r="K2647" s="553">
        <v>9</v>
      </c>
      <c r="L2647" s="553">
        <v>1</v>
      </c>
      <c r="M2647" s="505" t="s">
        <v>137</v>
      </c>
      <c r="N2647" s="500">
        <v>43013537280000</v>
      </c>
      <c r="O2647" s="553" t="s">
        <v>2935</v>
      </c>
      <c r="P2647" s="650" t="s">
        <v>3353</v>
      </c>
      <c r="Q2647" s="564"/>
      <c r="R2647" s="564">
        <v>2</v>
      </c>
    </row>
    <row r="2648" spans="1:18" x14ac:dyDescent="0.25">
      <c r="A2648" s="553">
        <v>26</v>
      </c>
      <c r="B2648" s="553">
        <v>3</v>
      </c>
      <c r="C2648" s="553">
        <v>2</v>
      </c>
      <c r="D2648" s="553">
        <v>2</v>
      </c>
      <c r="E2648" s="553">
        <v>2</v>
      </c>
      <c r="F2648" s="553">
        <v>2</v>
      </c>
      <c r="G2648" s="502" t="s">
        <v>488</v>
      </c>
      <c r="H2648" s="553">
        <v>1319.23</v>
      </c>
      <c r="I2648" s="553">
        <v>0</v>
      </c>
      <c r="J2648" s="553">
        <v>49</v>
      </c>
      <c r="K2648" s="553">
        <v>9</v>
      </c>
      <c r="L2648" s="553">
        <v>1</v>
      </c>
      <c r="M2648" s="505" t="s">
        <v>137</v>
      </c>
      <c r="N2648" s="500">
        <v>43013537280000</v>
      </c>
      <c r="O2648" s="553" t="s">
        <v>2935</v>
      </c>
      <c r="P2648" s="650" t="s">
        <v>3354</v>
      </c>
      <c r="Q2648" s="564"/>
      <c r="R2648" s="564">
        <v>2</v>
      </c>
    </row>
    <row r="2649" spans="1:18" x14ac:dyDescent="0.25">
      <c r="A2649" s="553">
        <v>26</v>
      </c>
      <c r="B2649" s="553">
        <v>3</v>
      </c>
      <c r="C2649" s="553">
        <v>2</v>
      </c>
      <c r="D2649" s="553">
        <v>2</v>
      </c>
      <c r="E2649" s="553">
        <v>2</v>
      </c>
      <c r="F2649" s="553">
        <v>2</v>
      </c>
      <c r="G2649" s="553" t="s">
        <v>490</v>
      </c>
      <c r="H2649" s="553">
        <v>1317.4649999999999</v>
      </c>
      <c r="I2649" s="553">
        <v>0</v>
      </c>
      <c r="J2649" s="553">
        <v>48</v>
      </c>
      <c r="K2649" s="553">
        <v>59</v>
      </c>
      <c r="L2649" s="553">
        <v>1</v>
      </c>
      <c r="M2649" s="505" t="s">
        <v>137</v>
      </c>
      <c r="N2649" s="500">
        <v>43013537280000</v>
      </c>
      <c r="O2649" s="553" t="s">
        <v>2935</v>
      </c>
      <c r="P2649" s="650" t="s">
        <v>3355</v>
      </c>
      <c r="Q2649" s="564"/>
      <c r="R2649" s="564">
        <v>2</v>
      </c>
    </row>
    <row r="2650" spans="1:18" x14ac:dyDescent="0.25">
      <c r="A2650" s="553">
        <v>26</v>
      </c>
      <c r="B2650" s="553">
        <v>3</v>
      </c>
      <c r="C2650" s="553">
        <v>2</v>
      </c>
      <c r="D2650" s="553">
        <v>2</v>
      </c>
      <c r="E2650" s="553">
        <v>2</v>
      </c>
      <c r="F2650" s="553">
        <v>2</v>
      </c>
      <c r="G2650" s="553" t="s">
        <v>493</v>
      </c>
      <c r="H2650" s="553">
        <v>1317.4649999999999</v>
      </c>
      <c r="I2650" s="553">
        <v>0</v>
      </c>
      <c r="J2650" s="553">
        <v>48</v>
      </c>
      <c r="K2650" s="553">
        <v>59</v>
      </c>
      <c r="L2650" s="553">
        <v>1</v>
      </c>
      <c r="M2650" s="505" t="s">
        <v>137</v>
      </c>
      <c r="N2650" s="500">
        <v>43013537280000</v>
      </c>
      <c r="O2650" s="553" t="s">
        <v>2935</v>
      </c>
      <c r="P2650" s="650" t="s">
        <v>3356</v>
      </c>
      <c r="Q2650" s="564"/>
      <c r="R2650" s="564">
        <v>2</v>
      </c>
    </row>
    <row r="2651" spans="1:18" x14ac:dyDescent="0.25">
      <c r="A2651" s="553">
        <v>26</v>
      </c>
      <c r="B2651" s="553">
        <v>3</v>
      </c>
      <c r="C2651" s="553">
        <v>2</v>
      </c>
      <c r="D2651" s="553">
        <v>2</v>
      </c>
      <c r="E2651" s="553">
        <v>2</v>
      </c>
      <c r="F2651" s="553">
        <v>2</v>
      </c>
      <c r="G2651" s="553" t="s">
        <v>474</v>
      </c>
      <c r="H2651" s="553">
        <v>1307.05</v>
      </c>
      <c r="I2651" s="553">
        <v>89</v>
      </c>
      <c r="J2651" s="553">
        <v>45</v>
      </c>
      <c r="K2651" s="553">
        <v>21</v>
      </c>
      <c r="L2651" s="553">
        <v>4</v>
      </c>
      <c r="M2651" s="505" t="s">
        <v>137</v>
      </c>
      <c r="N2651" s="500">
        <v>43013537280000</v>
      </c>
      <c r="O2651" s="553" t="s">
        <v>2935</v>
      </c>
      <c r="P2651" s="650" t="s">
        <v>3357</v>
      </c>
      <c r="Q2651" s="564"/>
      <c r="R2651" s="564">
        <v>2</v>
      </c>
    </row>
    <row r="2652" spans="1:18" x14ac:dyDescent="0.25">
      <c r="A2652" s="553">
        <v>26</v>
      </c>
      <c r="B2652" s="553">
        <v>3</v>
      </c>
      <c r="C2652" s="553">
        <v>2</v>
      </c>
      <c r="D2652" s="553">
        <v>2</v>
      </c>
      <c r="E2652" s="553">
        <v>2</v>
      </c>
      <c r="F2652" s="553">
        <v>2</v>
      </c>
      <c r="G2652" s="502" t="s">
        <v>477</v>
      </c>
      <c r="H2652" s="553">
        <v>1307.05</v>
      </c>
      <c r="I2652" s="553">
        <v>89</v>
      </c>
      <c r="J2652" s="553">
        <v>45</v>
      </c>
      <c r="K2652" s="553">
        <v>21</v>
      </c>
      <c r="L2652" s="553">
        <v>4</v>
      </c>
      <c r="M2652" s="505" t="s">
        <v>137</v>
      </c>
      <c r="N2652" s="500">
        <v>43013537280000</v>
      </c>
      <c r="O2652" s="553" t="s">
        <v>2935</v>
      </c>
      <c r="P2652" s="650" t="s">
        <v>3358</v>
      </c>
      <c r="Q2652" s="564"/>
      <c r="R2652" s="564">
        <v>2</v>
      </c>
    </row>
    <row r="2653" spans="1:18" x14ac:dyDescent="0.25">
      <c r="A2653" s="553">
        <v>26</v>
      </c>
      <c r="B2653" s="553">
        <v>3</v>
      </c>
      <c r="C2653" s="553">
        <v>2</v>
      </c>
      <c r="D2653" s="553">
        <v>2</v>
      </c>
      <c r="E2653" s="553">
        <v>2</v>
      </c>
      <c r="F2653" s="553">
        <v>2</v>
      </c>
      <c r="G2653" s="553" t="s">
        <v>479</v>
      </c>
      <c r="H2653" s="553">
        <v>1300</v>
      </c>
      <c r="I2653" s="553">
        <v>89</v>
      </c>
      <c r="J2653" s="553">
        <v>45</v>
      </c>
      <c r="K2653" s="553">
        <v>21</v>
      </c>
      <c r="L2653" s="553">
        <v>4</v>
      </c>
      <c r="M2653" s="505" t="s">
        <v>137</v>
      </c>
      <c r="N2653" s="500">
        <v>43013537280000</v>
      </c>
      <c r="O2653" s="553" t="s">
        <v>2935</v>
      </c>
      <c r="P2653" s="650" t="s">
        <v>3359</v>
      </c>
      <c r="Q2653" s="564"/>
      <c r="R2653" s="564">
        <v>2</v>
      </c>
    </row>
    <row r="2654" spans="1:18" x14ac:dyDescent="0.25">
      <c r="A2654" s="553">
        <v>26</v>
      </c>
      <c r="B2654" s="553">
        <v>3</v>
      </c>
      <c r="C2654" s="553">
        <v>2</v>
      </c>
      <c r="D2654" s="553">
        <v>2</v>
      </c>
      <c r="E2654" s="553">
        <v>2</v>
      </c>
      <c r="F2654" s="553">
        <v>2</v>
      </c>
      <c r="G2654" s="553" t="s">
        <v>485</v>
      </c>
      <c r="H2654" s="553">
        <v>1285.6500000000001</v>
      </c>
      <c r="I2654" s="553">
        <v>88</v>
      </c>
      <c r="J2654" s="553">
        <v>51</v>
      </c>
      <c r="K2654" s="553">
        <v>4</v>
      </c>
      <c r="L2654" s="553">
        <v>3</v>
      </c>
      <c r="M2654" s="505" t="s">
        <v>137</v>
      </c>
      <c r="N2654" s="500">
        <v>43013537280000</v>
      </c>
      <c r="O2654" s="553" t="s">
        <v>2935</v>
      </c>
      <c r="P2654" s="650" t="s">
        <v>3360</v>
      </c>
      <c r="Q2654" s="564"/>
      <c r="R2654" s="564">
        <v>2</v>
      </c>
    </row>
    <row r="2655" spans="1:18" x14ac:dyDescent="0.25">
      <c r="A2655" s="553">
        <v>26</v>
      </c>
      <c r="B2655" s="553">
        <v>3</v>
      </c>
      <c r="C2655" s="553">
        <v>2</v>
      </c>
      <c r="D2655" s="553">
        <v>2</v>
      </c>
      <c r="E2655" s="553">
        <v>2</v>
      </c>
      <c r="F2655" s="553">
        <v>2</v>
      </c>
      <c r="G2655" s="553" t="s">
        <v>487</v>
      </c>
      <c r="H2655" s="553">
        <v>1316.885</v>
      </c>
      <c r="I2655" s="553">
        <v>89</v>
      </c>
      <c r="J2655" s="553">
        <v>23</v>
      </c>
      <c r="K2655" s="553">
        <v>53</v>
      </c>
      <c r="L2655" s="553">
        <v>3</v>
      </c>
      <c r="M2655" s="505" t="s">
        <v>137</v>
      </c>
      <c r="N2655" s="500">
        <v>43013537280000</v>
      </c>
      <c r="O2655" s="553" t="s">
        <v>2935</v>
      </c>
      <c r="P2655" s="650" t="s">
        <v>3361</v>
      </c>
      <c r="Q2655" s="564"/>
      <c r="R2655" s="564">
        <v>2</v>
      </c>
    </row>
    <row r="2656" spans="1:18" x14ac:dyDescent="0.25">
      <c r="A2656" s="553">
        <v>26</v>
      </c>
      <c r="B2656" s="553">
        <v>3</v>
      </c>
      <c r="C2656" s="553">
        <v>2</v>
      </c>
      <c r="D2656" s="553">
        <v>2</v>
      </c>
      <c r="E2656" s="553">
        <v>2</v>
      </c>
      <c r="F2656" s="553">
        <v>2</v>
      </c>
      <c r="G2656" s="502" t="s">
        <v>489</v>
      </c>
      <c r="H2656" s="553">
        <v>1316.885</v>
      </c>
      <c r="I2656" s="553">
        <v>89</v>
      </c>
      <c r="J2656" s="553">
        <v>23</v>
      </c>
      <c r="K2656" s="553">
        <v>53</v>
      </c>
      <c r="L2656" s="553">
        <v>3</v>
      </c>
      <c r="M2656" s="505" t="s">
        <v>137</v>
      </c>
      <c r="N2656" s="500">
        <v>43013537280000</v>
      </c>
      <c r="O2656" s="553" t="s">
        <v>2935</v>
      </c>
      <c r="P2656" s="650" t="s">
        <v>3362</v>
      </c>
      <c r="Q2656" s="564"/>
      <c r="R2656" s="564">
        <v>2</v>
      </c>
    </row>
    <row r="2657" spans="1:18" x14ac:dyDescent="0.25">
      <c r="A2657" s="553">
        <v>26</v>
      </c>
      <c r="B2657" s="553">
        <v>3</v>
      </c>
      <c r="C2657" s="553">
        <v>2</v>
      </c>
      <c r="D2657" s="553">
        <v>2</v>
      </c>
      <c r="E2657" s="553">
        <v>2</v>
      </c>
      <c r="F2657" s="553">
        <v>2</v>
      </c>
      <c r="G2657" s="553" t="s">
        <v>491</v>
      </c>
      <c r="H2657" s="553">
        <v>1325.99</v>
      </c>
      <c r="I2657" s="553">
        <v>89</v>
      </c>
      <c r="J2657" s="553">
        <v>47</v>
      </c>
      <c r="K2657" s="553">
        <v>48</v>
      </c>
      <c r="L2657" s="553">
        <v>3</v>
      </c>
      <c r="M2657" s="505" t="s">
        <v>137</v>
      </c>
      <c r="N2657" s="500">
        <v>43013537280000</v>
      </c>
      <c r="O2657" s="553" t="s">
        <v>2935</v>
      </c>
      <c r="P2657" s="650" t="s">
        <v>3363</v>
      </c>
      <c r="Q2657" s="564"/>
      <c r="R2657" s="564">
        <v>2</v>
      </c>
    </row>
    <row r="2658" spans="1:18" x14ac:dyDescent="0.25">
      <c r="A2658" s="553">
        <v>26</v>
      </c>
      <c r="B2658" s="553">
        <v>3</v>
      </c>
      <c r="C2658" s="553">
        <v>2</v>
      </c>
      <c r="D2658" s="553">
        <v>2</v>
      </c>
      <c r="E2658" s="553">
        <v>2</v>
      </c>
      <c r="F2658" s="553">
        <v>2</v>
      </c>
      <c r="G2658" s="553" t="s">
        <v>494</v>
      </c>
      <c r="H2658" s="553">
        <v>1322.75</v>
      </c>
      <c r="I2658" s="553">
        <v>89</v>
      </c>
      <c r="J2658" s="553">
        <v>47</v>
      </c>
      <c r="K2658" s="553">
        <v>34</v>
      </c>
      <c r="L2658" s="553">
        <v>3</v>
      </c>
      <c r="M2658" s="505" t="s">
        <v>137</v>
      </c>
      <c r="N2658" s="500">
        <v>43013537280000</v>
      </c>
      <c r="O2658" s="553" t="s">
        <v>2935</v>
      </c>
      <c r="P2658" s="650" t="s">
        <v>3364</v>
      </c>
      <c r="Q2658" s="564"/>
      <c r="R2658" s="564">
        <v>2</v>
      </c>
    </row>
    <row r="2659" spans="1:18" x14ac:dyDescent="0.25">
      <c r="A2659" s="553">
        <v>26</v>
      </c>
      <c r="B2659" s="553">
        <v>3</v>
      </c>
      <c r="C2659" s="553">
        <v>2</v>
      </c>
      <c r="D2659" s="553">
        <v>4</v>
      </c>
      <c r="E2659" s="553">
        <v>2</v>
      </c>
      <c r="F2659" s="553">
        <v>2</v>
      </c>
      <c r="G2659" s="553" t="s">
        <v>473</v>
      </c>
      <c r="H2659" s="553">
        <v>1310.74</v>
      </c>
      <c r="I2659" s="553">
        <v>0</v>
      </c>
      <c r="J2659" s="553">
        <v>4</v>
      </c>
      <c r="K2659" s="553">
        <v>54</v>
      </c>
      <c r="L2659" s="553">
        <v>2</v>
      </c>
      <c r="M2659" s="505" t="s">
        <v>137</v>
      </c>
      <c r="N2659" s="500">
        <v>43013540210000</v>
      </c>
      <c r="O2659" s="553" t="s">
        <v>3365</v>
      </c>
      <c r="P2659" s="650" t="s">
        <v>3366</v>
      </c>
      <c r="Q2659" s="564"/>
      <c r="R2659" s="564">
        <v>1</v>
      </c>
    </row>
    <row r="2660" spans="1:18" x14ac:dyDescent="0.25">
      <c r="A2660" s="553">
        <v>26</v>
      </c>
      <c r="B2660" s="553">
        <v>3</v>
      </c>
      <c r="C2660" s="553">
        <v>2</v>
      </c>
      <c r="D2660" s="553">
        <v>4</v>
      </c>
      <c r="E2660" s="553">
        <v>2</v>
      </c>
      <c r="F2660" s="553">
        <v>2</v>
      </c>
      <c r="G2660" s="502" t="s">
        <v>476</v>
      </c>
      <c r="H2660" s="553">
        <v>1310.74</v>
      </c>
      <c r="I2660" s="553">
        <v>0</v>
      </c>
      <c r="J2660" s="553">
        <v>4</v>
      </c>
      <c r="K2660" s="553">
        <v>54</v>
      </c>
      <c r="L2660" s="553">
        <v>2</v>
      </c>
      <c r="M2660" s="505" t="s">
        <v>137</v>
      </c>
      <c r="N2660" s="500">
        <v>43013540210000</v>
      </c>
      <c r="O2660" s="553" t="s">
        <v>3365</v>
      </c>
      <c r="P2660" s="650" t="s">
        <v>3367</v>
      </c>
      <c r="Q2660" s="564"/>
      <c r="R2660" s="564">
        <v>1</v>
      </c>
    </row>
    <row r="2661" spans="1:18" x14ac:dyDescent="0.25">
      <c r="A2661" s="553">
        <v>26</v>
      </c>
      <c r="B2661" s="553">
        <v>3</v>
      </c>
      <c r="C2661" s="553">
        <v>2</v>
      </c>
      <c r="D2661" s="553">
        <v>4</v>
      </c>
      <c r="E2661" s="553">
        <v>2</v>
      </c>
      <c r="F2661" s="553">
        <v>2</v>
      </c>
      <c r="G2661" s="553" t="s">
        <v>478</v>
      </c>
      <c r="H2661" s="553">
        <v>1317.52</v>
      </c>
      <c r="I2661" s="553">
        <v>0</v>
      </c>
      <c r="J2661" s="553">
        <v>2</v>
      </c>
      <c r="K2661" s="553">
        <v>14</v>
      </c>
      <c r="L2661" s="553">
        <v>2</v>
      </c>
      <c r="M2661" s="505" t="s">
        <v>137</v>
      </c>
      <c r="N2661" s="500">
        <v>43013540210000</v>
      </c>
      <c r="O2661" s="553" t="s">
        <v>3365</v>
      </c>
      <c r="P2661" s="650" t="s">
        <v>3368</v>
      </c>
      <c r="Q2661" s="564"/>
      <c r="R2661" s="564">
        <v>1</v>
      </c>
    </row>
    <row r="2662" spans="1:18" x14ac:dyDescent="0.25">
      <c r="A2662" s="553">
        <v>26</v>
      </c>
      <c r="B2662" s="553">
        <v>3</v>
      </c>
      <c r="C2662" s="553">
        <v>2</v>
      </c>
      <c r="D2662" s="553">
        <v>4</v>
      </c>
      <c r="E2662" s="553">
        <v>2</v>
      </c>
      <c r="F2662" s="553">
        <v>2</v>
      </c>
      <c r="G2662" s="553" t="s">
        <v>484</v>
      </c>
      <c r="H2662" s="553">
        <v>1317.52</v>
      </c>
      <c r="I2662" s="553">
        <v>0</v>
      </c>
      <c r="J2662" s="553">
        <v>2</v>
      </c>
      <c r="K2662" s="553">
        <v>14</v>
      </c>
      <c r="L2662" s="553">
        <v>2</v>
      </c>
      <c r="M2662" s="505" t="s">
        <v>137</v>
      </c>
      <c r="N2662" s="500">
        <v>43013540210000</v>
      </c>
      <c r="O2662" s="553" t="s">
        <v>3365</v>
      </c>
      <c r="P2662" s="650" t="s">
        <v>3369</v>
      </c>
      <c r="Q2662" s="564"/>
      <c r="R2662" s="564">
        <v>1</v>
      </c>
    </row>
    <row r="2663" spans="1:18" x14ac:dyDescent="0.25">
      <c r="A2663" s="553">
        <v>26</v>
      </c>
      <c r="B2663" s="553">
        <v>3</v>
      </c>
      <c r="C2663" s="553">
        <v>2</v>
      </c>
      <c r="D2663" s="553">
        <v>4</v>
      </c>
      <c r="E2663" s="553">
        <v>2</v>
      </c>
      <c r="F2663" s="553">
        <v>2</v>
      </c>
      <c r="G2663" s="553" t="s">
        <v>486</v>
      </c>
      <c r="H2663" s="553">
        <v>1316.9</v>
      </c>
      <c r="I2663" s="553">
        <v>0</v>
      </c>
      <c r="J2663" s="553">
        <v>8</v>
      </c>
      <c r="K2663" s="553">
        <v>43</v>
      </c>
      <c r="L2663" s="553">
        <v>1</v>
      </c>
      <c r="M2663" s="505" t="s">
        <v>137</v>
      </c>
      <c r="N2663" s="500">
        <v>43013540210000</v>
      </c>
      <c r="O2663" s="553" t="s">
        <v>3365</v>
      </c>
      <c r="P2663" s="650" t="s">
        <v>3370</v>
      </c>
      <c r="Q2663" s="564"/>
      <c r="R2663" s="564">
        <v>1</v>
      </c>
    </row>
    <row r="2664" spans="1:18" x14ac:dyDescent="0.25">
      <c r="A2664" s="553">
        <v>26</v>
      </c>
      <c r="B2664" s="553">
        <v>3</v>
      </c>
      <c r="C2664" s="553">
        <v>2</v>
      </c>
      <c r="D2664" s="553">
        <v>4</v>
      </c>
      <c r="E2664" s="553">
        <v>2</v>
      </c>
      <c r="F2664" s="553">
        <v>2</v>
      </c>
      <c r="G2664" s="502" t="s">
        <v>488</v>
      </c>
      <c r="H2664" s="553">
        <v>1316</v>
      </c>
      <c r="I2664" s="553">
        <v>2</v>
      </c>
      <c r="J2664" s="553">
        <v>16</v>
      </c>
      <c r="K2664" s="553">
        <v>9</v>
      </c>
      <c r="L2664" s="553">
        <v>4</v>
      </c>
      <c r="M2664" s="505" t="s">
        <v>137</v>
      </c>
      <c r="N2664" s="500">
        <v>43013540210000</v>
      </c>
      <c r="O2664" s="553" t="s">
        <v>3365</v>
      </c>
      <c r="P2664" s="650" t="s">
        <v>3371</v>
      </c>
      <c r="Q2664" s="564"/>
      <c r="R2664" s="564">
        <v>1</v>
      </c>
    </row>
    <row r="2665" spans="1:18" x14ac:dyDescent="0.25">
      <c r="A2665" s="553">
        <v>26</v>
      </c>
      <c r="B2665" s="553">
        <v>3</v>
      </c>
      <c r="C2665" s="553">
        <v>2</v>
      </c>
      <c r="D2665" s="553">
        <v>4</v>
      </c>
      <c r="E2665" s="553">
        <v>2</v>
      </c>
      <c r="F2665" s="553">
        <v>2</v>
      </c>
      <c r="G2665" s="553" t="s">
        <v>490</v>
      </c>
      <c r="H2665" s="553">
        <v>1320</v>
      </c>
      <c r="I2665" s="553">
        <v>2</v>
      </c>
      <c r="J2665" s="553">
        <v>38</v>
      </c>
      <c r="K2665" s="553">
        <v>36</v>
      </c>
      <c r="L2665" s="553">
        <v>4</v>
      </c>
      <c r="M2665" s="505" t="s">
        <v>137</v>
      </c>
      <c r="N2665" s="500">
        <v>43013540210000</v>
      </c>
      <c r="O2665" s="553" t="s">
        <v>3365</v>
      </c>
      <c r="P2665" s="650" t="s">
        <v>3372</v>
      </c>
      <c r="Q2665" s="564"/>
      <c r="R2665" s="564">
        <v>1</v>
      </c>
    </row>
    <row r="2666" spans="1:18" x14ac:dyDescent="0.25">
      <c r="A2666" s="553">
        <v>26</v>
      </c>
      <c r="B2666" s="553">
        <v>3</v>
      </c>
      <c r="C2666" s="553">
        <v>2</v>
      </c>
      <c r="D2666" s="553">
        <v>4</v>
      </c>
      <c r="E2666" s="553">
        <v>2</v>
      </c>
      <c r="F2666" s="553">
        <v>2</v>
      </c>
      <c r="G2666" s="553" t="s">
        <v>493</v>
      </c>
      <c r="H2666" s="553">
        <v>1320</v>
      </c>
      <c r="I2666" s="553">
        <v>2</v>
      </c>
      <c r="J2666" s="553">
        <v>38</v>
      </c>
      <c r="K2666" s="553">
        <v>36</v>
      </c>
      <c r="L2666" s="553">
        <v>4</v>
      </c>
      <c r="M2666" s="505" t="s">
        <v>137</v>
      </c>
      <c r="N2666" s="500">
        <v>43013540210000</v>
      </c>
      <c r="O2666" s="553" t="s">
        <v>3365</v>
      </c>
      <c r="P2666" s="650" t="s">
        <v>3373</v>
      </c>
      <c r="Q2666" s="564"/>
      <c r="R2666" s="564">
        <v>1</v>
      </c>
    </row>
    <row r="2667" spans="1:18" x14ac:dyDescent="0.25">
      <c r="A2667" s="553">
        <v>26</v>
      </c>
      <c r="B2667" s="553">
        <v>3</v>
      </c>
      <c r="C2667" s="553">
        <v>2</v>
      </c>
      <c r="D2667" s="553">
        <v>4</v>
      </c>
      <c r="E2667" s="553">
        <v>2</v>
      </c>
      <c r="F2667" s="553">
        <v>2</v>
      </c>
      <c r="G2667" s="553" t="s">
        <v>474</v>
      </c>
      <c r="H2667" s="553">
        <v>1323.36</v>
      </c>
      <c r="I2667" s="553">
        <v>89</v>
      </c>
      <c r="J2667" s="553">
        <v>47</v>
      </c>
      <c r="K2667" s="553">
        <v>6</v>
      </c>
      <c r="L2667" s="553">
        <v>1</v>
      </c>
      <c r="M2667" s="505" t="s">
        <v>137</v>
      </c>
      <c r="N2667" s="500">
        <v>43013540210000</v>
      </c>
      <c r="O2667" s="553" t="s">
        <v>3365</v>
      </c>
      <c r="P2667" s="650" t="s">
        <v>3374</v>
      </c>
      <c r="Q2667" s="564"/>
      <c r="R2667" s="564">
        <v>1</v>
      </c>
    </row>
    <row r="2668" spans="1:18" x14ac:dyDescent="0.25">
      <c r="A2668" s="553">
        <v>26</v>
      </c>
      <c r="B2668" s="553">
        <v>3</v>
      </c>
      <c r="C2668" s="553">
        <v>2</v>
      </c>
      <c r="D2668" s="553">
        <v>4</v>
      </c>
      <c r="E2668" s="553">
        <v>2</v>
      </c>
      <c r="F2668" s="553">
        <v>2</v>
      </c>
      <c r="G2668" s="502" t="s">
        <v>477</v>
      </c>
      <c r="H2668" s="553">
        <v>1323.36</v>
      </c>
      <c r="I2668" s="553">
        <v>89</v>
      </c>
      <c r="J2668" s="553">
        <v>47</v>
      </c>
      <c r="K2668" s="553">
        <v>6</v>
      </c>
      <c r="L2668" s="553">
        <v>1</v>
      </c>
      <c r="M2668" s="505" t="s">
        <v>137</v>
      </c>
      <c r="N2668" s="500">
        <v>43013540210000</v>
      </c>
      <c r="O2668" s="553" t="s">
        <v>3365</v>
      </c>
      <c r="P2668" s="650" t="s">
        <v>3375</v>
      </c>
      <c r="Q2668" s="564"/>
      <c r="R2668" s="564">
        <v>1</v>
      </c>
    </row>
    <row r="2669" spans="1:18" x14ac:dyDescent="0.25">
      <c r="A2669" s="553">
        <v>26</v>
      </c>
      <c r="B2669" s="553">
        <v>3</v>
      </c>
      <c r="C2669" s="553">
        <v>2</v>
      </c>
      <c r="D2669" s="553">
        <v>4</v>
      </c>
      <c r="E2669" s="553">
        <v>2</v>
      </c>
      <c r="F2669" s="553">
        <v>2</v>
      </c>
      <c r="G2669" s="553" t="s">
        <v>479</v>
      </c>
      <c r="H2669" s="553">
        <v>1323.36</v>
      </c>
      <c r="I2669" s="553">
        <v>89</v>
      </c>
      <c r="J2669" s="553">
        <v>47</v>
      </c>
      <c r="K2669" s="553">
        <v>6</v>
      </c>
      <c r="L2669" s="553">
        <v>1</v>
      </c>
      <c r="M2669" s="505" t="s">
        <v>137</v>
      </c>
      <c r="N2669" s="500">
        <v>43013540210000</v>
      </c>
      <c r="O2669" s="553" t="s">
        <v>3365</v>
      </c>
      <c r="P2669" s="650" t="s">
        <v>3376</v>
      </c>
      <c r="Q2669" s="564"/>
      <c r="R2669" s="564">
        <v>1</v>
      </c>
    </row>
    <row r="2670" spans="1:18" x14ac:dyDescent="0.25">
      <c r="A2670" s="553">
        <v>26</v>
      </c>
      <c r="B2670" s="553">
        <v>3</v>
      </c>
      <c r="C2670" s="553">
        <v>2</v>
      </c>
      <c r="D2670" s="553">
        <v>4</v>
      </c>
      <c r="E2670" s="553">
        <v>2</v>
      </c>
      <c r="F2670" s="553">
        <v>2</v>
      </c>
      <c r="G2670" s="553" t="s">
        <v>485</v>
      </c>
      <c r="H2670" s="553">
        <v>1323.36</v>
      </c>
      <c r="I2670" s="553">
        <v>89</v>
      </c>
      <c r="J2670" s="553">
        <v>47</v>
      </c>
      <c r="K2670" s="553">
        <v>6</v>
      </c>
      <c r="L2670" s="553">
        <v>1</v>
      </c>
      <c r="M2670" s="505" t="s">
        <v>137</v>
      </c>
      <c r="N2670" s="500">
        <v>43013540210000</v>
      </c>
      <c r="O2670" s="553" t="s">
        <v>3365</v>
      </c>
      <c r="P2670" s="650" t="s">
        <v>3377</v>
      </c>
      <c r="Q2670" s="564"/>
      <c r="R2670" s="564">
        <v>1</v>
      </c>
    </row>
    <row r="2671" spans="1:18" x14ac:dyDescent="0.25">
      <c r="A2671" s="553">
        <v>26</v>
      </c>
      <c r="B2671" s="553">
        <v>3</v>
      </c>
      <c r="C2671" s="553">
        <v>2</v>
      </c>
      <c r="D2671" s="553">
        <v>4</v>
      </c>
      <c r="E2671" s="553">
        <v>2</v>
      </c>
      <c r="F2671" s="553">
        <v>2</v>
      </c>
      <c r="G2671" s="553" t="s">
        <v>487</v>
      </c>
      <c r="H2671" s="553">
        <v>1330.835</v>
      </c>
      <c r="I2671" s="553">
        <v>89</v>
      </c>
      <c r="J2671" s="553">
        <v>43</v>
      </c>
      <c r="K2671" s="553">
        <v>36</v>
      </c>
      <c r="L2671" s="553">
        <v>2</v>
      </c>
      <c r="M2671" s="505" t="s">
        <v>137</v>
      </c>
      <c r="N2671" s="500">
        <v>43013540210000</v>
      </c>
      <c r="O2671" s="553" t="s">
        <v>3365</v>
      </c>
      <c r="P2671" s="650" t="s">
        <v>3378</v>
      </c>
      <c r="Q2671" s="564"/>
      <c r="R2671" s="564">
        <v>1</v>
      </c>
    </row>
    <row r="2672" spans="1:18" x14ac:dyDescent="0.25">
      <c r="A2672" s="553">
        <v>26</v>
      </c>
      <c r="B2672" s="553">
        <v>3</v>
      </c>
      <c r="C2672" s="553">
        <v>2</v>
      </c>
      <c r="D2672" s="553">
        <v>4</v>
      </c>
      <c r="E2672" s="553">
        <v>2</v>
      </c>
      <c r="F2672" s="553">
        <v>2</v>
      </c>
      <c r="G2672" s="502" t="s">
        <v>489</v>
      </c>
      <c r="H2672" s="553">
        <v>1330.835</v>
      </c>
      <c r="I2672" s="553">
        <v>89</v>
      </c>
      <c r="J2672" s="553">
        <v>43</v>
      </c>
      <c r="K2672" s="553">
        <v>36</v>
      </c>
      <c r="L2672" s="553">
        <v>2</v>
      </c>
      <c r="M2672" s="505" t="s">
        <v>137</v>
      </c>
      <c r="N2672" s="500">
        <v>43013540210000</v>
      </c>
      <c r="O2672" s="553" t="s">
        <v>3365</v>
      </c>
      <c r="P2672" s="650" t="s">
        <v>3379</v>
      </c>
      <c r="Q2672" s="564"/>
      <c r="R2672" s="564">
        <v>1</v>
      </c>
    </row>
    <row r="2673" spans="1:18" x14ac:dyDescent="0.25">
      <c r="A2673" s="553">
        <v>26</v>
      </c>
      <c r="B2673" s="553">
        <v>3</v>
      </c>
      <c r="C2673" s="553">
        <v>2</v>
      </c>
      <c r="D2673" s="553">
        <v>4</v>
      </c>
      <c r="E2673" s="553">
        <v>2</v>
      </c>
      <c r="F2673" s="553">
        <v>2</v>
      </c>
      <c r="G2673" s="553" t="s">
        <v>491</v>
      </c>
      <c r="H2673" s="553">
        <v>1317.1</v>
      </c>
      <c r="I2673" s="553">
        <v>87</v>
      </c>
      <c r="J2673" s="553">
        <v>58</v>
      </c>
      <c r="K2673" s="553">
        <v>7</v>
      </c>
      <c r="L2673" s="553">
        <v>2</v>
      </c>
      <c r="M2673" s="505" t="s">
        <v>137</v>
      </c>
      <c r="N2673" s="500">
        <v>43013540210000</v>
      </c>
      <c r="O2673" s="553" t="s">
        <v>3365</v>
      </c>
      <c r="P2673" s="650" t="s">
        <v>3380</v>
      </c>
      <c r="Q2673" s="564"/>
      <c r="R2673" s="564">
        <v>1</v>
      </c>
    </row>
    <row r="2674" spans="1:18" x14ac:dyDescent="0.25">
      <c r="A2674" s="553">
        <v>26</v>
      </c>
      <c r="B2674" s="553">
        <v>3</v>
      </c>
      <c r="C2674" s="553">
        <v>2</v>
      </c>
      <c r="D2674" s="553">
        <v>4</v>
      </c>
      <c r="E2674" s="553">
        <v>2</v>
      </c>
      <c r="F2674" s="553">
        <v>2</v>
      </c>
      <c r="G2674" s="553" t="s">
        <v>494</v>
      </c>
      <c r="H2674" s="553">
        <v>1317.1</v>
      </c>
      <c r="I2674" s="553">
        <v>87</v>
      </c>
      <c r="J2674" s="553">
        <v>58</v>
      </c>
      <c r="K2674" s="553">
        <v>7</v>
      </c>
      <c r="L2674" s="553">
        <v>2</v>
      </c>
      <c r="M2674" s="505" t="s">
        <v>137</v>
      </c>
      <c r="N2674" s="500">
        <v>43013540210000</v>
      </c>
      <c r="O2674" s="553" t="s">
        <v>3365</v>
      </c>
      <c r="P2674" s="650" t="s">
        <v>3381</v>
      </c>
      <c r="Q2674" s="564"/>
      <c r="R2674" s="564">
        <v>1</v>
      </c>
    </row>
    <row r="2675" spans="1:18" x14ac:dyDescent="0.25">
      <c r="A2675" s="564">
        <v>26</v>
      </c>
      <c r="B2675" s="564">
        <v>2</v>
      </c>
      <c r="C2675" s="564">
        <v>2</v>
      </c>
      <c r="D2675" s="564">
        <v>1</v>
      </c>
      <c r="E2675" s="564">
        <v>2</v>
      </c>
      <c r="F2675" s="564">
        <v>2</v>
      </c>
      <c r="G2675" s="564" t="s">
        <v>473</v>
      </c>
      <c r="H2675" s="564">
        <v>1319.585</v>
      </c>
      <c r="I2675" s="564">
        <v>0</v>
      </c>
      <c r="J2675" s="564">
        <v>23</v>
      </c>
      <c r="K2675" s="564">
        <v>17</v>
      </c>
      <c r="L2675" s="564">
        <v>4</v>
      </c>
      <c r="M2675" s="561" t="s">
        <v>137</v>
      </c>
      <c r="N2675" s="651">
        <v>4304756623</v>
      </c>
      <c r="O2675" s="564" t="s">
        <v>2985</v>
      </c>
      <c r="P2675" s="564" t="s">
        <v>3382</v>
      </c>
      <c r="Q2675" s="564"/>
      <c r="R2675" s="564">
        <v>2</v>
      </c>
    </row>
    <row r="2676" spans="1:18" x14ac:dyDescent="0.25">
      <c r="A2676" s="564">
        <v>26</v>
      </c>
      <c r="B2676" s="564">
        <v>2</v>
      </c>
      <c r="C2676" s="564">
        <v>2</v>
      </c>
      <c r="D2676" s="564">
        <v>1</v>
      </c>
      <c r="E2676" s="564">
        <v>2</v>
      </c>
      <c r="F2676" s="564">
        <v>2</v>
      </c>
      <c r="G2676" s="521" t="s">
        <v>476</v>
      </c>
      <c r="H2676" s="564">
        <v>1319.585</v>
      </c>
      <c r="I2676" s="564">
        <v>0</v>
      </c>
      <c r="J2676" s="564">
        <v>23</v>
      </c>
      <c r="K2676" s="564">
        <v>17</v>
      </c>
      <c r="L2676" s="564">
        <v>4</v>
      </c>
      <c r="M2676" s="561" t="s">
        <v>137</v>
      </c>
      <c r="N2676" s="651">
        <v>4304756623</v>
      </c>
      <c r="O2676" s="564" t="s">
        <v>2985</v>
      </c>
      <c r="P2676" s="564" t="s">
        <v>3383</v>
      </c>
      <c r="Q2676" s="564"/>
      <c r="R2676" s="564">
        <v>2</v>
      </c>
    </row>
    <row r="2677" spans="1:18" x14ac:dyDescent="0.25">
      <c r="A2677" s="564">
        <v>26</v>
      </c>
      <c r="B2677" s="564">
        <v>2</v>
      </c>
      <c r="C2677" s="564">
        <v>2</v>
      </c>
      <c r="D2677" s="564">
        <v>1</v>
      </c>
      <c r="E2677" s="564">
        <v>2</v>
      </c>
      <c r="F2677" s="564">
        <v>2</v>
      </c>
      <c r="G2677" s="564" t="s">
        <v>478</v>
      </c>
      <c r="H2677" s="564">
        <v>1323.62</v>
      </c>
      <c r="I2677" s="564">
        <v>0</v>
      </c>
      <c r="J2677" s="564">
        <v>21</v>
      </c>
      <c r="K2677" s="564">
        <v>3</v>
      </c>
      <c r="L2677" s="564">
        <v>4</v>
      </c>
      <c r="M2677" s="561" t="s">
        <v>137</v>
      </c>
      <c r="N2677" s="651">
        <v>4304756623</v>
      </c>
      <c r="O2677" s="564" t="s">
        <v>2985</v>
      </c>
      <c r="P2677" s="564" t="s">
        <v>3384</v>
      </c>
      <c r="Q2677" s="564"/>
      <c r="R2677" s="564">
        <v>2</v>
      </c>
    </row>
    <row r="2678" spans="1:18" x14ac:dyDescent="0.25">
      <c r="A2678" s="564">
        <v>26</v>
      </c>
      <c r="B2678" s="564">
        <v>2</v>
      </c>
      <c r="C2678" s="564">
        <v>2</v>
      </c>
      <c r="D2678" s="564">
        <v>1</v>
      </c>
      <c r="E2678" s="564">
        <v>2</v>
      </c>
      <c r="F2678" s="564">
        <v>2</v>
      </c>
      <c r="G2678" s="564" t="s">
        <v>484</v>
      </c>
      <c r="H2678" s="564">
        <v>1323.62</v>
      </c>
      <c r="I2678" s="564">
        <v>0</v>
      </c>
      <c r="J2678" s="564">
        <v>21</v>
      </c>
      <c r="K2678" s="564">
        <v>3</v>
      </c>
      <c r="L2678" s="564">
        <v>4</v>
      </c>
      <c r="M2678" s="561" t="s">
        <v>137</v>
      </c>
      <c r="N2678" s="651">
        <v>4304756623</v>
      </c>
      <c r="O2678" s="564" t="s">
        <v>2985</v>
      </c>
      <c r="P2678" s="564" t="s">
        <v>3385</v>
      </c>
      <c r="Q2678" s="564"/>
      <c r="R2678" s="564">
        <v>2</v>
      </c>
    </row>
    <row r="2679" spans="1:18" x14ac:dyDescent="0.25">
      <c r="A2679" s="564">
        <v>26</v>
      </c>
      <c r="B2679" s="564">
        <v>2</v>
      </c>
      <c r="C2679" s="564">
        <v>2</v>
      </c>
      <c r="D2679" s="564">
        <v>1</v>
      </c>
      <c r="E2679" s="564">
        <v>2</v>
      </c>
      <c r="F2679" s="564">
        <v>2</v>
      </c>
      <c r="G2679" s="564" t="s">
        <v>486</v>
      </c>
      <c r="H2679" s="564">
        <v>1321.845</v>
      </c>
      <c r="I2679" s="564">
        <v>0</v>
      </c>
      <c r="J2679" s="564">
        <v>6</v>
      </c>
      <c r="K2679" s="564">
        <v>29</v>
      </c>
      <c r="L2679" s="564">
        <v>4</v>
      </c>
      <c r="M2679" s="561" t="s">
        <v>137</v>
      </c>
      <c r="N2679" s="651">
        <v>4304756623</v>
      </c>
      <c r="O2679" s="564" t="s">
        <v>2985</v>
      </c>
      <c r="P2679" s="564" t="s">
        <v>3386</v>
      </c>
      <c r="Q2679" s="564"/>
      <c r="R2679" s="564">
        <v>2</v>
      </c>
    </row>
    <row r="2680" spans="1:18" x14ac:dyDescent="0.25">
      <c r="A2680" s="564">
        <v>26</v>
      </c>
      <c r="B2680" s="564">
        <v>2</v>
      </c>
      <c r="C2680" s="564">
        <v>2</v>
      </c>
      <c r="D2680" s="564">
        <v>1</v>
      </c>
      <c r="E2680" s="564">
        <v>2</v>
      </c>
      <c r="F2680" s="564">
        <v>2</v>
      </c>
      <c r="G2680" s="521" t="s">
        <v>488</v>
      </c>
      <c r="H2680" s="564">
        <v>1321.845</v>
      </c>
      <c r="I2680" s="564">
        <v>0</v>
      </c>
      <c r="J2680" s="564">
        <v>6</v>
      </c>
      <c r="K2680" s="564">
        <v>29</v>
      </c>
      <c r="L2680" s="564">
        <v>4</v>
      </c>
      <c r="M2680" s="561" t="s">
        <v>137</v>
      </c>
      <c r="N2680" s="651">
        <v>4304756623</v>
      </c>
      <c r="O2680" s="564" t="s">
        <v>2985</v>
      </c>
      <c r="P2680" s="564" t="s">
        <v>3387</v>
      </c>
      <c r="Q2680" s="564"/>
      <c r="R2680" s="564">
        <v>2</v>
      </c>
    </row>
    <row r="2681" spans="1:18" x14ac:dyDescent="0.25">
      <c r="A2681" s="564">
        <v>26</v>
      </c>
      <c r="B2681" s="564">
        <v>2</v>
      </c>
      <c r="C2681" s="564">
        <v>2</v>
      </c>
      <c r="D2681" s="564">
        <v>1</v>
      </c>
      <c r="E2681" s="564">
        <v>2</v>
      </c>
      <c r="F2681" s="564">
        <v>2</v>
      </c>
      <c r="G2681" s="564" t="s">
        <v>490</v>
      </c>
      <c r="H2681" s="564">
        <v>1325.395</v>
      </c>
      <c r="I2681" s="564">
        <v>0</v>
      </c>
      <c r="J2681" s="564">
        <v>18</v>
      </c>
      <c r="K2681" s="564">
        <v>10</v>
      </c>
      <c r="L2681" s="564">
        <v>4</v>
      </c>
      <c r="M2681" s="561" t="s">
        <v>137</v>
      </c>
      <c r="N2681" s="651">
        <v>4304756623</v>
      </c>
      <c r="O2681" s="564" t="s">
        <v>2985</v>
      </c>
      <c r="P2681" s="564" t="s">
        <v>3388</v>
      </c>
      <c r="Q2681" s="564"/>
      <c r="R2681" s="564">
        <v>2</v>
      </c>
    </row>
    <row r="2682" spans="1:18" x14ac:dyDescent="0.25">
      <c r="A2682" s="564">
        <v>26</v>
      </c>
      <c r="B2682" s="564">
        <v>2</v>
      </c>
      <c r="C2682" s="564">
        <v>2</v>
      </c>
      <c r="D2682" s="564">
        <v>1</v>
      </c>
      <c r="E2682" s="564">
        <v>2</v>
      </c>
      <c r="F2682" s="564">
        <v>2</v>
      </c>
      <c r="G2682" s="564" t="s">
        <v>493</v>
      </c>
      <c r="H2682" s="564">
        <v>1325.395</v>
      </c>
      <c r="I2682" s="564">
        <v>0</v>
      </c>
      <c r="J2682" s="564">
        <v>18</v>
      </c>
      <c r="K2682" s="564">
        <v>10</v>
      </c>
      <c r="L2682" s="564">
        <v>4</v>
      </c>
      <c r="M2682" s="561" t="s">
        <v>137</v>
      </c>
      <c r="N2682" s="651">
        <v>4304756623</v>
      </c>
      <c r="O2682" s="564" t="s">
        <v>2985</v>
      </c>
      <c r="P2682" s="564" t="s">
        <v>3389</v>
      </c>
      <c r="Q2682" s="564"/>
      <c r="R2682" s="564">
        <v>2</v>
      </c>
    </row>
    <row r="2683" spans="1:18" x14ac:dyDescent="0.25">
      <c r="A2683" s="564">
        <v>26</v>
      </c>
      <c r="B2683" s="564">
        <v>2</v>
      </c>
      <c r="C2683" s="564">
        <v>2</v>
      </c>
      <c r="D2683" s="564">
        <v>1</v>
      </c>
      <c r="E2683" s="564">
        <v>2</v>
      </c>
      <c r="F2683" s="564">
        <v>2</v>
      </c>
      <c r="G2683" s="564" t="s">
        <v>474</v>
      </c>
      <c r="H2683" s="564">
        <v>1320.26</v>
      </c>
      <c r="I2683" s="564">
        <v>89</v>
      </c>
      <c r="J2683" s="564">
        <v>31</v>
      </c>
      <c r="K2683" s="564">
        <v>47</v>
      </c>
      <c r="L2683" s="564">
        <v>3</v>
      </c>
      <c r="M2683" s="561" t="s">
        <v>137</v>
      </c>
      <c r="N2683" s="651">
        <v>4304756623</v>
      </c>
      <c r="O2683" s="564" t="s">
        <v>2985</v>
      </c>
      <c r="P2683" s="564" t="s">
        <v>3390</v>
      </c>
      <c r="Q2683" s="564"/>
      <c r="R2683" s="564">
        <v>2</v>
      </c>
    </row>
    <row r="2684" spans="1:18" x14ac:dyDescent="0.25">
      <c r="A2684" s="564">
        <v>26</v>
      </c>
      <c r="B2684" s="564">
        <v>2</v>
      </c>
      <c r="C2684" s="564">
        <v>2</v>
      </c>
      <c r="D2684" s="564">
        <v>1</v>
      </c>
      <c r="E2684" s="564">
        <v>2</v>
      </c>
      <c r="F2684" s="564">
        <v>2</v>
      </c>
      <c r="G2684" s="521" t="s">
        <v>477</v>
      </c>
      <c r="H2684" s="564">
        <v>1320.26</v>
      </c>
      <c r="I2684" s="564">
        <v>89</v>
      </c>
      <c r="J2684" s="564">
        <v>31</v>
      </c>
      <c r="K2684" s="564">
        <v>47</v>
      </c>
      <c r="L2684" s="564">
        <v>3</v>
      </c>
      <c r="M2684" s="561" t="s">
        <v>137</v>
      </c>
      <c r="N2684" s="651">
        <v>4304756623</v>
      </c>
      <c r="O2684" s="564" t="s">
        <v>2985</v>
      </c>
      <c r="P2684" s="564" t="s">
        <v>3391</v>
      </c>
      <c r="Q2684" s="564"/>
      <c r="R2684" s="564">
        <v>2</v>
      </c>
    </row>
    <row r="2685" spans="1:18" x14ac:dyDescent="0.25">
      <c r="A2685" s="564">
        <v>26</v>
      </c>
      <c r="B2685" s="564">
        <v>2</v>
      </c>
      <c r="C2685" s="564">
        <v>2</v>
      </c>
      <c r="D2685" s="564">
        <v>1</v>
      </c>
      <c r="E2685" s="564">
        <v>2</v>
      </c>
      <c r="F2685" s="564">
        <v>2</v>
      </c>
      <c r="G2685" s="564" t="s">
        <v>479</v>
      </c>
      <c r="H2685" s="564">
        <v>1320.0250000000001</v>
      </c>
      <c r="I2685" s="564">
        <v>89</v>
      </c>
      <c r="J2685" s="564">
        <v>32</v>
      </c>
      <c r="K2685" s="564">
        <v>9</v>
      </c>
      <c r="L2685" s="564">
        <v>3</v>
      </c>
      <c r="M2685" s="561" t="s">
        <v>137</v>
      </c>
      <c r="N2685" s="651">
        <v>4304756623</v>
      </c>
      <c r="O2685" s="564" t="s">
        <v>2985</v>
      </c>
      <c r="P2685" s="564" t="s">
        <v>3392</v>
      </c>
      <c r="Q2685" s="564"/>
      <c r="R2685" s="564">
        <v>2</v>
      </c>
    </row>
    <row r="2686" spans="1:18" x14ac:dyDescent="0.25">
      <c r="A2686" s="564">
        <v>26</v>
      </c>
      <c r="B2686" s="564">
        <v>2</v>
      </c>
      <c r="C2686" s="564">
        <v>2</v>
      </c>
      <c r="D2686" s="564">
        <v>1</v>
      </c>
      <c r="E2686" s="564">
        <v>2</v>
      </c>
      <c r="F2686" s="564">
        <v>2</v>
      </c>
      <c r="G2686" s="564" t="s">
        <v>485</v>
      </c>
      <c r="H2686" s="564">
        <v>1320.0250000000001</v>
      </c>
      <c r="I2686" s="564">
        <v>89</v>
      </c>
      <c r="J2686" s="564">
        <v>32</v>
      </c>
      <c r="K2686" s="564">
        <v>9</v>
      </c>
      <c r="L2686" s="564">
        <v>3</v>
      </c>
      <c r="M2686" s="561" t="s">
        <v>137</v>
      </c>
      <c r="N2686" s="651">
        <v>4304756623</v>
      </c>
      <c r="O2686" s="564" t="s">
        <v>2985</v>
      </c>
      <c r="P2686" s="564" t="s">
        <v>3393</v>
      </c>
      <c r="Q2686" s="564"/>
      <c r="R2686" s="564">
        <v>2</v>
      </c>
    </row>
    <row r="2687" spans="1:18" x14ac:dyDescent="0.25">
      <c r="A2687" s="564">
        <v>26</v>
      </c>
      <c r="B2687" s="564">
        <v>2</v>
      </c>
      <c r="C2687" s="564">
        <v>2</v>
      </c>
      <c r="D2687" s="564">
        <v>1</v>
      </c>
      <c r="E2687" s="564">
        <v>2</v>
      </c>
      <c r="F2687" s="564">
        <v>2</v>
      </c>
      <c r="G2687" s="564" t="s">
        <v>487</v>
      </c>
      <c r="H2687" s="564">
        <v>1315.635</v>
      </c>
      <c r="I2687" s="564">
        <v>89</v>
      </c>
      <c r="J2687" s="564">
        <v>38</v>
      </c>
      <c r="K2687" s="564">
        <v>4</v>
      </c>
      <c r="L2687" s="564">
        <v>3</v>
      </c>
      <c r="M2687" s="561" t="s">
        <v>137</v>
      </c>
      <c r="N2687" s="651">
        <v>4304756623</v>
      </c>
      <c r="O2687" s="564" t="s">
        <v>2985</v>
      </c>
      <c r="P2687" s="564" t="s">
        <v>3394</v>
      </c>
      <c r="Q2687" s="564"/>
      <c r="R2687" s="564">
        <v>2</v>
      </c>
    </row>
    <row r="2688" spans="1:18" x14ac:dyDescent="0.25">
      <c r="A2688" s="564">
        <v>26</v>
      </c>
      <c r="B2688" s="564">
        <v>2</v>
      </c>
      <c r="C2688" s="564">
        <v>2</v>
      </c>
      <c r="D2688" s="564">
        <v>1</v>
      </c>
      <c r="E2688" s="564">
        <v>2</v>
      </c>
      <c r="F2688" s="564">
        <v>2</v>
      </c>
      <c r="G2688" s="521" t="s">
        <v>489</v>
      </c>
      <c r="H2688" s="564">
        <v>1315.635</v>
      </c>
      <c r="I2688" s="564">
        <v>89</v>
      </c>
      <c r="J2688" s="564">
        <v>38</v>
      </c>
      <c r="K2688" s="564">
        <v>4</v>
      </c>
      <c r="L2688" s="564">
        <v>3</v>
      </c>
      <c r="M2688" s="561" t="s">
        <v>137</v>
      </c>
      <c r="N2688" s="651">
        <v>4304756623</v>
      </c>
      <c r="O2688" s="564" t="s">
        <v>2985</v>
      </c>
      <c r="P2688" s="564" t="s">
        <v>3395</v>
      </c>
      <c r="Q2688" s="564"/>
      <c r="R2688" s="564">
        <v>2</v>
      </c>
    </row>
    <row r="2689" spans="1:18" x14ac:dyDescent="0.25">
      <c r="A2689" s="564">
        <v>26</v>
      </c>
      <c r="B2689" s="564">
        <v>2</v>
      </c>
      <c r="C2689" s="564">
        <v>2</v>
      </c>
      <c r="D2689" s="564">
        <v>1</v>
      </c>
      <c r="E2689" s="564">
        <v>2</v>
      </c>
      <c r="F2689" s="564">
        <v>2</v>
      </c>
      <c r="G2689" s="564" t="s">
        <v>491</v>
      </c>
      <c r="H2689" s="564">
        <v>1317.07</v>
      </c>
      <c r="I2689" s="564">
        <v>89</v>
      </c>
      <c r="J2689" s="564">
        <v>36</v>
      </c>
      <c r="K2689" s="564">
        <v>19</v>
      </c>
      <c r="L2689" s="564">
        <v>3</v>
      </c>
      <c r="M2689" s="561" t="s">
        <v>137</v>
      </c>
      <c r="N2689" s="651">
        <v>4304756623</v>
      </c>
      <c r="O2689" s="564" t="s">
        <v>2985</v>
      </c>
      <c r="P2689" s="564" t="s">
        <v>3396</v>
      </c>
      <c r="Q2689" s="564"/>
      <c r="R2689" s="564">
        <v>2</v>
      </c>
    </row>
    <row r="2690" spans="1:18" x14ac:dyDescent="0.25">
      <c r="A2690" s="564">
        <v>26</v>
      </c>
      <c r="B2690" s="564">
        <v>2</v>
      </c>
      <c r="C2690" s="564">
        <v>2</v>
      </c>
      <c r="D2690" s="564">
        <v>1</v>
      </c>
      <c r="E2690" s="564">
        <v>2</v>
      </c>
      <c r="F2690" s="564">
        <v>2</v>
      </c>
      <c r="G2690" s="564" t="s">
        <v>494</v>
      </c>
      <c r="H2690" s="564">
        <v>1317.07</v>
      </c>
      <c r="I2690" s="564">
        <v>89</v>
      </c>
      <c r="J2690" s="564">
        <v>36</v>
      </c>
      <c r="K2690" s="564">
        <v>19</v>
      </c>
      <c r="L2690" s="564">
        <v>3</v>
      </c>
      <c r="M2690" s="561" t="s">
        <v>137</v>
      </c>
      <c r="N2690" s="651">
        <v>4304756623</v>
      </c>
      <c r="O2690" s="564" t="s">
        <v>2985</v>
      </c>
      <c r="P2690" s="564" t="s">
        <v>3397</v>
      </c>
      <c r="Q2690" s="564"/>
      <c r="R2690" s="564">
        <v>2</v>
      </c>
    </row>
    <row r="2691" spans="1:18" x14ac:dyDescent="0.25">
      <c r="A2691" s="564">
        <v>26</v>
      </c>
      <c r="B2691" s="564">
        <v>4</v>
      </c>
      <c r="C2691" s="564">
        <v>2</v>
      </c>
      <c r="D2691" s="564">
        <v>2</v>
      </c>
      <c r="E2691" s="564">
        <v>1</v>
      </c>
      <c r="F2691" s="564">
        <v>2</v>
      </c>
      <c r="G2691" s="564" t="s">
        <v>473</v>
      </c>
      <c r="H2691" s="564">
        <v>1318.16</v>
      </c>
      <c r="I2691" s="564">
        <v>1</v>
      </c>
      <c r="J2691" s="564">
        <v>4</v>
      </c>
      <c r="K2691" s="564">
        <v>52</v>
      </c>
      <c r="L2691" s="564">
        <v>4</v>
      </c>
      <c r="M2691" s="561" t="s">
        <v>312</v>
      </c>
      <c r="N2691" s="651">
        <v>4304756721</v>
      </c>
      <c r="O2691" s="564" t="s">
        <v>3398</v>
      </c>
      <c r="P2691" s="564" t="s">
        <v>3399</v>
      </c>
      <c r="Q2691" s="564"/>
      <c r="R2691" s="564">
        <v>1</v>
      </c>
    </row>
    <row r="2692" spans="1:18" x14ac:dyDescent="0.25">
      <c r="A2692" s="564">
        <v>26</v>
      </c>
      <c r="B2692" s="564">
        <v>4</v>
      </c>
      <c r="C2692" s="564">
        <v>2</v>
      </c>
      <c r="D2692" s="564">
        <v>2</v>
      </c>
      <c r="E2692" s="564">
        <v>1</v>
      </c>
      <c r="F2692" s="564">
        <v>2</v>
      </c>
      <c r="G2692" s="521" t="s">
        <v>476</v>
      </c>
      <c r="H2692" s="564">
        <v>1318.16</v>
      </c>
      <c r="I2692" s="564">
        <v>1</v>
      </c>
      <c r="J2692" s="564">
        <v>4</v>
      </c>
      <c r="K2692" s="564">
        <v>52</v>
      </c>
      <c r="L2692" s="564">
        <v>4</v>
      </c>
      <c r="M2692" s="561" t="s">
        <v>312</v>
      </c>
      <c r="N2692" s="651">
        <v>4304756721</v>
      </c>
      <c r="O2692" s="564" t="s">
        <v>3398</v>
      </c>
      <c r="P2692" s="564" t="s">
        <v>3400</v>
      </c>
      <c r="Q2692" s="564"/>
      <c r="R2692" s="564">
        <v>1</v>
      </c>
    </row>
    <row r="2693" spans="1:18" x14ac:dyDescent="0.25">
      <c r="A2693" s="564">
        <v>26</v>
      </c>
      <c r="B2693" s="564">
        <v>4</v>
      </c>
      <c r="C2693" s="564">
        <v>2</v>
      </c>
      <c r="D2693" s="564">
        <v>2</v>
      </c>
      <c r="E2693" s="564">
        <v>1</v>
      </c>
      <c r="F2693" s="564">
        <v>2</v>
      </c>
      <c r="G2693" s="564" t="s">
        <v>478</v>
      </c>
      <c r="H2693" s="564">
        <v>1319.5</v>
      </c>
      <c r="I2693" s="564">
        <v>1</v>
      </c>
      <c r="J2693" s="564">
        <v>6</v>
      </c>
      <c r="K2693" s="564">
        <v>2</v>
      </c>
      <c r="L2693" s="564">
        <v>4</v>
      </c>
      <c r="M2693" s="561" t="s">
        <v>312</v>
      </c>
      <c r="N2693" s="651">
        <v>4304756721</v>
      </c>
      <c r="O2693" s="564" t="s">
        <v>3398</v>
      </c>
      <c r="P2693" s="564" t="s">
        <v>3401</v>
      </c>
      <c r="Q2693" s="564"/>
      <c r="R2693" s="564">
        <v>1</v>
      </c>
    </row>
    <row r="2694" spans="1:18" x14ac:dyDescent="0.25">
      <c r="A2694" s="564">
        <v>26</v>
      </c>
      <c r="B2694" s="564">
        <v>4</v>
      </c>
      <c r="C2694" s="564">
        <v>2</v>
      </c>
      <c r="D2694" s="564">
        <v>2</v>
      </c>
      <c r="E2694" s="564">
        <v>1</v>
      </c>
      <c r="F2694" s="564">
        <v>2</v>
      </c>
      <c r="G2694" s="564" t="s">
        <v>484</v>
      </c>
      <c r="H2694" s="564">
        <v>1319.5</v>
      </c>
      <c r="I2694" s="564">
        <v>1</v>
      </c>
      <c r="J2694" s="564">
        <v>6</v>
      </c>
      <c r="K2694" s="564">
        <v>2</v>
      </c>
      <c r="L2694" s="564">
        <v>4</v>
      </c>
      <c r="M2694" s="561" t="s">
        <v>312</v>
      </c>
      <c r="N2694" s="651">
        <v>4304756721</v>
      </c>
      <c r="O2694" s="564" t="s">
        <v>3398</v>
      </c>
      <c r="P2694" s="564" t="s">
        <v>3402</v>
      </c>
      <c r="Q2694" s="564"/>
      <c r="R2694" s="564">
        <v>1</v>
      </c>
    </row>
    <row r="2695" spans="1:18" x14ac:dyDescent="0.25">
      <c r="A2695" s="564">
        <v>26</v>
      </c>
      <c r="B2695" s="564">
        <v>4</v>
      </c>
      <c r="C2695" s="564">
        <v>2</v>
      </c>
      <c r="D2695" s="564">
        <v>2</v>
      </c>
      <c r="E2695" s="564">
        <v>1</v>
      </c>
      <c r="F2695" s="564">
        <v>2</v>
      </c>
      <c r="G2695" s="564" t="s">
        <v>486</v>
      </c>
      <c r="H2695" s="564">
        <v>1315.65</v>
      </c>
      <c r="I2695" s="564">
        <v>2</v>
      </c>
      <c r="J2695" s="564">
        <v>27</v>
      </c>
      <c r="K2695" s="564">
        <v>13</v>
      </c>
      <c r="L2695" s="564">
        <v>4</v>
      </c>
      <c r="M2695" s="561" t="s">
        <v>312</v>
      </c>
      <c r="N2695" s="651">
        <v>4304756721</v>
      </c>
      <c r="O2695" s="564" t="s">
        <v>3398</v>
      </c>
      <c r="P2695" s="564" t="s">
        <v>3403</v>
      </c>
      <c r="Q2695" s="564"/>
      <c r="R2695" s="564">
        <v>1</v>
      </c>
    </row>
    <row r="2696" spans="1:18" x14ac:dyDescent="0.25">
      <c r="A2696" s="564">
        <v>26</v>
      </c>
      <c r="B2696" s="564">
        <v>4</v>
      </c>
      <c r="C2696" s="564">
        <v>2</v>
      </c>
      <c r="D2696" s="564">
        <v>2</v>
      </c>
      <c r="E2696" s="564">
        <v>1</v>
      </c>
      <c r="F2696" s="564">
        <v>2</v>
      </c>
      <c r="G2696" s="521" t="s">
        <v>488</v>
      </c>
      <c r="H2696" s="564">
        <v>1315.85</v>
      </c>
      <c r="I2696" s="564">
        <v>2</v>
      </c>
      <c r="J2696" s="564">
        <v>26</v>
      </c>
      <c r="K2696" s="564">
        <v>55</v>
      </c>
      <c r="L2696" s="564">
        <v>4</v>
      </c>
      <c r="M2696" s="561" t="s">
        <v>312</v>
      </c>
      <c r="N2696" s="651">
        <v>4304756721</v>
      </c>
      <c r="O2696" s="564" t="s">
        <v>3398</v>
      </c>
      <c r="P2696" s="564" t="s">
        <v>3404</v>
      </c>
      <c r="Q2696" s="564"/>
      <c r="R2696" s="564">
        <v>1</v>
      </c>
    </row>
    <row r="2697" spans="1:18" x14ac:dyDescent="0.25">
      <c r="A2697" s="564">
        <v>26</v>
      </c>
      <c r="B2697" s="564">
        <v>4</v>
      </c>
      <c r="C2697" s="564">
        <v>2</v>
      </c>
      <c r="D2697" s="564">
        <v>2</v>
      </c>
      <c r="E2697" s="564">
        <v>1</v>
      </c>
      <c r="F2697" s="564">
        <v>2</v>
      </c>
      <c r="G2697" s="564" t="s">
        <v>490</v>
      </c>
      <c r="H2697" s="564">
        <v>1315.71</v>
      </c>
      <c r="I2697" s="564">
        <v>2</v>
      </c>
      <c r="J2697" s="564">
        <v>27</v>
      </c>
      <c r="K2697" s="564">
        <v>5</v>
      </c>
      <c r="L2697" s="564">
        <v>4</v>
      </c>
      <c r="M2697" s="561" t="s">
        <v>312</v>
      </c>
      <c r="N2697" s="651">
        <v>4304756721</v>
      </c>
      <c r="O2697" s="564" t="s">
        <v>3398</v>
      </c>
      <c r="P2697" s="564" t="s">
        <v>3405</v>
      </c>
      <c r="Q2697" s="564"/>
      <c r="R2697" s="564">
        <v>1</v>
      </c>
    </row>
    <row r="2698" spans="1:18" x14ac:dyDescent="0.25">
      <c r="A2698" s="564">
        <v>26</v>
      </c>
      <c r="B2698" s="564">
        <v>4</v>
      </c>
      <c r="C2698" s="564">
        <v>2</v>
      </c>
      <c r="D2698" s="564">
        <v>2</v>
      </c>
      <c r="E2698" s="564">
        <v>1</v>
      </c>
      <c r="F2698" s="564">
        <v>2</v>
      </c>
      <c r="G2698" s="564" t="s">
        <v>493</v>
      </c>
      <c r="H2698" s="564">
        <v>1315.71</v>
      </c>
      <c r="I2698" s="564">
        <v>2</v>
      </c>
      <c r="J2698" s="564">
        <v>27</v>
      </c>
      <c r="K2698" s="564">
        <v>5</v>
      </c>
      <c r="L2698" s="564">
        <v>4</v>
      </c>
      <c r="M2698" s="561" t="s">
        <v>312</v>
      </c>
      <c r="N2698" s="651">
        <v>4304756721</v>
      </c>
      <c r="O2698" s="564" t="s">
        <v>3398</v>
      </c>
      <c r="P2698" s="564" t="s">
        <v>3406</v>
      </c>
      <c r="Q2698" s="564"/>
      <c r="R2698" s="564">
        <v>1</v>
      </c>
    </row>
    <row r="2699" spans="1:18" x14ac:dyDescent="0.25">
      <c r="A2699" s="564">
        <v>26</v>
      </c>
      <c r="B2699" s="564">
        <v>4</v>
      </c>
      <c r="C2699" s="564">
        <v>2</v>
      </c>
      <c r="D2699" s="564">
        <v>2</v>
      </c>
      <c r="E2699" s="564">
        <v>1</v>
      </c>
      <c r="F2699" s="564">
        <v>2</v>
      </c>
      <c r="G2699" s="564" t="s">
        <v>474</v>
      </c>
      <c r="H2699" s="564">
        <v>1327.585</v>
      </c>
      <c r="I2699" s="564">
        <v>88</v>
      </c>
      <c r="J2699" s="564">
        <v>57</v>
      </c>
      <c r="K2699" s="564">
        <v>10</v>
      </c>
      <c r="L2699" s="564">
        <v>3</v>
      </c>
      <c r="M2699" s="561" t="s">
        <v>312</v>
      </c>
      <c r="N2699" s="651">
        <v>4304756721</v>
      </c>
      <c r="O2699" s="564" t="s">
        <v>3398</v>
      </c>
      <c r="P2699" s="564" t="s">
        <v>3407</v>
      </c>
      <c r="Q2699" s="564"/>
      <c r="R2699" s="564">
        <v>1</v>
      </c>
    </row>
    <row r="2700" spans="1:18" x14ac:dyDescent="0.25">
      <c r="A2700" s="564">
        <v>26</v>
      </c>
      <c r="B2700" s="564">
        <v>4</v>
      </c>
      <c r="C2700" s="564">
        <v>2</v>
      </c>
      <c r="D2700" s="564">
        <v>2</v>
      </c>
      <c r="E2700" s="564">
        <v>1</v>
      </c>
      <c r="F2700" s="564">
        <v>2</v>
      </c>
      <c r="G2700" s="521" t="s">
        <v>477</v>
      </c>
      <c r="H2700" s="564">
        <v>1327.585</v>
      </c>
      <c r="I2700" s="564">
        <v>88</v>
      </c>
      <c r="J2700" s="564">
        <v>57</v>
      </c>
      <c r="K2700" s="564">
        <v>10</v>
      </c>
      <c r="L2700" s="564">
        <v>3</v>
      </c>
      <c r="M2700" s="561" t="s">
        <v>312</v>
      </c>
      <c r="N2700" s="651">
        <v>4304756721</v>
      </c>
      <c r="O2700" s="564" t="s">
        <v>3398</v>
      </c>
      <c r="P2700" s="564" t="s">
        <v>3408</v>
      </c>
      <c r="Q2700" s="564"/>
      <c r="R2700" s="564">
        <v>1</v>
      </c>
    </row>
    <row r="2701" spans="1:18" x14ac:dyDescent="0.25">
      <c r="A2701" s="564">
        <v>26</v>
      </c>
      <c r="B2701" s="564">
        <v>4</v>
      </c>
      <c r="C2701" s="564">
        <v>2</v>
      </c>
      <c r="D2701" s="564">
        <v>2</v>
      </c>
      <c r="E2701" s="564">
        <v>1</v>
      </c>
      <c r="F2701" s="564">
        <v>2</v>
      </c>
      <c r="G2701" s="564" t="s">
        <v>479</v>
      </c>
      <c r="H2701" s="564">
        <v>1327.67</v>
      </c>
      <c r="I2701" s="564">
        <v>88</v>
      </c>
      <c r="J2701" s="564">
        <v>56</v>
      </c>
      <c r="K2701" s="564">
        <v>58</v>
      </c>
      <c r="L2701" s="564">
        <v>3</v>
      </c>
      <c r="M2701" s="561" t="s">
        <v>312</v>
      </c>
      <c r="N2701" s="651">
        <v>4304756721</v>
      </c>
      <c r="O2701" s="564" t="s">
        <v>3398</v>
      </c>
      <c r="P2701" s="564" t="s">
        <v>3409</v>
      </c>
      <c r="Q2701" s="564"/>
      <c r="R2701" s="564">
        <v>1</v>
      </c>
    </row>
    <row r="2702" spans="1:18" x14ac:dyDescent="0.25">
      <c r="A2702" s="564">
        <v>26</v>
      </c>
      <c r="B2702" s="564">
        <v>4</v>
      </c>
      <c r="C2702" s="564">
        <v>2</v>
      </c>
      <c r="D2702" s="564">
        <v>2</v>
      </c>
      <c r="E2702" s="564">
        <v>1</v>
      </c>
      <c r="F2702" s="564">
        <v>2</v>
      </c>
      <c r="G2702" s="564" t="s">
        <v>485</v>
      </c>
      <c r="H2702" s="564">
        <v>1226.8399999999999</v>
      </c>
      <c r="I2702" s="564">
        <v>88</v>
      </c>
      <c r="J2702" s="564">
        <v>56</v>
      </c>
      <c r="K2702" s="564">
        <v>56</v>
      </c>
      <c r="L2702" s="564">
        <v>3</v>
      </c>
      <c r="M2702" s="561" t="s">
        <v>312</v>
      </c>
      <c r="N2702" s="651">
        <v>4304756721</v>
      </c>
      <c r="O2702" s="564" t="s">
        <v>3398</v>
      </c>
      <c r="P2702" s="564" t="s">
        <v>3410</v>
      </c>
      <c r="Q2702" s="564"/>
      <c r="R2702" s="564">
        <v>1</v>
      </c>
    </row>
    <row r="2703" spans="1:18" x14ac:dyDescent="0.25">
      <c r="A2703" s="564">
        <v>26</v>
      </c>
      <c r="B2703" s="564">
        <v>4</v>
      </c>
      <c r="C2703" s="564">
        <v>2</v>
      </c>
      <c r="D2703" s="564">
        <v>2</v>
      </c>
      <c r="E2703" s="564">
        <v>1</v>
      </c>
      <c r="F2703" s="564">
        <v>2</v>
      </c>
      <c r="G2703" s="564" t="s">
        <v>487</v>
      </c>
      <c r="H2703" s="564">
        <v>1320.9349999999999</v>
      </c>
      <c r="I2703" s="564">
        <v>88</v>
      </c>
      <c r="J2703" s="564">
        <v>27</v>
      </c>
      <c r="K2703" s="564">
        <v>38</v>
      </c>
      <c r="L2703" s="564">
        <v>3</v>
      </c>
      <c r="M2703" s="561" t="s">
        <v>312</v>
      </c>
      <c r="N2703" s="651">
        <v>4304756721</v>
      </c>
      <c r="O2703" s="564" t="s">
        <v>3398</v>
      </c>
      <c r="P2703" s="564" t="s">
        <v>3411</v>
      </c>
      <c r="Q2703" s="564"/>
      <c r="R2703" s="564">
        <v>1</v>
      </c>
    </row>
    <row r="2704" spans="1:18" x14ac:dyDescent="0.25">
      <c r="A2704" s="564">
        <v>26</v>
      </c>
      <c r="B2704" s="564">
        <v>4</v>
      </c>
      <c r="C2704" s="564">
        <v>2</v>
      </c>
      <c r="D2704" s="564">
        <v>2</v>
      </c>
      <c r="E2704" s="564">
        <v>1</v>
      </c>
      <c r="F2704" s="564">
        <v>2</v>
      </c>
      <c r="G2704" s="521" t="s">
        <v>489</v>
      </c>
      <c r="H2704" s="564">
        <v>1320.9349999999999</v>
      </c>
      <c r="I2704" s="564">
        <v>88</v>
      </c>
      <c r="J2704" s="564">
        <v>27</v>
      </c>
      <c r="K2704" s="564">
        <v>38</v>
      </c>
      <c r="L2704" s="564">
        <v>3</v>
      </c>
      <c r="M2704" s="561" t="s">
        <v>312</v>
      </c>
      <c r="N2704" s="651">
        <v>4304756721</v>
      </c>
      <c r="O2704" s="564" t="s">
        <v>3398</v>
      </c>
      <c r="P2704" s="564" t="s">
        <v>3412</v>
      </c>
      <c r="Q2704" s="564"/>
      <c r="R2704" s="564">
        <v>1</v>
      </c>
    </row>
    <row r="2705" spans="1:18" x14ac:dyDescent="0.25">
      <c r="A2705" s="564">
        <v>26</v>
      </c>
      <c r="B2705" s="564">
        <v>4</v>
      </c>
      <c r="C2705" s="564">
        <v>2</v>
      </c>
      <c r="D2705" s="564">
        <v>2</v>
      </c>
      <c r="E2705" s="564">
        <v>1</v>
      </c>
      <c r="F2705" s="564">
        <v>2</v>
      </c>
      <c r="G2705" s="564" t="s">
        <v>491</v>
      </c>
      <c r="H2705" s="564">
        <v>1319.96</v>
      </c>
      <c r="I2705" s="564">
        <v>89</v>
      </c>
      <c r="J2705" s="564">
        <v>8</v>
      </c>
      <c r="K2705" s="564">
        <v>14</v>
      </c>
      <c r="L2705" s="564">
        <v>3</v>
      </c>
      <c r="M2705" s="561" t="s">
        <v>312</v>
      </c>
      <c r="N2705" s="651">
        <v>4304756721</v>
      </c>
      <c r="O2705" s="564" t="s">
        <v>3398</v>
      </c>
      <c r="P2705" s="564" t="s">
        <v>3413</v>
      </c>
      <c r="Q2705" s="564"/>
      <c r="R2705" s="564">
        <v>1</v>
      </c>
    </row>
    <row r="2706" spans="1:18" x14ac:dyDescent="0.25">
      <c r="A2706" s="564">
        <v>26</v>
      </c>
      <c r="B2706" s="564">
        <v>4</v>
      </c>
      <c r="C2706" s="564">
        <v>2</v>
      </c>
      <c r="D2706" s="564">
        <v>2</v>
      </c>
      <c r="E2706" s="564">
        <v>1</v>
      </c>
      <c r="F2706" s="564">
        <v>2</v>
      </c>
      <c r="G2706" s="564" t="s">
        <v>494</v>
      </c>
      <c r="H2706" s="564">
        <v>1372.89</v>
      </c>
      <c r="I2706" s="564">
        <v>89</v>
      </c>
      <c r="J2706" s="564">
        <v>7</v>
      </c>
      <c r="K2706" s="564">
        <v>55</v>
      </c>
      <c r="L2706" s="564">
        <v>3</v>
      </c>
      <c r="M2706" s="561" t="s">
        <v>312</v>
      </c>
      <c r="N2706" s="651">
        <v>4304756721</v>
      </c>
      <c r="O2706" s="564" t="s">
        <v>3398</v>
      </c>
      <c r="P2706" s="564" t="s">
        <v>3414</v>
      </c>
      <c r="Q2706" s="564"/>
      <c r="R2706" s="564">
        <v>1</v>
      </c>
    </row>
    <row r="2707" spans="1:18" x14ac:dyDescent="0.25">
      <c r="A2707" s="553">
        <v>27</v>
      </c>
      <c r="B2707" s="553">
        <v>7</v>
      </c>
      <c r="C2707" s="553">
        <v>2</v>
      </c>
      <c r="D2707" s="553">
        <v>22</v>
      </c>
      <c r="E2707" s="553">
        <v>1</v>
      </c>
      <c r="F2707" s="553">
        <v>1</v>
      </c>
      <c r="G2707" s="553" t="s">
        <v>473</v>
      </c>
      <c r="H2707" s="553">
        <v>1320.49</v>
      </c>
      <c r="I2707" s="553">
        <v>0</v>
      </c>
      <c r="J2707" s="553">
        <v>0</v>
      </c>
      <c r="K2707" s="553">
        <v>46</v>
      </c>
      <c r="L2707" s="553">
        <v>4</v>
      </c>
      <c r="M2707" s="505" t="s">
        <v>137</v>
      </c>
      <c r="N2707" s="500">
        <v>43047564200000</v>
      </c>
      <c r="O2707" s="553" t="s">
        <v>3415</v>
      </c>
      <c r="P2707" s="650" t="s">
        <v>3416</v>
      </c>
      <c r="Q2707" s="564"/>
      <c r="R2707" s="564">
        <v>2</v>
      </c>
    </row>
    <row r="2708" spans="1:18" x14ac:dyDescent="0.25">
      <c r="A2708" s="553">
        <v>27</v>
      </c>
      <c r="B2708" s="553">
        <v>7</v>
      </c>
      <c r="C2708" s="553">
        <v>2</v>
      </c>
      <c r="D2708" s="553">
        <v>22</v>
      </c>
      <c r="E2708" s="553">
        <v>1</v>
      </c>
      <c r="F2708" s="553">
        <v>1</v>
      </c>
      <c r="G2708" s="502" t="s">
        <v>476</v>
      </c>
      <c r="H2708" s="553">
        <v>1320.49</v>
      </c>
      <c r="I2708" s="553">
        <v>0</v>
      </c>
      <c r="J2708" s="553">
        <v>0</v>
      </c>
      <c r="K2708" s="553">
        <v>46</v>
      </c>
      <c r="L2708" s="553">
        <v>4</v>
      </c>
      <c r="M2708" s="505" t="s">
        <v>137</v>
      </c>
      <c r="N2708" s="500">
        <v>43047564200000</v>
      </c>
      <c r="O2708" s="553" t="s">
        <v>3415</v>
      </c>
      <c r="P2708" s="650" t="s">
        <v>3417</v>
      </c>
      <c r="Q2708" s="564"/>
      <c r="R2708" s="564">
        <v>2</v>
      </c>
    </row>
    <row r="2709" spans="1:18" x14ac:dyDescent="0.25">
      <c r="A2709" s="553">
        <v>27</v>
      </c>
      <c r="B2709" s="553">
        <v>7</v>
      </c>
      <c r="C2709" s="553">
        <v>2</v>
      </c>
      <c r="D2709" s="553">
        <v>22</v>
      </c>
      <c r="E2709" s="553">
        <v>1</v>
      </c>
      <c r="F2709" s="553">
        <v>1</v>
      </c>
      <c r="G2709" s="553" t="s">
        <v>478</v>
      </c>
      <c r="H2709" s="553">
        <v>1320.2950000000001</v>
      </c>
      <c r="I2709" s="553">
        <v>0</v>
      </c>
      <c r="J2709" s="553">
        <v>1</v>
      </c>
      <c r="K2709" s="553">
        <v>37</v>
      </c>
      <c r="L2709" s="553">
        <v>4</v>
      </c>
      <c r="M2709" s="505" t="s">
        <v>137</v>
      </c>
      <c r="N2709" s="500">
        <v>43047564200000</v>
      </c>
      <c r="O2709" s="553" t="s">
        <v>3415</v>
      </c>
      <c r="P2709" s="650" t="s">
        <v>3418</v>
      </c>
      <c r="Q2709" s="564"/>
      <c r="R2709" s="564">
        <v>2</v>
      </c>
    </row>
    <row r="2710" spans="1:18" x14ac:dyDescent="0.25">
      <c r="A2710" s="553">
        <v>27</v>
      </c>
      <c r="B2710" s="553">
        <v>7</v>
      </c>
      <c r="C2710" s="553">
        <v>2</v>
      </c>
      <c r="D2710" s="553">
        <v>22</v>
      </c>
      <c r="E2710" s="553">
        <v>1</v>
      </c>
      <c r="F2710" s="553">
        <v>1</v>
      </c>
      <c r="G2710" s="553" t="s">
        <v>484</v>
      </c>
      <c r="H2710" s="553">
        <v>1320.2950000000001</v>
      </c>
      <c r="I2710" s="553">
        <v>0</v>
      </c>
      <c r="J2710" s="553">
        <v>1</v>
      </c>
      <c r="K2710" s="553">
        <v>37</v>
      </c>
      <c r="L2710" s="553">
        <v>4</v>
      </c>
      <c r="M2710" s="505" t="s">
        <v>137</v>
      </c>
      <c r="N2710" s="500">
        <v>43047564200000</v>
      </c>
      <c r="O2710" s="553" t="s">
        <v>3415</v>
      </c>
      <c r="P2710" s="650" t="s">
        <v>3419</v>
      </c>
      <c r="Q2710" s="564"/>
      <c r="R2710" s="564">
        <v>2</v>
      </c>
    </row>
    <row r="2711" spans="1:18" x14ac:dyDescent="0.25">
      <c r="A2711" s="553">
        <v>27</v>
      </c>
      <c r="B2711" s="553">
        <v>7</v>
      </c>
      <c r="C2711" s="553">
        <v>2</v>
      </c>
      <c r="D2711" s="553">
        <v>22</v>
      </c>
      <c r="E2711" s="553">
        <v>1</v>
      </c>
      <c r="F2711" s="553">
        <v>1</v>
      </c>
      <c r="G2711" s="553" t="s">
        <v>486</v>
      </c>
      <c r="H2711" s="553">
        <v>1320.08</v>
      </c>
      <c r="I2711" s="553">
        <v>0</v>
      </c>
      <c r="J2711" s="553">
        <v>4</v>
      </c>
      <c r="K2711" s="553">
        <v>4</v>
      </c>
      <c r="L2711" s="553">
        <v>4</v>
      </c>
      <c r="M2711" s="505" t="s">
        <v>137</v>
      </c>
      <c r="N2711" s="500">
        <v>43047564200000</v>
      </c>
      <c r="O2711" s="553" t="s">
        <v>3415</v>
      </c>
      <c r="P2711" s="650" t="s">
        <v>3420</v>
      </c>
      <c r="Q2711" s="564"/>
      <c r="R2711" s="564">
        <v>2</v>
      </c>
    </row>
    <row r="2712" spans="1:18" x14ac:dyDescent="0.25">
      <c r="A2712" s="553">
        <v>27</v>
      </c>
      <c r="B2712" s="553">
        <v>7</v>
      </c>
      <c r="C2712" s="553">
        <v>2</v>
      </c>
      <c r="D2712" s="553">
        <v>22</v>
      </c>
      <c r="E2712" s="553">
        <v>1</v>
      </c>
      <c r="F2712" s="553">
        <v>1</v>
      </c>
      <c r="G2712" s="502" t="s">
        <v>488</v>
      </c>
      <c r="H2712" s="553">
        <v>1320.08</v>
      </c>
      <c r="I2712" s="553">
        <v>0</v>
      </c>
      <c r="J2712" s="553">
        <v>4</v>
      </c>
      <c r="K2712" s="553">
        <v>4</v>
      </c>
      <c r="L2712" s="553">
        <v>4</v>
      </c>
      <c r="M2712" s="505" t="s">
        <v>137</v>
      </c>
      <c r="N2712" s="500">
        <v>43047564200000</v>
      </c>
      <c r="O2712" s="553" t="s">
        <v>3415</v>
      </c>
      <c r="P2712" s="650" t="s">
        <v>3421</v>
      </c>
      <c r="Q2712" s="564"/>
      <c r="R2712" s="564">
        <v>2</v>
      </c>
    </row>
    <row r="2713" spans="1:18" x14ac:dyDescent="0.25">
      <c r="A2713" s="553">
        <v>27</v>
      </c>
      <c r="B2713" s="553">
        <v>7</v>
      </c>
      <c r="C2713" s="553">
        <v>2</v>
      </c>
      <c r="D2713" s="553">
        <v>22</v>
      </c>
      <c r="E2713" s="553">
        <v>1</v>
      </c>
      <c r="F2713" s="553">
        <v>1</v>
      </c>
      <c r="G2713" s="553" t="s">
        <v>490</v>
      </c>
      <c r="H2713" s="553">
        <v>1320.1949999999999</v>
      </c>
      <c r="I2713" s="553">
        <v>0</v>
      </c>
      <c r="J2713" s="553">
        <v>3</v>
      </c>
      <c r="K2713" s="553">
        <v>46</v>
      </c>
      <c r="L2713" s="553">
        <v>4</v>
      </c>
      <c r="M2713" s="505" t="s">
        <v>137</v>
      </c>
      <c r="N2713" s="500">
        <v>43047564200000</v>
      </c>
      <c r="O2713" s="553" t="s">
        <v>3415</v>
      </c>
      <c r="P2713" s="650" t="s">
        <v>3422</v>
      </c>
      <c r="Q2713" s="564"/>
      <c r="R2713" s="564">
        <v>2</v>
      </c>
    </row>
    <row r="2714" spans="1:18" x14ac:dyDescent="0.25">
      <c r="A2714" s="553">
        <v>27</v>
      </c>
      <c r="B2714" s="553">
        <v>7</v>
      </c>
      <c r="C2714" s="553">
        <v>2</v>
      </c>
      <c r="D2714" s="553">
        <v>22</v>
      </c>
      <c r="E2714" s="553">
        <v>1</v>
      </c>
      <c r="F2714" s="553">
        <v>1</v>
      </c>
      <c r="G2714" s="553" t="s">
        <v>493</v>
      </c>
      <c r="H2714" s="553">
        <v>1320.1949999999999</v>
      </c>
      <c r="I2714" s="553">
        <v>0</v>
      </c>
      <c r="J2714" s="553">
        <v>3</v>
      </c>
      <c r="K2714" s="553">
        <v>46</v>
      </c>
      <c r="L2714" s="553">
        <v>4</v>
      </c>
      <c r="M2714" s="505" t="s">
        <v>137</v>
      </c>
      <c r="N2714" s="500">
        <v>43047564200000</v>
      </c>
      <c r="O2714" s="553" t="s">
        <v>3415</v>
      </c>
      <c r="P2714" s="650" t="s">
        <v>3423</v>
      </c>
      <c r="Q2714" s="564"/>
      <c r="R2714" s="564">
        <v>2</v>
      </c>
    </row>
    <row r="2715" spans="1:18" x14ac:dyDescent="0.25">
      <c r="A2715" s="553">
        <v>27</v>
      </c>
      <c r="B2715" s="553">
        <v>7</v>
      </c>
      <c r="C2715" s="553">
        <v>2</v>
      </c>
      <c r="D2715" s="553">
        <v>22</v>
      </c>
      <c r="E2715" s="553">
        <v>1</v>
      </c>
      <c r="F2715" s="553">
        <v>1</v>
      </c>
      <c r="G2715" s="553" t="s">
        <v>474</v>
      </c>
      <c r="H2715" s="553">
        <v>1317.2</v>
      </c>
      <c r="I2715" s="553">
        <v>89</v>
      </c>
      <c r="J2715" s="553">
        <v>55</v>
      </c>
      <c r="K2715" s="553">
        <v>56</v>
      </c>
      <c r="L2715" s="553">
        <v>3</v>
      </c>
      <c r="M2715" s="505" t="s">
        <v>137</v>
      </c>
      <c r="N2715" s="500">
        <v>43047564200000</v>
      </c>
      <c r="O2715" s="553" t="s">
        <v>3415</v>
      </c>
      <c r="P2715" s="650" t="s">
        <v>3424</v>
      </c>
      <c r="Q2715" s="564"/>
      <c r="R2715" s="564">
        <v>2</v>
      </c>
    </row>
    <row r="2716" spans="1:18" x14ac:dyDescent="0.25">
      <c r="A2716" s="553">
        <v>27</v>
      </c>
      <c r="B2716" s="553">
        <v>7</v>
      </c>
      <c r="C2716" s="553">
        <v>2</v>
      </c>
      <c r="D2716" s="553">
        <v>22</v>
      </c>
      <c r="E2716" s="553">
        <v>1</v>
      </c>
      <c r="F2716" s="553">
        <v>1</v>
      </c>
      <c r="G2716" s="502" t="s">
        <v>477</v>
      </c>
      <c r="H2716" s="553">
        <v>1317.2</v>
      </c>
      <c r="I2716" s="553">
        <v>89</v>
      </c>
      <c r="J2716" s="553">
        <v>55</v>
      </c>
      <c r="K2716" s="553">
        <v>56</v>
      </c>
      <c r="L2716" s="553">
        <v>3</v>
      </c>
      <c r="M2716" s="505" t="s">
        <v>137</v>
      </c>
      <c r="N2716" s="500">
        <v>43047564200000</v>
      </c>
      <c r="O2716" s="553" t="s">
        <v>3415</v>
      </c>
      <c r="P2716" s="650" t="s">
        <v>3425</v>
      </c>
      <c r="Q2716" s="564"/>
      <c r="R2716" s="564">
        <v>2</v>
      </c>
    </row>
    <row r="2717" spans="1:18" x14ac:dyDescent="0.25">
      <c r="A2717" s="553">
        <v>27</v>
      </c>
      <c r="B2717" s="553">
        <v>7</v>
      </c>
      <c r="C2717" s="553">
        <v>2</v>
      </c>
      <c r="D2717" s="553">
        <v>22</v>
      </c>
      <c r="E2717" s="553">
        <v>1</v>
      </c>
      <c r="F2717" s="553">
        <v>1</v>
      </c>
      <c r="G2717" s="553" t="s">
        <v>479</v>
      </c>
      <c r="H2717" s="553">
        <v>1317.1949999999999</v>
      </c>
      <c r="I2717" s="553">
        <v>89</v>
      </c>
      <c r="J2717" s="553">
        <v>55</v>
      </c>
      <c r="K2717" s="553">
        <v>30</v>
      </c>
      <c r="L2717" s="553">
        <v>3</v>
      </c>
      <c r="M2717" s="505" t="s">
        <v>137</v>
      </c>
      <c r="N2717" s="500">
        <v>43047564200000</v>
      </c>
      <c r="O2717" s="553" t="s">
        <v>3415</v>
      </c>
      <c r="P2717" s="650" t="s">
        <v>3426</v>
      </c>
      <c r="Q2717" s="564"/>
      <c r="R2717" s="564">
        <v>2</v>
      </c>
    </row>
    <row r="2718" spans="1:18" x14ac:dyDescent="0.25">
      <c r="A2718" s="553">
        <v>27</v>
      </c>
      <c r="B2718" s="553">
        <v>7</v>
      </c>
      <c r="C2718" s="553">
        <v>2</v>
      </c>
      <c r="D2718" s="553">
        <v>22</v>
      </c>
      <c r="E2718" s="553">
        <v>1</v>
      </c>
      <c r="F2718" s="553">
        <v>1</v>
      </c>
      <c r="G2718" s="553" t="s">
        <v>485</v>
      </c>
      <c r="H2718" s="553">
        <v>1317.1949999999999</v>
      </c>
      <c r="I2718" s="553">
        <v>89</v>
      </c>
      <c r="J2718" s="553">
        <v>55</v>
      </c>
      <c r="K2718" s="553">
        <v>30</v>
      </c>
      <c r="L2718" s="553">
        <v>3</v>
      </c>
      <c r="M2718" s="505" t="s">
        <v>137</v>
      </c>
      <c r="N2718" s="500">
        <v>43047564200000</v>
      </c>
      <c r="O2718" s="553" t="s">
        <v>3415</v>
      </c>
      <c r="P2718" s="650" t="s">
        <v>3427</v>
      </c>
      <c r="Q2718" s="564"/>
      <c r="R2718" s="564">
        <v>2</v>
      </c>
    </row>
    <row r="2719" spans="1:18" x14ac:dyDescent="0.25">
      <c r="A2719" s="553">
        <v>27</v>
      </c>
      <c r="B2719" s="553">
        <v>7</v>
      </c>
      <c r="C2719" s="553">
        <v>2</v>
      </c>
      <c r="D2719" s="553">
        <v>22</v>
      </c>
      <c r="E2719" s="553">
        <v>1</v>
      </c>
      <c r="F2719" s="553">
        <v>1</v>
      </c>
      <c r="G2719" s="553" t="s">
        <v>487</v>
      </c>
      <c r="H2719" s="553">
        <v>1318.1849999999999</v>
      </c>
      <c r="I2719" s="553">
        <v>89</v>
      </c>
      <c r="J2719" s="553">
        <v>54</v>
      </c>
      <c r="K2719" s="553">
        <v>56</v>
      </c>
      <c r="L2719" s="553">
        <v>3</v>
      </c>
      <c r="M2719" s="505" t="s">
        <v>137</v>
      </c>
      <c r="N2719" s="500">
        <v>43047564200000</v>
      </c>
      <c r="O2719" s="553" t="s">
        <v>3415</v>
      </c>
      <c r="P2719" s="650" t="s">
        <v>3428</v>
      </c>
      <c r="Q2719" s="564"/>
      <c r="R2719" s="564">
        <v>2</v>
      </c>
    </row>
    <row r="2720" spans="1:18" x14ac:dyDescent="0.25">
      <c r="A2720" s="508">
        <v>27</v>
      </c>
      <c r="B2720" s="508">
        <v>7</v>
      </c>
      <c r="C2720" s="508">
        <v>2</v>
      </c>
      <c r="D2720" s="508">
        <v>22</v>
      </c>
      <c r="E2720" s="508">
        <v>1</v>
      </c>
      <c r="F2720" s="508">
        <v>1</v>
      </c>
      <c r="G2720" s="509" t="s">
        <v>489</v>
      </c>
      <c r="H2720" s="508">
        <v>1318.1849999999999</v>
      </c>
      <c r="I2720" s="508">
        <v>89</v>
      </c>
      <c r="J2720" s="508">
        <v>54</v>
      </c>
      <c r="K2720" s="508">
        <v>56</v>
      </c>
      <c r="L2720" s="508">
        <v>3</v>
      </c>
      <c r="M2720" s="557" t="s">
        <v>137</v>
      </c>
      <c r="N2720" s="510">
        <v>43047564200000</v>
      </c>
      <c r="O2720" s="508" t="s">
        <v>3415</v>
      </c>
      <c r="P2720" s="650" t="s">
        <v>3429</v>
      </c>
      <c r="Q2720" s="564"/>
      <c r="R2720" s="564">
        <v>2</v>
      </c>
    </row>
    <row r="2721" spans="1:18" x14ac:dyDescent="0.25">
      <c r="A2721" s="508">
        <v>27</v>
      </c>
      <c r="B2721" s="508">
        <v>7</v>
      </c>
      <c r="C2721" s="508">
        <v>2</v>
      </c>
      <c r="D2721" s="508">
        <v>22</v>
      </c>
      <c r="E2721" s="508">
        <v>1</v>
      </c>
      <c r="F2721" s="508">
        <v>1</v>
      </c>
      <c r="G2721" s="508" t="s">
        <v>491</v>
      </c>
      <c r="H2721" s="508">
        <v>1318.35</v>
      </c>
      <c r="I2721" s="508">
        <v>89</v>
      </c>
      <c r="J2721" s="508">
        <v>55</v>
      </c>
      <c r="K2721" s="508">
        <v>11</v>
      </c>
      <c r="L2721" s="508">
        <v>3</v>
      </c>
      <c r="M2721" s="557" t="s">
        <v>137</v>
      </c>
      <c r="N2721" s="510">
        <v>43047564200000</v>
      </c>
      <c r="O2721" s="508" t="s">
        <v>3415</v>
      </c>
      <c r="P2721" s="650" t="s">
        <v>3430</v>
      </c>
      <c r="Q2721" s="564"/>
      <c r="R2721" s="564">
        <v>2</v>
      </c>
    </row>
    <row r="2722" spans="1:18" x14ac:dyDescent="0.25">
      <c r="A2722" s="508">
        <v>27</v>
      </c>
      <c r="B2722" s="508">
        <v>7</v>
      </c>
      <c r="C2722" s="508">
        <v>2</v>
      </c>
      <c r="D2722" s="508">
        <v>22</v>
      </c>
      <c r="E2722" s="508">
        <v>1</v>
      </c>
      <c r="F2722" s="508">
        <v>1</v>
      </c>
      <c r="G2722" s="508" t="s">
        <v>494</v>
      </c>
      <c r="H2722" s="508">
        <v>1318.35</v>
      </c>
      <c r="I2722" s="508">
        <v>89</v>
      </c>
      <c r="J2722" s="508">
        <v>55</v>
      </c>
      <c r="K2722" s="508">
        <v>11</v>
      </c>
      <c r="L2722" s="508">
        <v>3</v>
      </c>
      <c r="M2722" s="557" t="s">
        <v>137</v>
      </c>
      <c r="N2722" s="510">
        <v>43047564200000</v>
      </c>
      <c r="O2722" s="508" t="s">
        <v>3415</v>
      </c>
      <c r="P2722" s="650" t="s">
        <v>3431</v>
      </c>
      <c r="Q2722" s="564"/>
      <c r="R2722" s="564">
        <v>2</v>
      </c>
    </row>
    <row r="2723" spans="1:18" x14ac:dyDescent="0.25">
      <c r="A2723" s="508">
        <v>27</v>
      </c>
      <c r="B2723" s="508">
        <v>2</v>
      </c>
      <c r="C2723" s="508">
        <v>2</v>
      </c>
      <c r="D2723" s="508">
        <v>2</v>
      </c>
      <c r="E2723" s="508">
        <v>2</v>
      </c>
      <c r="F2723" s="508">
        <v>2</v>
      </c>
      <c r="G2723" s="508" t="s">
        <v>473</v>
      </c>
      <c r="H2723" s="508">
        <v>1317.04</v>
      </c>
      <c r="I2723" s="508">
        <v>0</v>
      </c>
      <c r="J2723" s="508">
        <v>7</v>
      </c>
      <c r="K2723" s="508">
        <v>25</v>
      </c>
      <c r="L2723" s="508">
        <v>2</v>
      </c>
      <c r="M2723" s="557" t="s">
        <v>137</v>
      </c>
      <c r="N2723" s="510">
        <v>43013539590000</v>
      </c>
      <c r="O2723" s="508" t="s">
        <v>3432</v>
      </c>
      <c r="P2723" s="650" t="s">
        <v>3433</v>
      </c>
      <c r="Q2723" s="564"/>
      <c r="R2723" s="564">
        <v>1</v>
      </c>
    </row>
    <row r="2724" spans="1:18" x14ac:dyDescent="0.25">
      <c r="A2724" s="508">
        <v>27</v>
      </c>
      <c r="B2724" s="508">
        <v>2</v>
      </c>
      <c r="C2724" s="508">
        <v>2</v>
      </c>
      <c r="D2724" s="508">
        <v>2</v>
      </c>
      <c r="E2724" s="508">
        <v>2</v>
      </c>
      <c r="F2724" s="508">
        <v>2</v>
      </c>
      <c r="G2724" s="509" t="s">
        <v>476</v>
      </c>
      <c r="H2724" s="508">
        <v>1316.71</v>
      </c>
      <c r="I2724" s="508">
        <v>0</v>
      </c>
      <c r="J2724" s="508">
        <v>7</v>
      </c>
      <c r="K2724" s="508">
        <v>50</v>
      </c>
      <c r="L2724" s="508">
        <v>2</v>
      </c>
      <c r="M2724" s="557" t="s">
        <v>137</v>
      </c>
      <c r="N2724" s="510">
        <v>43013539590000</v>
      </c>
      <c r="O2724" s="508" t="s">
        <v>3432</v>
      </c>
      <c r="P2724" s="650" t="s">
        <v>3434</v>
      </c>
      <c r="Q2724" s="564"/>
      <c r="R2724" s="564">
        <v>1</v>
      </c>
    </row>
    <row r="2725" spans="1:18" x14ac:dyDescent="0.25">
      <c r="A2725" s="508">
        <v>27</v>
      </c>
      <c r="B2725" s="508">
        <v>2</v>
      </c>
      <c r="C2725" s="508">
        <v>2</v>
      </c>
      <c r="D2725" s="508">
        <v>2</v>
      </c>
      <c r="E2725" s="508">
        <v>2</v>
      </c>
      <c r="F2725" s="508">
        <v>2</v>
      </c>
      <c r="G2725" s="508" t="s">
        <v>478</v>
      </c>
      <c r="H2725" s="508">
        <v>1287.54</v>
      </c>
      <c r="I2725" s="508">
        <v>0</v>
      </c>
      <c r="J2725" s="508">
        <v>13</v>
      </c>
      <c r="K2725" s="508">
        <v>19</v>
      </c>
      <c r="L2725" s="508">
        <v>2</v>
      </c>
      <c r="M2725" s="557" t="s">
        <v>137</v>
      </c>
      <c r="N2725" s="510">
        <v>43013539590000</v>
      </c>
      <c r="O2725" s="508" t="s">
        <v>3432</v>
      </c>
      <c r="P2725" s="650" t="s">
        <v>3435</v>
      </c>
      <c r="Q2725" s="564"/>
      <c r="R2725" s="564">
        <v>1</v>
      </c>
    </row>
    <row r="2726" spans="1:18" x14ac:dyDescent="0.25">
      <c r="A2726" s="508">
        <v>27</v>
      </c>
      <c r="B2726" s="508">
        <v>2</v>
      </c>
      <c r="C2726" s="508">
        <v>2</v>
      </c>
      <c r="D2726" s="508">
        <v>2</v>
      </c>
      <c r="E2726" s="508">
        <v>2</v>
      </c>
      <c r="F2726" s="508">
        <v>2</v>
      </c>
      <c r="G2726" s="508" t="s">
        <v>484</v>
      </c>
      <c r="H2726" s="508">
        <v>1287.54</v>
      </c>
      <c r="I2726" s="508">
        <v>0</v>
      </c>
      <c r="J2726" s="508">
        <v>13</v>
      </c>
      <c r="K2726" s="508">
        <v>19</v>
      </c>
      <c r="L2726" s="508">
        <v>2</v>
      </c>
      <c r="M2726" s="557" t="s">
        <v>137</v>
      </c>
      <c r="N2726" s="510">
        <v>43013539590000</v>
      </c>
      <c r="O2726" s="508" t="s">
        <v>3432</v>
      </c>
      <c r="P2726" s="650" t="s">
        <v>3436</v>
      </c>
      <c r="Q2726" s="564"/>
      <c r="R2726" s="564">
        <v>1</v>
      </c>
    </row>
    <row r="2727" spans="1:18" x14ac:dyDescent="0.25">
      <c r="A2727" s="508">
        <v>27</v>
      </c>
      <c r="B2727" s="508">
        <v>2</v>
      </c>
      <c r="C2727" s="508">
        <v>2</v>
      </c>
      <c r="D2727" s="508">
        <v>2</v>
      </c>
      <c r="E2727" s="508">
        <v>2</v>
      </c>
      <c r="F2727" s="508">
        <v>2</v>
      </c>
      <c r="G2727" s="508" t="s">
        <v>486</v>
      </c>
      <c r="H2727" s="508">
        <v>1316.7650000000001</v>
      </c>
      <c r="I2727" s="508">
        <v>0</v>
      </c>
      <c r="J2727" s="508">
        <v>5</v>
      </c>
      <c r="K2727" s="508">
        <v>1</v>
      </c>
      <c r="L2727" s="508">
        <v>1</v>
      </c>
      <c r="M2727" s="557" t="s">
        <v>137</v>
      </c>
      <c r="N2727" s="510">
        <v>43013539590000</v>
      </c>
      <c r="O2727" s="508" t="s">
        <v>3432</v>
      </c>
      <c r="P2727" s="650" t="s">
        <v>3437</v>
      </c>
      <c r="Q2727" s="564"/>
      <c r="R2727" s="564">
        <v>1</v>
      </c>
    </row>
    <row r="2728" spans="1:18" x14ac:dyDescent="0.25">
      <c r="A2728" s="508">
        <v>27</v>
      </c>
      <c r="B2728" s="508">
        <v>2</v>
      </c>
      <c r="C2728" s="508">
        <v>2</v>
      </c>
      <c r="D2728" s="508">
        <v>2</v>
      </c>
      <c r="E2728" s="508">
        <v>2</v>
      </c>
      <c r="F2728" s="508">
        <v>2</v>
      </c>
      <c r="G2728" s="509" t="s">
        <v>488</v>
      </c>
      <c r="H2728" s="508">
        <v>1316.7650000000001</v>
      </c>
      <c r="I2728" s="508">
        <v>0</v>
      </c>
      <c r="J2728" s="508">
        <v>5</v>
      </c>
      <c r="K2728" s="508">
        <v>1</v>
      </c>
      <c r="L2728" s="508">
        <v>1</v>
      </c>
      <c r="M2728" s="557" t="s">
        <v>137</v>
      </c>
      <c r="N2728" s="510">
        <v>43013539590000</v>
      </c>
      <c r="O2728" s="508" t="s">
        <v>3432</v>
      </c>
      <c r="P2728" s="650" t="s">
        <v>3438</v>
      </c>
      <c r="Q2728" s="564"/>
      <c r="R2728" s="564">
        <v>1</v>
      </c>
    </row>
    <row r="2729" spans="1:18" x14ac:dyDescent="0.25">
      <c r="A2729" s="508">
        <v>27</v>
      </c>
      <c r="B2729" s="508">
        <v>2</v>
      </c>
      <c r="C2729" s="508">
        <v>2</v>
      </c>
      <c r="D2729" s="508">
        <v>2</v>
      </c>
      <c r="E2729" s="508">
        <v>2</v>
      </c>
      <c r="F2729" s="508">
        <v>2</v>
      </c>
      <c r="G2729" s="508" t="s">
        <v>490</v>
      </c>
      <c r="H2729" s="508">
        <v>1316.7950000000001</v>
      </c>
      <c r="I2729" s="508">
        <v>0</v>
      </c>
      <c r="J2729" s="508">
        <v>4</v>
      </c>
      <c r="K2729" s="508">
        <v>56</v>
      </c>
      <c r="L2729" s="508">
        <v>1</v>
      </c>
      <c r="M2729" s="557" t="s">
        <v>137</v>
      </c>
      <c r="N2729" s="510">
        <v>43013539590000</v>
      </c>
      <c r="O2729" s="508" t="s">
        <v>3432</v>
      </c>
      <c r="P2729" s="650" t="s">
        <v>3439</v>
      </c>
      <c r="Q2729" s="564"/>
      <c r="R2729" s="564">
        <v>1</v>
      </c>
    </row>
    <row r="2730" spans="1:18" x14ac:dyDescent="0.25">
      <c r="A2730" s="508">
        <v>27</v>
      </c>
      <c r="B2730" s="508">
        <v>2</v>
      </c>
      <c r="C2730" s="508">
        <v>2</v>
      </c>
      <c r="D2730" s="508">
        <v>2</v>
      </c>
      <c r="E2730" s="508">
        <v>2</v>
      </c>
      <c r="F2730" s="508">
        <v>2</v>
      </c>
      <c r="G2730" s="508" t="s">
        <v>493</v>
      </c>
      <c r="H2730" s="508">
        <v>1316.7950000000001</v>
      </c>
      <c r="I2730" s="508">
        <v>0</v>
      </c>
      <c r="J2730" s="508">
        <v>4</v>
      </c>
      <c r="K2730" s="508">
        <v>56</v>
      </c>
      <c r="L2730" s="508">
        <v>1</v>
      </c>
      <c r="M2730" s="557" t="s">
        <v>137</v>
      </c>
      <c r="N2730" s="510">
        <v>43013539590000</v>
      </c>
      <c r="O2730" s="508" t="s">
        <v>3432</v>
      </c>
      <c r="P2730" s="650" t="s">
        <v>3440</v>
      </c>
      <c r="Q2730" s="564"/>
      <c r="R2730" s="564">
        <v>1</v>
      </c>
    </row>
    <row r="2731" spans="1:18" x14ac:dyDescent="0.25">
      <c r="A2731" s="508">
        <v>27</v>
      </c>
      <c r="B2731" s="508">
        <v>2</v>
      </c>
      <c r="C2731" s="508">
        <v>2</v>
      </c>
      <c r="D2731" s="508">
        <v>2</v>
      </c>
      <c r="E2731" s="508">
        <v>2</v>
      </c>
      <c r="F2731" s="508">
        <v>2</v>
      </c>
      <c r="G2731" s="508" t="s">
        <v>474</v>
      </c>
      <c r="H2731" s="508">
        <v>1319.47</v>
      </c>
      <c r="I2731" s="508">
        <v>89</v>
      </c>
      <c r="J2731" s="508">
        <v>58</v>
      </c>
      <c r="K2731" s="508">
        <v>8</v>
      </c>
      <c r="L2731" s="508">
        <v>2</v>
      </c>
      <c r="M2731" s="557" t="s">
        <v>137</v>
      </c>
      <c r="N2731" s="510">
        <v>43013539590000</v>
      </c>
      <c r="O2731" s="508" t="s">
        <v>3432</v>
      </c>
      <c r="P2731" s="650" t="s">
        <v>3441</v>
      </c>
      <c r="Q2731" s="564"/>
      <c r="R2731" s="564">
        <v>1</v>
      </c>
    </row>
    <row r="2732" spans="1:18" x14ac:dyDescent="0.25">
      <c r="A2732" s="508">
        <v>27</v>
      </c>
      <c r="B2732" s="508">
        <v>2</v>
      </c>
      <c r="C2732" s="508">
        <v>2</v>
      </c>
      <c r="D2732" s="508">
        <v>2</v>
      </c>
      <c r="E2732" s="508">
        <v>2</v>
      </c>
      <c r="F2732" s="508">
        <v>2</v>
      </c>
      <c r="G2732" s="509" t="s">
        <v>477</v>
      </c>
      <c r="H2732" s="508">
        <v>1319.47</v>
      </c>
      <c r="I2732" s="508">
        <v>89</v>
      </c>
      <c r="J2732" s="508">
        <v>58</v>
      </c>
      <c r="K2732" s="508">
        <v>8</v>
      </c>
      <c r="L2732" s="508">
        <v>2</v>
      </c>
      <c r="M2732" s="557" t="s">
        <v>137</v>
      </c>
      <c r="N2732" s="510">
        <v>43013539590000</v>
      </c>
      <c r="O2732" s="508" t="s">
        <v>3432</v>
      </c>
      <c r="P2732" s="650" t="s">
        <v>3442</v>
      </c>
      <c r="Q2732" s="564"/>
      <c r="R2732" s="564">
        <v>1</v>
      </c>
    </row>
    <row r="2733" spans="1:18" x14ac:dyDescent="0.25">
      <c r="A2733" s="508">
        <v>27</v>
      </c>
      <c r="B2733" s="508">
        <v>2</v>
      </c>
      <c r="C2733" s="508">
        <v>2</v>
      </c>
      <c r="D2733" s="508">
        <v>2</v>
      </c>
      <c r="E2733" s="508">
        <v>2</v>
      </c>
      <c r="F2733" s="508">
        <v>2</v>
      </c>
      <c r="G2733" s="508" t="s">
        <v>479</v>
      </c>
      <c r="H2733" s="508">
        <v>1319.97</v>
      </c>
      <c r="I2733" s="508">
        <v>89</v>
      </c>
      <c r="J2733" s="508">
        <v>59</v>
      </c>
      <c r="K2733" s="508">
        <v>7</v>
      </c>
      <c r="L2733" s="508">
        <v>1</v>
      </c>
      <c r="M2733" s="557" t="s">
        <v>137</v>
      </c>
      <c r="N2733" s="510">
        <v>43013539590000</v>
      </c>
      <c r="O2733" s="508" t="s">
        <v>3432</v>
      </c>
      <c r="P2733" s="650" t="s">
        <v>3443</v>
      </c>
      <c r="Q2733" s="564"/>
      <c r="R2733" s="564">
        <v>1</v>
      </c>
    </row>
    <row r="2734" spans="1:18" x14ac:dyDescent="0.25">
      <c r="A2734" s="508">
        <v>27</v>
      </c>
      <c r="B2734" s="508">
        <v>2</v>
      </c>
      <c r="C2734" s="508">
        <v>2</v>
      </c>
      <c r="D2734" s="508">
        <v>2</v>
      </c>
      <c r="E2734" s="508">
        <v>2</v>
      </c>
      <c r="F2734" s="508">
        <v>2</v>
      </c>
      <c r="G2734" s="508" t="s">
        <v>485</v>
      </c>
      <c r="H2734" s="508">
        <v>1319.97</v>
      </c>
      <c r="I2734" s="508">
        <v>89</v>
      </c>
      <c r="J2734" s="508">
        <v>59</v>
      </c>
      <c r="K2734" s="508">
        <v>7</v>
      </c>
      <c r="L2734" s="508">
        <v>1</v>
      </c>
      <c r="M2734" s="557" t="s">
        <v>137</v>
      </c>
      <c r="N2734" s="510">
        <v>43013539590000</v>
      </c>
      <c r="O2734" s="508" t="s">
        <v>3432</v>
      </c>
      <c r="P2734" s="650" t="s">
        <v>3444</v>
      </c>
      <c r="Q2734" s="564"/>
      <c r="R2734" s="564">
        <v>1</v>
      </c>
    </row>
    <row r="2735" spans="1:18" x14ac:dyDescent="0.25">
      <c r="A2735" s="508">
        <v>27</v>
      </c>
      <c r="B2735" s="508">
        <v>2</v>
      </c>
      <c r="C2735" s="508">
        <v>2</v>
      </c>
      <c r="D2735" s="508">
        <v>2</v>
      </c>
      <c r="E2735" s="508">
        <v>2</v>
      </c>
      <c r="F2735" s="508">
        <v>2</v>
      </c>
      <c r="G2735" s="508" t="s">
        <v>487</v>
      </c>
      <c r="H2735" s="508">
        <v>1325.6575</v>
      </c>
      <c r="I2735" s="508">
        <v>89</v>
      </c>
      <c r="J2735" s="508">
        <v>22</v>
      </c>
      <c r="K2735" s="508">
        <v>41</v>
      </c>
      <c r="L2735" s="508">
        <v>4</v>
      </c>
      <c r="M2735" s="557" t="s">
        <v>137</v>
      </c>
      <c r="N2735" s="510">
        <v>43013539590000</v>
      </c>
      <c r="O2735" s="508" t="s">
        <v>3432</v>
      </c>
      <c r="P2735" s="650" t="s">
        <v>3445</v>
      </c>
      <c r="Q2735" s="564"/>
      <c r="R2735" s="564">
        <v>1</v>
      </c>
    </row>
    <row r="2736" spans="1:18" x14ac:dyDescent="0.25">
      <c r="A2736" s="553">
        <v>27</v>
      </c>
      <c r="B2736" s="553">
        <v>2</v>
      </c>
      <c r="C2736" s="553">
        <v>2</v>
      </c>
      <c r="D2736" s="553">
        <v>2</v>
      </c>
      <c r="E2736" s="553">
        <v>2</v>
      </c>
      <c r="F2736" s="553">
        <v>2</v>
      </c>
      <c r="G2736" s="502" t="s">
        <v>489</v>
      </c>
      <c r="H2736" s="553">
        <v>1325.6575</v>
      </c>
      <c r="I2736" s="553">
        <v>89</v>
      </c>
      <c r="J2736" s="553">
        <v>22</v>
      </c>
      <c r="K2736" s="553">
        <v>41</v>
      </c>
      <c r="L2736" s="553">
        <v>4</v>
      </c>
      <c r="M2736" s="505" t="s">
        <v>137</v>
      </c>
      <c r="N2736" s="500">
        <v>43013539590000</v>
      </c>
      <c r="O2736" s="553" t="s">
        <v>3432</v>
      </c>
      <c r="P2736" s="650" t="s">
        <v>3446</v>
      </c>
      <c r="Q2736" s="564"/>
      <c r="R2736" s="564">
        <v>1</v>
      </c>
    </row>
    <row r="2737" spans="1:18" x14ac:dyDescent="0.25">
      <c r="A2737" s="553">
        <v>27</v>
      </c>
      <c r="B2737" s="553">
        <v>2</v>
      </c>
      <c r="C2737" s="553">
        <v>2</v>
      </c>
      <c r="D2737" s="553">
        <v>2</v>
      </c>
      <c r="E2737" s="553">
        <v>2</v>
      </c>
      <c r="F2737" s="553">
        <v>2</v>
      </c>
      <c r="G2737" s="553" t="s">
        <v>491</v>
      </c>
      <c r="H2737" s="553">
        <v>1325.6575</v>
      </c>
      <c r="I2737" s="553">
        <v>89</v>
      </c>
      <c r="J2737" s="553">
        <v>22</v>
      </c>
      <c r="K2737" s="553">
        <v>41</v>
      </c>
      <c r="L2737" s="553">
        <v>4</v>
      </c>
      <c r="M2737" s="505" t="s">
        <v>137</v>
      </c>
      <c r="N2737" s="500">
        <v>43013539590000</v>
      </c>
      <c r="O2737" s="553" t="s">
        <v>3432</v>
      </c>
      <c r="P2737" s="650" t="s">
        <v>3447</v>
      </c>
      <c r="Q2737" s="564"/>
      <c r="R2737" s="564">
        <v>1</v>
      </c>
    </row>
    <row r="2738" spans="1:18" x14ac:dyDescent="0.25">
      <c r="A2738" s="553">
        <v>27</v>
      </c>
      <c r="B2738" s="553">
        <v>2</v>
      </c>
      <c r="C2738" s="553">
        <v>2</v>
      </c>
      <c r="D2738" s="553">
        <v>2</v>
      </c>
      <c r="E2738" s="553">
        <v>2</v>
      </c>
      <c r="F2738" s="553">
        <v>2</v>
      </c>
      <c r="G2738" s="553" t="s">
        <v>494</v>
      </c>
      <c r="H2738" s="553">
        <v>1325.6575</v>
      </c>
      <c r="I2738" s="553">
        <v>89</v>
      </c>
      <c r="J2738" s="553">
        <v>22</v>
      </c>
      <c r="K2738" s="553">
        <v>41</v>
      </c>
      <c r="L2738" s="553">
        <v>4</v>
      </c>
      <c r="M2738" s="505" t="s">
        <v>137</v>
      </c>
      <c r="N2738" s="500">
        <v>43013539590000</v>
      </c>
      <c r="O2738" s="553" t="s">
        <v>3432</v>
      </c>
      <c r="P2738" s="650" t="s">
        <v>3448</v>
      </c>
      <c r="Q2738" s="564"/>
      <c r="R2738" s="564">
        <v>1</v>
      </c>
    </row>
    <row r="2739" spans="1:18" x14ac:dyDescent="0.25">
      <c r="A2739" s="553">
        <v>27</v>
      </c>
      <c r="B2739" s="553">
        <v>2</v>
      </c>
      <c r="C2739" s="553">
        <v>2</v>
      </c>
      <c r="D2739" s="553">
        <v>3</v>
      </c>
      <c r="E2739" s="553">
        <v>2</v>
      </c>
      <c r="F2739" s="553">
        <v>2</v>
      </c>
      <c r="G2739" s="553" t="s">
        <v>473</v>
      </c>
      <c r="H2739" s="553">
        <v>1332.0350000000001</v>
      </c>
      <c r="I2739" s="553">
        <v>0</v>
      </c>
      <c r="J2739" s="553">
        <v>17</v>
      </c>
      <c r="K2739" s="553">
        <v>44</v>
      </c>
      <c r="L2739" s="553">
        <v>4</v>
      </c>
      <c r="M2739" s="505" t="s">
        <v>137</v>
      </c>
      <c r="N2739" s="652">
        <v>43013537770000</v>
      </c>
      <c r="O2739" s="553" t="s">
        <v>3200</v>
      </c>
      <c r="P2739" s="650" t="s">
        <v>3449</v>
      </c>
      <c r="Q2739" s="564"/>
      <c r="R2739" s="564">
        <v>2</v>
      </c>
    </row>
    <row r="2740" spans="1:18" x14ac:dyDescent="0.25">
      <c r="A2740" s="553">
        <v>27</v>
      </c>
      <c r="B2740" s="553">
        <v>2</v>
      </c>
      <c r="C2740" s="553">
        <v>2</v>
      </c>
      <c r="D2740" s="553">
        <v>3</v>
      </c>
      <c r="E2740" s="553">
        <v>2</v>
      </c>
      <c r="F2740" s="553">
        <v>2</v>
      </c>
      <c r="G2740" s="502" t="s">
        <v>476</v>
      </c>
      <c r="H2740" s="553">
        <v>1332.0350000000001</v>
      </c>
      <c r="I2740" s="553">
        <v>0</v>
      </c>
      <c r="J2740" s="553">
        <v>17</v>
      </c>
      <c r="K2740" s="553">
        <v>44</v>
      </c>
      <c r="L2740" s="553">
        <v>4</v>
      </c>
      <c r="M2740" s="505" t="s">
        <v>137</v>
      </c>
      <c r="N2740" s="652">
        <v>43013537770000</v>
      </c>
      <c r="O2740" s="553" t="s">
        <v>3200</v>
      </c>
      <c r="P2740" s="650" t="s">
        <v>3450</v>
      </c>
      <c r="Q2740" s="564"/>
      <c r="R2740" s="564">
        <v>2</v>
      </c>
    </row>
    <row r="2741" spans="1:18" x14ac:dyDescent="0.25">
      <c r="A2741" s="553">
        <v>27</v>
      </c>
      <c r="B2741" s="553">
        <v>2</v>
      </c>
      <c r="C2741" s="553">
        <v>2</v>
      </c>
      <c r="D2741" s="553">
        <v>3</v>
      </c>
      <c r="E2741" s="553">
        <v>2</v>
      </c>
      <c r="F2741" s="553">
        <v>2</v>
      </c>
      <c r="G2741" s="553" t="s">
        <v>478</v>
      </c>
      <c r="H2741" s="553">
        <v>1321.635</v>
      </c>
      <c r="I2741" s="553">
        <v>0</v>
      </c>
      <c r="J2741" s="553">
        <v>10</v>
      </c>
      <c r="K2741" s="553">
        <v>0</v>
      </c>
      <c r="L2741" s="553">
        <v>4</v>
      </c>
      <c r="M2741" s="505" t="s">
        <v>137</v>
      </c>
      <c r="N2741" s="652">
        <v>43013537770000</v>
      </c>
      <c r="O2741" s="553" t="s">
        <v>3200</v>
      </c>
      <c r="P2741" s="650" t="s">
        <v>3451</v>
      </c>
      <c r="Q2741" s="564"/>
      <c r="R2741" s="564">
        <v>2</v>
      </c>
    </row>
    <row r="2742" spans="1:18" x14ac:dyDescent="0.25">
      <c r="A2742" s="553">
        <v>27</v>
      </c>
      <c r="B2742" s="553">
        <v>2</v>
      </c>
      <c r="C2742" s="553">
        <v>2</v>
      </c>
      <c r="D2742" s="553">
        <v>3</v>
      </c>
      <c r="E2742" s="553">
        <v>2</v>
      </c>
      <c r="F2742" s="553">
        <v>2</v>
      </c>
      <c r="G2742" s="553" t="s">
        <v>484</v>
      </c>
      <c r="H2742" s="553">
        <v>1321.635</v>
      </c>
      <c r="I2742" s="553">
        <v>0</v>
      </c>
      <c r="J2742" s="553">
        <v>10</v>
      </c>
      <c r="K2742" s="553">
        <v>0</v>
      </c>
      <c r="L2742" s="553">
        <v>4</v>
      </c>
      <c r="M2742" s="505" t="s">
        <v>137</v>
      </c>
      <c r="N2742" s="652">
        <v>43013537770000</v>
      </c>
      <c r="O2742" s="553" t="s">
        <v>3200</v>
      </c>
      <c r="P2742" s="650" t="s">
        <v>3452</v>
      </c>
      <c r="Q2742" s="564"/>
      <c r="R2742" s="564">
        <v>2</v>
      </c>
    </row>
    <row r="2743" spans="1:18" x14ac:dyDescent="0.25">
      <c r="A2743" s="553">
        <v>27</v>
      </c>
      <c r="B2743" s="553">
        <v>2</v>
      </c>
      <c r="C2743" s="553">
        <v>2</v>
      </c>
      <c r="D2743" s="553">
        <v>3</v>
      </c>
      <c r="E2743" s="553">
        <v>2</v>
      </c>
      <c r="F2743" s="553">
        <v>2</v>
      </c>
      <c r="G2743" s="553" t="s">
        <v>486</v>
      </c>
      <c r="H2743" s="553">
        <v>1317.4</v>
      </c>
      <c r="I2743" s="553">
        <v>0</v>
      </c>
      <c r="J2743" s="553">
        <v>7</v>
      </c>
      <c r="K2743" s="553">
        <v>14</v>
      </c>
      <c r="L2743" s="553">
        <v>4</v>
      </c>
      <c r="M2743" s="505" t="s">
        <v>137</v>
      </c>
      <c r="N2743" s="652">
        <v>43013537770000</v>
      </c>
      <c r="O2743" s="553" t="s">
        <v>3200</v>
      </c>
      <c r="P2743" s="650" t="s">
        <v>3453</v>
      </c>
      <c r="Q2743" s="564"/>
      <c r="R2743" s="564">
        <v>2</v>
      </c>
    </row>
    <row r="2744" spans="1:18" x14ac:dyDescent="0.25">
      <c r="A2744" s="553">
        <v>27</v>
      </c>
      <c r="B2744" s="553">
        <v>2</v>
      </c>
      <c r="C2744" s="553">
        <v>2</v>
      </c>
      <c r="D2744" s="553">
        <v>3</v>
      </c>
      <c r="E2744" s="553">
        <v>2</v>
      </c>
      <c r="F2744" s="553">
        <v>2</v>
      </c>
      <c r="G2744" s="502" t="s">
        <v>488</v>
      </c>
      <c r="H2744" s="553">
        <v>1317.4</v>
      </c>
      <c r="I2744" s="553">
        <v>0</v>
      </c>
      <c r="J2744" s="553">
        <v>7</v>
      </c>
      <c r="K2744" s="553">
        <v>14</v>
      </c>
      <c r="L2744" s="553">
        <v>4</v>
      </c>
      <c r="M2744" s="505" t="s">
        <v>137</v>
      </c>
      <c r="N2744" s="652">
        <v>43013537770000</v>
      </c>
      <c r="O2744" s="553" t="s">
        <v>3200</v>
      </c>
      <c r="P2744" s="650" t="s">
        <v>3454</v>
      </c>
      <c r="Q2744" s="564"/>
      <c r="R2744" s="564">
        <v>2</v>
      </c>
    </row>
    <row r="2745" spans="1:18" x14ac:dyDescent="0.25">
      <c r="A2745" s="553">
        <v>27</v>
      </c>
      <c r="B2745" s="553">
        <v>2</v>
      </c>
      <c r="C2745" s="553">
        <v>2</v>
      </c>
      <c r="D2745" s="553">
        <v>3</v>
      </c>
      <c r="E2745" s="553">
        <v>2</v>
      </c>
      <c r="F2745" s="553">
        <v>2</v>
      </c>
      <c r="G2745" s="553" t="s">
        <v>490</v>
      </c>
      <c r="H2745" s="553">
        <v>1321.42</v>
      </c>
      <c r="I2745" s="553">
        <v>0</v>
      </c>
      <c r="J2745" s="553">
        <v>12</v>
      </c>
      <c r="K2745" s="553">
        <v>36</v>
      </c>
      <c r="L2745" s="553">
        <v>4</v>
      </c>
      <c r="M2745" s="505" t="s">
        <v>137</v>
      </c>
      <c r="N2745" s="652">
        <v>43013537770000</v>
      </c>
      <c r="O2745" s="553" t="s">
        <v>3200</v>
      </c>
      <c r="P2745" s="650" t="s">
        <v>3455</v>
      </c>
      <c r="Q2745" s="564"/>
      <c r="R2745" s="564">
        <v>2</v>
      </c>
    </row>
    <row r="2746" spans="1:18" x14ac:dyDescent="0.25">
      <c r="A2746" s="553">
        <v>27</v>
      </c>
      <c r="B2746" s="553">
        <v>2</v>
      </c>
      <c r="C2746" s="553">
        <v>2</v>
      </c>
      <c r="D2746" s="553">
        <v>3</v>
      </c>
      <c r="E2746" s="553">
        <v>2</v>
      </c>
      <c r="F2746" s="553">
        <v>2</v>
      </c>
      <c r="G2746" s="553" t="s">
        <v>493</v>
      </c>
      <c r="H2746" s="553">
        <v>1301.33</v>
      </c>
      <c r="I2746" s="553">
        <v>0</v>
      </c>
      <c r="J2746" s="553">
        <v>16</v>
      </c>
      <c r="K2746" s="553">
        <v>28</v>
      </c>
      <c r="L2746" s="553">
        <v>4</v>
      </c>
      <c r="M2746" s="505" t="s">
        <v>137</v>
      </c>
      <c r="N2746" s="652">
        <v>43013537770000</v>
      </c>
      <c r="O2746" s="553" t="s">
        <v>3200</v>
      </c>
      <c r="P2746" s="650" t="s">
        <v>3456</v>
      </c>
      <c r="Q2746" s="564"/>
      <c r="R2746" s="564">
        <v>2</v>
      </c>
    </row>
    <row r="2747" spans="1:18" x14ac:dyDescent="0.25">
      <c r="A2747" s="553">
        <v>27</v>
      </c>
      <c r="B2747" s="553">
        <v>2</v>
      </c>
      <c r="C2747" s="553">
        <v>2</v>
      </c>
      <c r="D2747" s="553">
        <v>3</v>
      </c>
      <c r="E2747" s="553">
        <v>2</v>
      </c>
      <c r="F2747" s="553">
        <v>2</v>
      </c>
      <c r="G2747" s="553" t="s">
        <v>474</v>
      </c>
      <c r="H2747" s="553">
        <v>1321.4275</v>
      </c>
      <c r="I2747" s="553">
        <v>89</v>
      </c>
      <c r="J2747" s="553">
        <v>45</v>
      </c>
      <c r="K2747" s="553">
        <v>42</v>
      </c>
      <c r="L2747" s="553">
        <v>4</v>
      </c>
      <c r="M2747" s="505" t="s">
        <v>137</v>
      </c>
      <c r="N2747" s="652">
        <v>43013537770000</v>
      </c>
      <c r="O2747" s="553" t="s">
        <v>3200</v>
      </c>
      <c r="P2747" s="650" t="s">
        <v>3457</v>
      </c>
      <c r="Q2747" s="564"/>
      <c r="R2747" s="564">
        <v>2</v>
      </c>
    </row>
    <row r="2748" spans="1:18" x14ac:dyDescent="0.25">
      <c r="A2748" s="553">
        <v>27</v>
      </c>
      <c r="B2748" s="553">
        <v>2</v>
      </c>
      <c r="C2748" s="553">
        <v>2</v>
      </c>
      <c r="D2748" s="553">
        <v>3</v>
      </c>
      <c r="E2748" s="553">
        <v>2</v>
      </c>
      <c r="F2748" s="553">
        <v>2</v>
      </c>
      <c r="G2748" s="502" t="s">
        <v>477</v>
      </c>
      <c r="H2748" s="553">
        <v>1321.4275</v>
      </c>
      <c r="I2748" s="553">
        <v>89</v>
      </c>
      <c r="J2748" s="553">
        <v>45</v>
      </c>
      <c r="K2748" s="553">
        <v>42</v>
      </c>
      <c r="L2748" s="553">
        <v>4</v>
      </c>
      <c r="M2748" s="505" t="s">
        <v>137</v>
      </c>
      <c r="N2748" s="652">
        <v>43013537770000</v>
      </c>
      <c r="O2748" s="553" t="s">
        <v>3200</v>
      </c>
      <c r="P2748" s="650" t="s">
        <v>3458</v>
      </c>
      <c r="Q2748" s="564"/>
      <c r="R2748" s="564">
        <v>2</v>
      </c>
    </row>
    <row r="2749" spans="1:18" x14ac:dyDescent="0.25">
      <c r="A2749" s="553">
        <v>27</v>
      </c>
      <c r="B2749" s="553">
        <v>2</v>
      </c>
      <c r="C2749" s="553">
        <v>2</v>
      </c>
      <c r="D2749" s="553">
        <v>3</v>
      </c>
      <c r="E2749" s="553">
        <v>2</v>
      </c>
      <c r="F2749" s="553">
        <v>2</v>
      </c>
      <c r="G2749" s="553" t="s">
        <v>479</v>
      </c>
      <c r="H2749" s="553">
        <v>1321.4275</v>
      </c>
      <c r="I2749" s="553">
        <v>89</v>
      </c>
      <c r="J2749" s="553">
        <v>45</v>
      </c>
      <c r="K2749" s="553">
        <v>42</v>
      </c>
      <c r="L2749" s="553">
        <v>4</v>
      </c>
      <c r="M2749" s="505" t="s">
        <v>137</v>
      </c>
      <c r="N2749" s="652">
        <v>43013537770000</v>
      </c>
      <c r="O2749" s="553" t="s">
        <v>3200</v>
      </c>
      <c r="P2749" s="650" t="s">
        <v>3459</v>
      </c>
      <c r="Q2749" s="564"/>
      <c r="R2749" s="564">
        <v>2</v>
      </c>
    </row>
    <row r="2750" spans="1:18" x14ac:dyDescent="0.25">
      <c r="A2750" s="553">
        <v>27</v>
      </c>
      <c r="B2750" s="553">
        <v>2</v>
      </c>
      <c r="C2750" s="553">
        <v>2</v>
      </c>
      <c r="D2750" s="553">
        <v>3</v>
      </c>
      <c r="E2750" s="553">
        <v>2</v>
      </c>
      <c r="F2750" s="553">
        <v>2</v>
      </c>
      <c r="G2750" s="553" t="s">
        <v>485</v>
      </c>
      <c r="H2750" s="553">
        <v>1321.4275</v>
      </c>
      <c r="I2750" s="553">
        <v>89</v>
      </c>
      <c r="J2750" s="553">
        <v>45</v>
      </c>
      <c r="K2750" s="553">
        <v>42</v>
      </c>
      <c r="L2750" s="553">
        <v>4</v>
      </c>
      <c r="M2750" s="505" t="s">
        <v>137</v>
      </c>
      <c r="N2750" s="652">
        <v>43013537770000</v>
      </c>
      <c r="O2750" s="553" t="s">
        <v>3200</v>
      </c>
      <c r="P2750" s="650" t="s">
        <v>3460</v>
      </c>
      <c r="Q2750" s="564"/>
      <c r="R2750" s="564">
        <v>2</v>
      </c>
    </row>
    <row r="2751" spans="1:18" x14ac:dyDescent="0.25">
      <c r="A2751" s="553">
        <v>27</v>
      </c>
      <c r="B2751" s="553">
        <v>2</v>
      </c>
      <c r="C2751" s="553">
        <v>2</v>
      </c>
      <c r="D2751" s="553">
        <v>3</v>
      </c>
      <c r="E2751" s="553">
        <v>2</v>
      </c>
      <c r="F2751" s="553">
        <v>2</v>
      </c>
      <c r="G2751" s="553" t="s">
        <v>487</v>
      </c>
      <c r="H2751" s="553">
        <v>1318.59</v>
      </c>
      <c r="I2751" s="553">
        <v>89</v>
      </c>
      <c r="J2751" s="553">
        <v>41</v>
      </c>
      <c r="K2751" s="553">
        <v>50</v>
      </c>
      <c r="L2751" s="553">
        <v>3</v>
      </c>
      <c r="M2751" s="505" t="s">
        <v>137</v>
      </c>
      <c r="N2751" s="652">
        <v>43013537770000</v>
      </c>
      <c r="O2751" s="553" t="s">
        <v>3200</v>
      </c>
      <c r="P2751" s="650" t="s">
        <v>3461</v>
      </c>
      <c r="Q2751" s="564"/>
      <c r="R2751" s="564">
        <v>2</v>
      </c>
    </row>
    <row r="2752" spans="1:18" x14ac:dyDescent="0.25">
      <c r="A2752" s="553">
        <v>27</v>
      </c>
      <c r="B2752" s="553">
        <v>2</v>
      </c>
      <c r="C2752" s="553">
        <v>2</v>
      </c>
      <c r="D2752" s="553">
        <v>3</v>
      </c>
      <c r="E2752" s="553">
        <v>2</v>
      </c>
      <c r="F2752" s="553">
        <v>2</v>
      </c>
      <c r="G2752" s="502" t="s">
        <v>489</v>
      </c>
      <c r="H2752" s="553">
        <v>1318.59</v>
      </c>
      <c r="I2752" s="553">
        <v>89</v>
      </c>
      <c r="J2752" s="553">
        <v>41</v>
      </c>
      <c r="K2752" s="553">
        <v>50</v>
      </c>
      <c r="L2752" s="553">
        <v>3</v>
      </c>
      <c r="M2752" s="505" t="s">
        <v>137</v>
      </c>
      <c r="N2752" s="652">
        <v>43013537770000</v>
      </c>
      <c r="O2752" s="553" t="s">
        <v>3200</v>
      </c>
      <c r="P2752" s="650" t="s">
        <v>3462</v>
      </c>
      <c r="Q2752" s="564"/>
      <c r="R2752" s="564">
        <v>2</v>
      </c>
    </row>
    <row r="2753" spans="1:18" x14ac:dyDescent="0.25">
      <c r="A2753" s="553">
        <v>27</v>
      </c>
      <c r="B2753" s="553">
        <v>2</v>
      </c>
      <c r="C2753" s="553">
        <v>2</v>
      </c>
      <c r="D2753" s="553">
        <v>3</v>
      </c>
      <c r="E2753" s="553">
        <v>2</v>
      </c>
      <c r="F2753" s="553">
        <v>2</v>
      </c>
      <c r="G2753" s="553" t="s">
        <v>491</v>
      </c>
      <c r="H2753" s="553">
        <v>1321.875</v>
      </c>
      <c r="I2753" s="553">
        <v>89</v>
      </c>
      <c r="J2753" s="553">
        <v>41</v>
      </c>
      <c r="K2753" s="553">
        <v>59</v>
      </c>
      <c r="L2753" s="553">
        <v>3</v>
      </c>
      <c r="M2753" s="505" t="s">
        <v>137</v>
      </c>
      <c r="N2753" s="652">
        <v>43013537770000</v>
      </c>
      <c r="O2753" s="553" t="s">
        <v>3200</v>
      </c>
      <c r="P2753" s="650" t="s">
        <v>3463</v>
      </c>
      <c r="Q2753" s="564"/>
      <c r="R2753" s="564">
        <v>2</v>
      </c>
    </row>
    <row r="2754" spans="1:18" x14ac:dyDescent="0.25">
      <c r="A2754" s="553">
        <v>27</v>
      </c>
      <c r="B2754" s="553">
        <v>2</v>
      </c>
      <c r="C2754" s="553">
        <v>2</v>
      </c>
      <c r="D2754" s="553">
        <v>3</v>
      </c>
      <c r="E2754" s="553">
        <v>2</v>
      </c>
      <c r="F2754" s="553">
        <v>2</v>
      </c>
      <c r="G2754" s="553" t="s">
        <v>494</v>
      </c>
      <c r="H2754" s="553">
        <v>1321.875</v>
      </c>
      <c r="I2754" s="553">
        <v>89</v>
      </c>
      <c r="J2754" s="553">
        <v>41</v>
      </c>
      <c r="K2754" s="553">
        <v>59</v>
      </c>
      <c r="L2754" s="553">
        <v>3</v>
      </c>
      <c r="M2754" s="505" t="s">
        <v>137</v>
      </c>
      <c r="N2754" s="652">
        <v>43013537770000</v>
      </c>
      <c r="O2754" s="553" t="s">
        <v>3200</v>
      </c>
      <c r="P2754" s="650" t="s">
        <v>3464</v>
      </c>
      <c r="Q2754" s="564"/>
      <c r="R2754" s="564">
        <v>2</v>
      </c>
    </row>
    <row r="2755" spans="1:18" x14ac:dyDescent="0.25">
      <c r="A2755" s="553">
        <v>27</v>
      </c>
      <c r="B2755" s="553">
        <v>2</v>
      </c>
      <c r="C2755" s="553">
        <v>2</v>
      </c>
      <c r="D2755" s="553">
        <v>4</v>
      </c>
      <c r="E2755" s="553">
        <v>2</v>
      </c>
      <c r="F2755" s="553">
        <v>2</v>
      </c>
      <c r="G2755" s="553" t="s">
        <v>473</v>
      </c>
      <c r="H2755" s="553">
        <v>1320</v>
      </c>
      <c r="I2755" s="553">
        <v>0</v>
      </c>
      <c r="J2755" s="553">
        <v>2</v>
      </c>
      <c r="K2755" s="553">
        <v>0</v>
      </c>
      <c r="L2755" s="553">
        <v>4</v>
      </c>
      <c r="M2755" s="505" t="s">
        <v>137</v>
      </c>
      <c r="N2755" s="500">
        <v>43013332650000</v>
      </c>
      <c r="O2755" s="553" t="s">
        <v>3465</v>
      </c>
      <c r="P2755" s="650" t="s">
        <v>3466</v>
      </c>
      <c r="Q2755" s="564"/>
      <c r="R2755" s="564">
        <v>1</v>
      </c>
    </row>
    <row r="2756" spans="1:18" x14ac:dyDescent="0.25">
      <c r="A2756" s="553">
        <v>27</v>
      </c>
      <c r="B2756" s="553">
        <v>2</v>
      </c>
      <c r="C2756" s="553">
        <v>2</v>
      </c>
      <c r="D2756" s="553">
        <v>4</v>
      </c>
      <c r="E2756" s="553">
        <v>2</v>
      </c>
      <c r="F2756" s="553">
        <v>2</v>
      </c>
      <c r="G2756" s="502" t="s">
        <v>476</v>
      </c>
      <c r="H2756" s="553">
        <v>1320</v>
      </c>
      <c r="I2756" s="553">
        <v>0</v>
      </c>
      <c r="J2756" s="553">
        <v>2</v>
      </c>
      <c r="K2756" s="553">
        <v>0</v>
      </c>
      <c r="L2756" s="553">
        <v>4</v>
      </c>
      <c r="M2756" s="505" t="s">
        <v>137</v>
      </c>
      <c r="N2756" s="500">
        <v>43013332650000</v>
      </c>
      <c r="O2756" s="553" t="s">
        <v>3465</v>
      </c>
      <c r="P2756" s="650" t="s">
        <v>3467</v>
      </c>
      <c r="Q2756" s="564"/>
      <c r="R2756" s="564">
        <v>1</v>
      </c>
    </row>
    <row r="2757" spans="1:18" x14ac:dyDescent="0.25">
      <c r="A2757" s="553">
        <v>27</v>
      </c>
      <c r="B2757" s="553">
        <v>2</v>
      </c>
      <c r="C2757" s="553">
        <v>2</v>
      </c>
      <c r="D2757" s="553">
        <v>4</v>
      </c>
      <c r="E2757" s="553">
        <v>2</v>
      </c>
      <c r="F2757" s="553">
        <v>2</v>
      </c>
      <c r="G2757" s="553" t="s">
        <v>478</v>
      </c>
      <c r="H2757" s="553">
        <v>1305.395</v>
      </c>
      <c r="I2757" s="553">
        <v>0</v>
      </c>
      <c r="J2757" s="553">
        <v>14</v>
      </c>
      <c r="K2757" s="553">
        <v>33</v>
      </c>
      <c r="L2757" s="553">
        <v>4</v>
      </c>
      <c r="M2757" s="505" t="s">
        <v>137</v>
      </c>
      <c r="N2757" s="500">
        <v>43013332650000</v>
      </c>
      <c r="O2757" s="553" t="s">
        <v>3465</v>
      </c>
      <c r="P2757" s="650" t="s">
        <v>3468</v>
      </c>
      <c r="Q2757" s="564"/>
      <c r="R2757" s="564">
        <v>1</v>
      </c>
    </row>
    <row r="2758" spans="1:18" x14ac:dyDescent="0.25">
      <c r="A2758" s="553">
        <v>27</v>
      </c>
      <c r="B2758" s="553">
        <v>2</v>
      </c>
      <c r="C2758" s="553">
        <v>2</v>
      </c>
      <c r="D2758" s="553">
        <v>4</v>
      </c>
      <c r="E2758" s="553">
        <v>2</v>
      </c>
      <c r="F2758" s="553">
        <v>2</v>
      </c>
      <c r="G2758" s="553" t="s">
        <v>484</v>
      </c>
      <c r="H2758" s="553">
        <v>1305.395</v>
      </c>
      <c r="I2758" s="553">
        <v>0</v>
      </c>
      <c r="J2758" s="553">
        <v>14</v>
      </c>
      <c r="K2758" s="553">
        <v>33</v>
      </c>
      <c r="L2758" s="553">
        <v>4</v>
      </c>
      <c r="M2758" s="505" t="s">
        <v>137</v>
      </c>
      <c r="N2758" s="500">
        <v>43013332650000</v>
      </c>
      <c r="O2758" s="553" t="s">
        <v>3465</v>
      </c>
      <c r="P2758" s="650" t="s">
        <v>3469</v>
      </c>
      <c r="Q2758" s="564"/>
      <c r="R2758" s="564">
        <v>1</v>
      </c>
    </row>
    <row r="2759" spans="1:18" x14ac:dyDescent="0.25">
      <c r="A2759" s="553">
        <v>27</v>
      </c>
      <c r="B2759" s="553">
        <v>2</v>
      </c>
      <c r="C2759" s="553">
        <v>2</v>
      </c>
      <c r="D2759" s="553">
        <v>4</v>
      </c>
      <c r="E2759" s="553">
        <v>2</v>
      </c>
      <c r="F2759" s="553">
        <v>2</v>
      </c>
      <c r="G2759" s="553" t="s">
        <v>486</v>
      </c>
      <c r="H2759" s="553">
        <v>1305</v>
      </c>
      <c r="I2759" s="553">
        <v>0</v>
      </c>
      <c r="J2759" s="553">
        <v>2</v>
      </c>
      <c r="K2759" s="553">
        <v>0</v>
      </c>
      <c r="L2759" s="553">
        <v>4</v>
      </c>
      <c r="M2759" s="505" t="s">
        <v>137</v>
      </c>
      <c r="N2759" s="500">
        <v>43013332650000</v>
      </c>
      <c r="O2759" s="553" t="s">
        <v>3465</v>
      </c>
      <c r="P2759" s="650" t="s">
        <v>3470</v>
      </c>
      <c r="Q2759" s="564"/>
      <c r="R2759" s="564">
        <v>1</v>
      </c>
    </row>
    <row r="2760" spans="1:18" x14ac:dyDescent="0.25">
      <c r="A2760" s="553">
        <v>27</v>
      </c>
      <c r="B2760" s="553">
        <v>2</v>
      </c>
      <c r="C2760" s="553">
        <v>2</v>
      </c>
      <c r="D2760" s="553">
        <v>4</v>
      </c>
      <c r="E2760" s="553">
        <v>2</v>
      </c>
      <c r="F2760" s="553">
        <v>2</v>
      </c>
      <c r="G2760" s="502" t="s">
        <v>488</v>
      </c>
      <c r="H2760" s="553">
        <v>1305</v>
      </c>
      <c r="I2760" s="553">
        <v>0</v>
      </c>
      <c r="J2760" s="553">
        <v>2</v>
      </c>
      <c r="K2760" s="553">
        <v>0</v>
      </c>
      <c r="L2760" s="553">
        <v>4</v>
      </c>
      <c r="M2760" s="505" t="s">
        <v>137</v>
      </c>
      <c r="N2760" s="500">
        <v>43013332650000</v>
      </c>
      <c r="O2760" s="553" t="s">
        <v>3465</v>
      </c>
      <c r="P2760" s="650" t="s">
        <v>3471</v>
      </c>
      <c r="Q2760" s="564"/>
      <c r="R2760" s="564">
        <v>1</v>
      </c>
    </row>
    <row r="2761" spans="1:18" x14ac:dyDescent="0.25">
      <c r="A2761" s="553">
        <v>27</v>
      </c>
      <c r="B2761" s="553">
        <v>2</v>
      </c>
      <c r="C2761" s="553">
        <v>2</v>
      </c>
      <c r="D2761" s="553">
        <v>4</v>
      </c>
      <c r="E2761" s="553">
        <v>2</v>
      </c>
      <c r="F2761" s="553">
        <v>2</v>
      </c>
      <c r="G2761" s="553" t="s">
        <v>490</v>
      </c>
      <c r="H2761" s="553">
        <v>1322.105</v>
      </c>
      <c r="I2761" s="553">
        <v>0</v>
      </c>
      <c r="J2761" s="553">
        <v>3</v>
      </c>
      <c r="K2761" s="553">
        <v>42</v>
      </c>
      <c r="L2761" s="553">
        <v>2</v>
      </c>
      <c r="M2761" s="505" t="s">
        <v>137</v>
      </c>
      <c r="N2761" s="500">
        <v>43013332650000</v>
      </c>
      <c r="O2761" s="553" t="s">
        <v>3465</v>
      </c>
      <c r="P2761" s="650" t="s">
        <v>3472</v>
      </c>
      <c r="Q2761" s="564"/>
      <c r="R2761" s="564">
        <v>1</v>
      </c>
    </row>
    <row r="2762" spans="1:18" x14ac:dyDescent="0.25">
      <c r="A2762" s="553">
        <v>27</v>
      </c>
      <c r="B2762" s="553">
        <v>2</v>
      </c>
      <c r="C2762" s="553">
        <v>2</v>
      </c>
      <c r="D2762" s="553">
        <v>4</v>
      </c>
      <c r="E2762" s="553">
        <v>2</v>
      </c>
      <c r="F2762" s="553">
        <v>2</v>
      </c>
      <c r="G2762" s="553" t="s">
        <v>493</v>
      </c>
      <c r="H2762" s="553">
        <v>1322.105</v>
      </c>
      <c r="I2762" s="553">
        <v>0</v>
      </c>
      <c r="J2762" s="553">
        <v>3</v>
      </c>
      <c r="K2762" s="553">
        <v>42</v>
      </c>
      <c r="L2762" s="553">
        <v>2</v>
      </c>
      <c r="M2762" s="505" t="s">
        <v>137</v>
      </c>
      <c r="N2762" s="500">
        <v>43013332650000</v>
      </c>
      <c r="O2762" s="553" t="s">
        <v>3465</v>
      </c>
      <c r="P2762" s="650" t="s">
        <v>3473</v>
      </c>
      <c r="Q2762" s="564"/>
      <c r="R2762" s="564">
        <v>1</v>
      </c>
    </row>
    <row r="2763" spans="1:18" x14ac:dyDescent="0.25">
      <c r="A2763" s="553">
        <v>27</v>
      </c>
      <c r="B2763" s="553">
        <v>2</v>
      </c>
      <c r="C2763" s="553">
        <v>2</v>
      </c>
      <c r="D2763" s="553">
        <v>4</v>
      </c>
      <c r="E2763" s="553">
        <v>2</v>
      </c>
      <c r="F2763" s="553">
        <v>2</v>
      </c>
      <c r="G2763" s="553" t="s">
        <v>474</v>
      </c>
      <c r="H2763" s="553">
        <v>1320</v>
      </c>
      <c r="I2763" s="553">
        <v>90</v>
      </c>
      <c r="J2763" s="553">
        <v>0</v>
      </c>
      <c r="K2763" s="553">
        <v>0</v>
      </c>
      <c r="L2763" s="553">
        <v>4</v>
      </c>
      <c r="M2763" s="505" t="s">
        <v>137</v>
      </c>
      <c r="N2763" s="500">
        <v>43013332650000</v>
      </c>
      <c r="O2763" s="553" t="s">
        <v>3465</v>
      </c>
      <c r="P2763" s="650" t="s">
        <v>3474</v>
      </c>
      <c r="Q2763" s="564"/>
      <c r="R2763" s="564">
        <v>1</v>
      </c>
    </row>
    <row r="2764" spans="1:18" x14ac:dyDescent="0.25">
      <c r="A2764" s="553">
        <v>27</v>
      </c>
      <c r="B2764" s="553">
        <v>2</v>
      </c>
      <c r="C2764" s="553">
        <v>2</v>
      </c>
      <c r="D2764" s="553">
        <v>4</v>
      </c>
      <c r="E2764" s="553">
        <v>2</v>
      </c>
      <c r="F2764" s="553">
        <v>2</v>
      </c>
      <c r="G2764" s="502" t="s">
        <v>477</v>
      </c>
      <c r="H2764" s="553">
        <v>1320</v>
      </c>
      <c r="I2764" s="553">
        <v>90</v>
      </c>
      <c r="J2764" s="553">
        <v>0</v>
      </c>
      <c r="K2764" s="553">
        <v>0</v>
      </c>
      <c r="L2764" s="553">
        <v>4</v>
      </c>
      <c r="M2764" s="505" t="s">
        <v>137</v>
      </c>
      <c r="N2764" s="500">
        <v>43013332650000</v>
      </c>
      <c r="O2764" s="553" t="s">
        <v>3465</v>
      </c>
      <c r="P2764" s="650" t="s">
        <v>3475</v>
      </c>
      <c r="Q2764" s="564"/>
      <c r="R2764" s="564">
        <v>1</v>
      </c>
    </row>
    <row r="2765" spans="1:18" x14ac:dyDescent="0.25">
      <c r="A2765" s="553">
        <v>27</v>
      </c>
      <c r="B2765" s="553">
        <v>2</v>
      </c>
      <c r="C2765" s="553">
        <v>2</v>
      </c>
      <c r="D2765" s="553">
        <v>4</v>
      </c>
      <c r="E2765" s="553">
        <v>2</v>
      </c>
      <c r="F2765" s="553">
        <v>2</v>
      </c>
      <c r="G2765" s="553" t="s">
        <v>479</v>
      </c>
      <c r="H2765" s="553">
        <v>1320</v>
      </c>
      <c r="I2765" s="553">
        <v>90</v>
      </c>
      <c r="J2765" s="553">
        <v>0</v>
      </c>
      <c r="K2765" s="553">
        <v>0</v>
      </c>
      <c r="L2765" s="553">
        <v>4</v>
      </c>
      <c r="M2765" s="505" t="s">
        <v>137</v>
      </c>
      <c r="N2765" s="500">
        <v>43013332650000</v>
      </c>
      <c r="O2765" s="553" t="s">
        <v>3465</v>
      </c>
      <c r="P2765" s="650" t="s">
        <v>3476</v>
      </c>
      <c r="Q2765" s="564"/>
      <c r="R2765" s="564">
        <v>1</v>
      </c>
    </row>
    <row r="2766" spans="1:18" x14ac:dyDescent="0.25">
      <c r="A2766" s="553">
        <v>27</v>
      </c>
      <c r="B2766" s="553">
        <v>2</v>
      </c>
      <c r="C2766" s="553">
        <v>2</v>
      </c>
      <c r="D2766" s="553">
        <v>4</v>
      </c>
      <c r="E2766" s="553">
        <v>2</v>
      </c>
      <c r="F2766" s="553">
        <v>2</v>
      </c>
      <c r="G2766" s="553" t="s">
        <v>485</v>
      </c>
      <c r="H2766" s="553">
        <v>1320</v>
      </c>
      <c r="I2766" s="553">
        <v>90</v>
      </c>
      <c r="J2766" s="553">
        <v>0</v>
      </c>
      <c r="K2766" s="553">
        <v>0</v>
      </c>
      <c r="L2766" s="553">
        <v>4</v>
      </c>
      <c r="M2766" s="505" t="s">
        <v>137</v>
      </c>
      <c r="N2766" s="500">
        <v>43013332650000</v>
      </c>
      <c r="O2766" s="553" t="s">
        <v>3465</v>
      </c>
      <c r="P2766" s="650" t="s">
        <v>3477</v>
      </c>
      <c r="Q2766" s="564"/>
      <c r="R2766" s="564">
        <v>1</v>
      </c>
    </row>
    <row r="2767" spans="1:18" x14ac:dyDescent="0.25">
      <c r="A2767" s="553">
        <v>27</v>
      </c>
      <c r="B2767" s="553">
        <v>2</v>
      </c>
      <c r="C2767" s="553">
        <v>2</v>
      </c>
      <c r="D2767" s="553">
        <v>4</v>
      </c>
      <c r="E2767" s="553">
        <v>2</v>
      </c>
      <c r="F2767" s="553">
        <v>2</v>
      </c>
      <c r="G2767" s="553" t="s">
        <v>487</v>
      </c>
      <c r="H2767" s="553">
        <v>1325.2950000000001</v>
      </c>
      <c r="I2767" s="553">
        <v>89</v>
      </c>
      <c r="J2767" s="553">
        <v>40</v>
      </c>
      <c r="K2767" s="553">
        <v>22</v>
      </c>
      <c r="L2767" s="553">
        <v>4</v>
      </c>
      <c r="M2767" s="505" t="s">
        <v>137</v>
      </c>
      <c r="N2767" s="500">
        <v>43013332650000</v>
      </c>
      <c r="O2767" s="553" t="s">
        <v>3465</v>
      </c>
      <c r="P2767" s="650" t="s">
        <v>3478</v>
      </c>
      <c r="Q2767" s="564"/>
      <c r="R2767" s="564">
        <v>1</v>
      </c>
    </row>
    <row r="2768" spans="1:18" x14ac:dyDescent="0.25">
      <c r="A2768" s="553">
        <v>27</v>
      </c>
      <c r="B2768" s="553">
        <v>2</v>
      </c>
      <c r="C2768" s="553">
        <v>2</v>
      </c>
      <c r="D2768" s="553">
        <v>4</v>
      </c>
      <c r="E2768" s="553">
        <v>2</v>
      </c>
      <c r="F2768" s="553">
        <v>2</v>
      </c>
      <c r="G2768" s="502" t="s">
        <v>489</v>
      </c>
      <c r="H2768" s="553">
        <v>1325.2950000000001</v>
      </c>
      <c r="I2768" s="553">
        <v>89</v>
      </c>
      <c r="J2768" s="553">
        <v>40</v>
      </c>
      <c r="K2768" s="553">
        <v>22</v>
      </c>
      <c r="L2768" s="553">
        <v>4</v>
      </c>
      <c r="M2768" s="505" t="s">
        <v>137</v>
      </c>
      <c r="N2768" s="500">
        <v>43013332650000</v>
      </c>
      <c r="O2768" s="553" t="s">
        <v>3465</v>
      </c>
      <c r="P2768" s="650" t="s">
        <v>3479</v>
      </c>
      <c r="Q2768" s="564"/>
      <c r="R2768" s="564">
        <v>1</v>
      </c>
    </row>
    <row r="2769" spans="1:18" x14ac:dyDescent="0.25">
      <c r="A2769" s="553">
        <v>27</v>
      </c>
      <c r="B2769" s="553">
        <v>2</v>
      </c>
      <c r="C2769" s="553">
        <v>2</v>
      </c>
      <c r="D2769" s="553">
        <v>4</v>
      </c>
      <c r="E2769" s="553">
        <v>2</v>
      </c>
      <c r="F2769" s="553">
        <v>2</v>
      </c>
      <c r="G2769" s="553" t="s">
        <v>491</v>
      </c>
      <c r="H2769" s="553">
        <v>1317.7950000000001</v>
      </c>
      <c r="I2769" s="553">
        <v>89</v>
      </c>
      <c r="J2769" s="553">
        <v>58</v>
      </c>
      <c r="K2769" s="553">
        <v>23</v>
      </c>
      <c r="L2769" s="553">
        <v>3</v>
      </c>
      <c r="M2769" s="505" t="s">
        <v>137</v>
      </c>
      <c r="N2769" s="500">
        <v>43013332650000</v>
      </c>
      <c r="O2769" s="553" t="s">
        <v>3465</v>
      </c>
      <c r="P2769" s="650" t="s">
        <v>3480</v>
      </c>
      <c r="Q2769" s="564"/>
      <c r="R2769" s="564">
        <v>1</v>
      </c>
    </row>
    <row r="2770" spans="1:18" x14ac:dyDescent="0.25">
      <c r="A2770" s="553">
        <v>27</v>
      </c>
      <c r="B2770" s="553">
        <v>2</v>
      </c>
      <c r="C2770" s="553">
        <v>2</v>
      </c>
      <c r="D2770" s="553">
        <v>4</v>
      </c>
      <c r="E2770" s="553">
        <v>2</v>
      </c>
      <c r="F2770" s="553">
        <v>2</v>
      </c>
      <c r="G2770" s="553" t="s">
        <v>494</v>
      </c>
      <c r="H2770" s="553">
        <v>1317.7950000000001</v>
      </c>
      <c r="I2770" s="553">
        <v>89</v>
      </c>
      <c r="J2770" s="553">
        <v>58</v>
      </c>
      <c r="K2770" s="553">
        <v>23</v>
      </c>
      <c r="L2770" s="553">
        <v>3</v>
      </c>
      <c r="M2770" s="505" t="s">
        <v>137</v>
      </c>
      <c r="N2770" s="500">
        <v>43013332650000</v>
      </c>
      <c r="O2770" s="553" t="s">
        <v>3465</v>
      </c>
      <c r="P2770" s="650" t="s">
        <v>3481</v>
      </c>
      <c r="Q2770" s="564"/>
      <c r="R2770" s="564">
        <v>1</v>
      </c>
    </row>
    <row r="2771" spans="1:18" x14ac:dyDescent="0.25">
      <c r="A2771" s="553">
        <v>27</v>
      </c>
      <c r="B2771" s="553">
        <v>3</v>
      </c>
      <c r="C2771" s="553">
        <v>2</v>
      </c>
      <c r="D2771" s="553">
        <v>1</v>
      </c>
      <c r="E2771" s="553">
        <v>2</v>
      </c>
      <c r="F2771" s="553">
        <v>2</v>
      </c>
      <c r="G2771" s="553" t="s">
        <v>473</v>
      </c>
      <c r="H2771" s="553">
        <v>1320.63</v>
      </c>
      <c r="I2771" s="553">
        <v>0</v>
      </c>
      <c r="J2771" s="553">
        <v>4</v>
      </c>
      <c r="K2771" s="553">
        <v>2</v>
      </c>
      <c r="L2771" s="553">
        <v>2</v>
      </c>
      <c r="M2771" s="505" t="s">
        <v>137</v>
      </c>
      <c r="N2771" s="500">
        <v>43013534790000</v>
      </c>
      <c r="O2771" s="553" t="s">
        <v>1931</v>
      </c>
      <c r="P2771" s="650" t="s">
        <v>3482</v>
      </c>
      <c r="Q2771" s="564"/>
      <c r="R2771" s="564">
        <v>2</v>
      </c>
    </row>
    <row r="2772" spans="1:18" x14ac:dyDescent="0.25">
      <c r="A2772" s="553">
        <v>27</v>
      </c>
      <c r="B2772" s="553">
        <v>3</v>
      </c>
      <c r="C2772" s="553">
        <v>2</v>
      </c>
      <c r="D2772" s="553">
        <v>1</v>
      </c>
      <c r="E2772" s="553">
        <v>2</v>
      </c>
      <c r="F2772" s="553">
        <v>2</v>
      </c>
      <c r="G2772" s="502" t="s">
        <v>476</v>
      </c>
      <c r="H2772" s="553">
        <v>1320.17</v>
      </c>
      <c r="I2772" s="553">
        <v>0</v>
      </c>
      <c r="J2772" s="553">
        <v>4</v>
      </c>
      <c r="K2772" s="553">
        <v>38</v>
      </c>
      <c r="L2772" s="553">
        <v>2</v>
      </c>
      <c r="M2772" s="505" t="s">
        <v>137</v>
      </c>
      <c r="N2772" s="500">
        <v>43013534790000</v>
      </c>
      <c r="O2772" s="553" t="s">
        <v>1931</v>
      </c>
      <c r="P2772" s="650" t="s">
        <v>3483</v>
      </c>
      <c r="Q2772" s="564"/>
      <c r="R2772" s="564">
        <v>2</v>
      </c>
    </row>
    <row r="2773" spans="1:18" x14ac:dyDescent="0.25">
      <c r="A2773" s="553">
        <v>27</v>
      </c>
      <c r="B2773" s="553">
        <v>3</v>
      </c>
      <c r="C2773" s="553">
        <v>2</v>
      </c>
      <c r="D2773" s="553">
        <v>1</v>
      </c>
      <c r="E2773" s="553">
        <v>2</v>
      </c>
      <c r="F2773" s="553">
        <v>2</v>
      </c>
      <c r="G2773" s="553" t="s">
        <v>478</v>
      </c>
      <c r="H2773" s="553">
        <v>1320.405</v>
      </c>
      <c r="I2773" s="553">
        <v>0</v>
      </c>
      <c r="J2773" s="553">
        <v>4</v>
      </c>
      <c r="K2773" s="553">
        <v>38</v>
      </c>
      <c r="L2773" s="553">
        <v>2</v>
      </c>
      <c r="M2773" s="505" t="s">
        <v>137</v>
      </c>
      <c r="N2773" s="500">
        <v>43013534790000</v>
      </c>
      <c r="O2773" s="553" t="s">
        <v>1931</v>
      </c>
      <c r="P2773" s="650" t="s">
        <v>3484</v>
      </c>
      <c r="Q2773" s="564"/>
      <c r="R2773" s="564">
        <v>2</v>
      </c>
    </row>
    <row r="2774" spans="1:18" x14ac:dyDescent="0.25">
      <c r="A2774" s="553">
        <v>27</v>
      </c>
      <c r="B2774" s="553">
        <v>3</v>
      </c>
      <c r="C2774" s="553">
        <v>2</v>
      </c>
      <c r="D2774" s="553">
        <v>1</v>
      </c>
      <c r="E2774" s="553">
        <v>2</v>
      </c>
      <c r="F2774" s="553">
        <v>2</v>
      </c>
      <c r="G2774" s="553" t="s">
        <v>484</v>
      </c>
      <c r="H2774" s="553">
        <v>1320.405</v>
      </c>
      <c r="I2774" s="553">
        <v>0</v>
      </c>
      <c r="J2774" s="553">
        <v>4</v>
      </c>
      <c r="K2774" s="553">
        <v>38</v>
      </c>
      <c r="L2774" s="553">
        <v>2</v>
      </c>
      <c r="M2774" s="505" t="s">
        <v>137</v>
      </c>
      <c r="N2774" s="500">
        <v>43013534790000</v>
      </c>
      <c r="O2774" s="553" t="s">
        <v>1931</v>
      </c>
      <c r="P2774" s="650" t="s">
        <v>3485</v>
      </c>
      <c r="Q2774" s="564"/>
      <c r="R2774" s="564">
        <v>2</v>
      </c>
    </row>
    <row r="2775" spans="1:18" x14ac:dyDescent="0.25">
      <c r="A2775" s="553">
        <v>27</v>
      </c>
      <c r="B2775" s="553">
        <v>3</v>
      </c>
      <c r="C2775" s="553">
        <v>2</v>
      </c>
      <c r="D2775" s="553">
        <v>1</v>
      </c>
      <c r="E2775" s="553">
        <v>2</v>
      </c>
      <c r="F2775" s="553">
        <v>2</v>
      </c>
      <c r="G2775" s="553" t="s">
        <v>486</v>
      </c>
      <c r="H2775" s="553">
        <v>1319.64</v>
      </c>
      <c r="I2775" s="553">
        <v>0</v>
      </c>
      <c r="J2775" s="553">
        <v>3</v>
      </c>
      <c r="K2775" s="553">
        <v>9</v>
      </c>
      <c r="L2775" s="553">
        <v>2</v>
      </c>
      <c r="M2775" s="505" t="s">
        <v>137</v>
      </c>
      <c r="N2775" s="500">
        <v>43013534790000</v>
      </c>
      <c r="O2775" s="553" t="s">
        <v>1931</v>
      </c>
      <c r="P2775" s="650" t="s">
        <v>3486</v>
      </c>
      <c r="Q2775" s="564"/>
      <c r="R2775" s="564">
        <v>2</v>
      </c>
    </row>
    <row r="2776" spans="1:18" x14ac:dyDescent="0.25">
      <c r="A2776" s="553">
        <v>27</v>
      </c>
      <c r="B2776" s="553">
        <v>3</v>
      </c>
      <c r="C2776" s="553">
        <v>2</v>
      </c>
      <c r="D2776" s="553">
        <v>1</v>
      </c>
      <c r="E2776" s="553">
        <v>2</v>
      </c>
      <c r="F2776" s="553">
        <v>2</v>
      </c>
      <c r="G2776" s="502" t="s">
        <v>488</v>
      </c>
      <c r="H2776" s="553">
        <v>1319.64</v>
      </c>
      <c r="I2776" s="553">
        <v>0</v>
      </c>
      <c r="J2776" s="553">
        <v>3</v>
      </c>
      <c r="K2776" s="553">
        <v>9</v>
      </c>
      <c r="L2776" s="553">
        <v>2</v>
      </c>
      <c r="M2776" s="505" t="s">
        <v>137</v>
      </c>
      <c r="N2776" s="500">
        <v>43013534790000</v>
      </c>
      <c r="O2776" s="553" t="s">
        <v>1931</v>
      </c>
      <c r="P2776" s="650" t="s">
        <v>3487</v>
      </c>
      <c r="Q2776" s="564"/>
      <c r="R2776" s="564">
        <v>2</v>
      </c>
    </row>
    <row r="2777" spans="1:18" x14ac:dyDescent="0.25">
      <c r="A2777" s="553">
        <v>27</v>
      </c>
      <c r="B2777" s="553">
        <v>3</v>
      </c>
      <c r="C2777" s="553">
        <v>2</v>
      </c>
      <c r="D2777" s="553">
        <v>1</v>
      </c>
      <c r="E2777" s="553">
        <v>2</v>
      </c>
      <c r="F2777" s="553">
        <v>2</v>
      </c>
      <c r="G2777" s="553" t="s">
        <v>490</v>
      </c>
      <c r="H2777" s="553">
        <v>1320.07</v>
      </c>
      <c r="I2777" s="553">
        <v>0</v>
      </c>
      <c r="J2777" s="553">
        <v>2</v>
      </c>
      <c r="K2777" s="553">
        <v>53</v>
      </c>
      <c r="L2777" s="553">
        <v>2</v>
      </c>
      <c r="M2777" s="505" t="s">
        <v>137</v>
      </c>
      <c r="N2777" s="500">
        <v>43013534790000</v>
      </c>
      <c r="O2777" s="553" t="s">
        <v>1931</v>
      </c>
      <c r="P2777" s="650" t="s">
        <v>3488</v>
      </c>
      <c r="Q2777" s="564"/>
      <c r="R2777" s="564">
        <v>2</v>
      </c>
    </row>
    <row r="2778" spans="1:18" x14ac:dyDescent="0.25">
      <c r="A2778" s="553">
        <v>27</v>
      </c>
      <c r="B2778" s="553">
        <v>3</v>
      </c>
      <c r="C2778" s="553">
        <v>2</v>
      </c>
      <c r="D2778" s="553">
        <v>1</v>
      </c>
      <c r="E2778" s="553">
        <v>2</v>
      </c>
      <c r="F2778" s="553">
        <v>2</v>
      </c>
      <c r="G2778" s="553" t="s">
        <v>493</v>
      </c>
      <c r="H2778" s="553">
        <v>1320.07</v>
      </c>
      <c r="I2778" s="553">
        <v>0</v>
      </c>
      <c r="J2778" s="553">
        <v>2</v>
      </c>
      <c r="K2778" s="553">
        <v>53</v>
      </c>
      <c r="L2778" s="553">
        <v>2</v>
      </c>
      <c r="M2778" s="505" t="s">
        <v>137</v>
      </c>
      <c r="N2778" s="500">
        <v>43013534790000</v>
      </c>
      <c r="O2778" s="553" t="s">
        <v>1931</v>
      </c>
      <c r="P2778" s="650" t="s">
        <v>3489</v>
      </c>
      <c r="Q2778" s="564"/>
      <c r="R2778" s="564">
        <v>2</v>
      </c>
    </row>
    <row r="2779" spans="1:18" x14ac:dyDescent="0.25">
      <c r="A2779" s="553">
        <v>27</v>
      </c>
      <c r="B2779" s="553">
        <v>3</v>
      </c>
      <c r="C2779" s="553">
        <v>2</v>
      </c>
      <c r="D2779" s="553">
        <v>1</v>
      </c>
      <c r="E2779" s="553">
        <v>2</v>
      </c>
      <c r="F2779" s="553">
        <v>2</v>
      </c>
      <c r="G2779" s="553" t="s">
        <v>474</v>
      </c>
      <c r="H2779" s="553">
        <v>1319.7550000000001</v>
      </c>
      <c r="I2779" s="553">
        <v>89</v>
      </c>
      <c r="J2779" s="553">
        <v>56</v>
      </c>
      <c r="K2779" s="553">
        <v>5</v>
      </c>
      <c r="L2779" s="553">
        <v>3</v>
      </c>
      <c r="M2779" s="505" t="s">
        <v>137</v>
      </c>
      <c r="N2779" s="500">
        <v>43013534790000</v>
      </c>
      <c r="O2779" s="553" t="s">
        <v>1931</v>
      </c>
      <c r="P2779" s="650" t="s">
        <v>3490</v>
      </c>
      <c r="Q2779" s="564"/>
      <c r="R2779" s="564">
        <v>2</v>
      </c>
    </row>
    <row r="2780" spans="1:18" x14ac:dyDescent="0.25">
      <c r="A2780" s="553">
        <v>27</v>
      </c>
      <c r="B2780" s="553">
        <v>3</v>
      </c>
      <c r="C2780" s="553">
        <v>2</v>
      </c>
      <c r="D2780" s="553">
        <v>1</v>
      </c>
      <c r="E2780" s="553">
        <v>2</v>
      </c>
      <c r="F2780" s="553">
        <v>2</v>
      </c>
      <c r="G2780" s="502" t="s">
        <v>477</v>
      </c>
      <c r="H2780" s="553">
        <v>1319.7550000000001</v>
      </c>
      <c r="I2780" s="553">
        <v>89</v>
      </c>
      <c r="J2780" s="553">
        <v>56</v>
      </c>
      <c r="K2780" s="553">
        <v>5</v>
      </c>
      <c r="L2780" s="553">
        <v>3</v>
      </c>
      <c r="M2780" s="505" t="s">
        <v>137</v>
      </c>
      <c r="N2780" s="500">
        <v>43013534790000</v>
      </c>
      <c r="O2780" s="553" t="s">
        <v>1931</v>
      </c>
      <c r="P2780" s="650" t="s">
        <v>3491</v>
      </c>
      <c r="Q2780" s="564"/>
      <c r="R2780" s="564">
        <v>2</v>
      </c>
    </row>
    <row r="2781" spans="1:18" x14ac:dyDescent="0.25">
      <c r="A2781" s="553">
        <v>27</v>
      </c>
      <c r="B2781" s="553">
        <v>3</v>
      </c>
      <c r="C2781" s="553">
        <v>2</v>
      </c>
      <c r="D2781" s="553">
        <v>1</v>
      </c>
      <c r="E2781" s="553">
        <v>2</v>
      </c>
      <c r="F2781" s="553">
        <v>2</v>
      </c>
      <c r="G2781" s="553" t="s">
        <v>479</v>
      </c>
      <c r="H2781" s="553">
        <v>1319.75</v>
      </c>
      <c r="I2781" s="553">
        <v>89</v>
      </c>
      <c r="J2781" s="553">
        <v>55</v>
      </c>
      <c r="K2781" s="553">
        <v>49</v>
      </c>
      <c r="L2781" s="553">
        <v>3</v>
      </c>
      <c r="M2781" s="505" t="s">
        <v>137</v>
      </c>
      <c r="N2781" s="500">
        <v>43013534790000</v>
      </c>
      <c r="O2781" s="553" t="s">
        <v>1931</v>
      </c>
      <c r="P2781" s="650" t="s">
        <v>3492</v>
      </c>
      <c r="Q2781" s="564"/>
      <c r="R2781" s="564">
        <v>2</v>
      </c>
    </row>
    <row r="2782" spans="1:18" x14ac:dyDescent="0.25">
      <c r="A2782" s="553">
        <v>27</v>
      </c>
      <c r="B2782" s="553">
        <v>3</v>
      </c>
      <c r="C2782" s="553">
        <v>2</v>
      </c>
      <c r="D2782" s="553">
        <v>1</v>
      </c>
      <c r="E2782" s="553">
        <v>2</v>
      </c>
      <c r="F2782" s="553">
        <v>2</v>
      </c>
      <c r="G2782" s="553" t="s">
        <v>485</v>
      </c>
      <c r="H2782" s="553">
        <v>1319.75</v>
      </c>
      <c r="I2782" s="553">
        <v>89</v>
      </c>
      <c r="J2782" s="553">
        <v>55</v>
      </c>
      <c r="K2782" s="553">
        <v>49</v>
      </c>
      <c r="L2782" s="553">
        <v>3</v>
      </c>
      <c r="M2782" s="505" t="s">
        <v>137</v>
      </c>
      <c r="N2782" s="500">
        <v>43013534790000</v>
      </c>
      <c r="O2782" s="553" t="s">
        <v>1931</v>
      </c>
      <c r="P2782" s="650" t="s">
        <v>3493</v>
      </c>
      <c r="Q2782" s="564"/>
      <c r="R2782" s="564">
        <v>2</v>
      </c>
    </row>
    <row r="2783" spans="1:18" x14ac:dyDescent="0.25">
      <c r="A2783" s="553">
        <v>27</v>
      </c>
      <c r="B2783" s="553">
        <v>3</v>
      </c>
      <c r="C2783" s="553">
        <v>2</v>
      </c>
      <c r="D2783" s="553">
        <v>1</v>
      </c>
      <c r="E2783" s="553">
        <v>2</v>
      </c>
      <c r="F2783" s="553">
        <v>2</v>
      </c>
      <c r="G2783" s="553" t="s">
        <v>487</v>
      </c>
      <c r="H2783" s="553">
        <v>1319.85</v>
      </c>
      <c r="I2783" s="553">
        <v>88</v>
      </c>
      <c r="J2783" s="553">
        <v>51</v>
      </c>
      <c r="K2783" s="553">
        <v>29</v>
      </c>
      <c r="L2783" s="553">
        <v>3</v>
      </c>
      <c r="M2783" s="505" t="s">
        <v>137</v>
      </c>
      <c r="N2783" s="500">
        <v>43013534790000</v>
      </c>
      <c r="O2783" s="553" t="s">
        <v>1931</v>
      </c>
      <c r="P2783" s="650" t="s">
        <v>3494</v>
      </c>
      <c r="Q2783" s="564"/>
      <c r="R2783" s="564">
        <v>2</v>
      </c>
    </row>
    <row r="2784" spans="1:18" x14ac:dyDescent="0.25">
      <c r="A2784" s="553">
        <v>27</v>
      </c>
      <c r="B2784" s="553">
        <v>3</v>
      </c>
      <c r="C2784" s="553">
        <v>2</v>
      </c>
      <c r="D2784" s="553">
        <v>1</v>
      </c>
      <c r="E2784" s="553">
        <v>2</v>
      </c>
      <c r="F2784" s="553">
        <v>2</v>
      </c>
      <c r="G2784" s="502" t="s">
        <v>489</v>
      </c>
      <c r="H2784" s="553">
        <v>1319.85</v>
      </c>
      <c r="I2784" s="553">
        <v>88</v>
      </c>
      <c r="J2784" s="553">
        <v>51</v>
      </c>
      <c r="K2784" s="553">
        <v>29</v>
      </c>
      <c r="L2784" s="553">
        <v>3</v>
      </c>
      <c r="M2784" s="505" t="s">
        <v>137</v>
      </c>
      <c r="N2784" s="500">
        <v>43013534790000</v>
      </c>
      <c r="O2784" s="553" t="s">
        <v>1931</v>
      </c>
      <c r="P2784" s="650" t="s">
        <v>3495</v>
      </c>
      <c r="Q2784" s="564"/>
      <c r="R2784" s="564">
        <v>2</v>
      </c>
    </row>
    <row r="2785" spans="1:18" x14ac:dyDescent="0.25">
      <c r="A2785" s="553">
        <v>27</v>
      </c>
      <c r="B2785" s="553">
        <v>3</v>
      </c>
      <c r="C2785" s="553">
        <v>2</v>
      </c>
      <c r="D2785" s="553">
        <v>1</v>
      </c>
      <c r="E2785" s="553">
        <v>2</v>
      </c>
      <c r="F2785" s="553">
        <v>2</v>
      </c>
      <c r="G2785" s="553" t="s">
        <v>491</v>
      </c>
      <c r="H2785" s="553">
        <v>1320.14</v>
      </c>
      <c r="I2785" s="553">
        <v>88</v>
      </c>
      <c r="J2785" s="553">
        <v>51</v>
      </c>
      <c r="K2785" s="553">
        <v>33</v>
      </c>
      <c r="L2785" s="553">
        <v>3</v>
      </c>
      <c r="M2785" s="505" t="s">
        <v>137</v>
      </c>
      <c r="N2785" s="500">
        <v>43013534790000</v>
      </c>
      <c r="O2785" s="553" t="s">
        <v>1931</v>
      </c>
      <c r="P2785" s="650" t="s">
        <v>3496</v>
      </c>
      <c r="Q2785" s="564"/>
      <c r="R2785" s="564">
        <v>2</v>
      </c>
    </row>
    <row r="2786" spans="1:18" x14ac:dyDescent="0.25">
      <c r="A2786" s="553">
        <v>27</v>
      </c>
      <c r="B2786" s="553">
        <v>3</v>
      </c>
      <c r="C2786" s="553">
        <v>2</v>
      </c>
      <c r="D2786" s="553">
        <v>1</v>
      </c>
      <c r="E2786" s="553">
        <v>2</v>
      </c>
      <c r="F2786" s="553">
        <v>2</v>
      </c>
      <c r="G2786" s="553" t="s">
        <v>494</v>
      </c>
      <c r="H2786" s="553">
        <v>1320.14</v>
      </c>
      <c r="I2786" s="553">
        <v>88</v>
      </c>
      <c r="J2786" s="553">
        <v>51</v>
      </c>
      <c r="K2786" s="553">
        <v>33</v>
      </c>
      <c r="L2786" s="553">
        <v>3</v>
      </c>
      <c r="M2786" s="505" t="s">
        <v>137</v>
      </c>
      <c r="N2786" s="500">
        <v>43013534790000</v>
      </c>
      <c r="O2786" s="553" t="s">
        <v>1931</v>
      </c>
      <c r="P2786" s="650" t="s">
        <v>3497</v>
      </c>
      <c r="Q2786" s="564"/>
      <c r="R2786" s="564">
        <v>2</v>
      </c>
    </row>
    <row r="2787" spans="1:18" x14ac:dyDescent="0.25">
      <c r="A2787" s="553">
        <v>27</v>
      </c>
      <c r="B2787" s="553">
        <v>3</v>
      </c>
      <c r="C2787" s="553">
        <v>2</v>
      </c>
      <c r="D2787" s="553">
        <v>4</v>
      </c>
      <c r="E2787" s="553">
        <v>2</v>
      </c>
      <c r="F2787" s="553">
        <v>2</v>
      </c>
      <c r="G2787" s="553" t="s">
        <v>473</v>
      </c>
      <c r="H2787" s="553">
        <v>1305.2449999999999</v>
      </c>
      <c r="I2787" s="553">
        <v>0</v>
      </c>
      <c r="J2787" s="553">
        <v>2</v>
      </c>
      <c r="K2787" s="553">
        <v>20</v>
      </c>
      <c r="L2787" s="553">
        <v>4</v>
      </c>
      <c r="M2787" s="505" t="s">
        <v>137</v>
      </c>
      <c r="N2787" s="500">
        <v>43013540210000</v>
      </c>
      <c r="O2787" s="553" t="s">
        <v>3365</v>
      </c>
      <c r="P2787" s="650" t="s">
        <v>3498</v>
      </c>
      <c r="Q2787" s="564"/>
      <c r="R2787" s="564">
        <v>1</v>
      </c>
    </row>
    <row r="2788" spans="1:18" x14ac:dyDescent="0.25">
      <c r="A2788" s="553">
        <v>27</v>
      </c>
      <c r="B2788" s="553">
        <v>3</v>
      </c>
      <c r="C2788" s="553">
        <v>2</v>
      </c>
      <c r="D2788" s="553">
        <v>4</v>
      </c>
      <c r="E2788" s="553">
        <v>2</v>
      </c>
      <c r="F2788" s="553">
        <v>2</v>
      </c>
      <c r="G2788" s="502" t="s">
        <v>476</v>
      </c>
      <c r="H2788" s="553">
        <v>1305.2449999999999</v>
      </c>
      <c r="I2788" s="553">
        <v>0</v>
      </c>
      <c r="J2788" s="553">
        <v>2</v>
      </c>
      <c r="K2788" s="553">
        <v>20</v>
      </c>
      <c r="L2788" s="553">
        <v>4</v>
      </c>
      <c r="M2788" s="505" t="s">
        <v>137</v>
      </c>
      <c r="N2788" s="500">
        <v>43013540210000</v>
      </c>
      <c r="O2788" s="553" t="s">
        <v>3365</v>
      </c>
      <c r="P2788" s="650" t="s">
        <v>3499</v>
      </c>
      <c r="Q2788" s="564"/>
      <c r="R2788" s="564">
        <v>1</v>
      </c>
    </row>
    <row r="2789" spans="1:18" x14ac:dyDescent="0.25">
      <c r="A2789" s="553">
        <v>27</v>
      </c>
      <c r="B2789" s="553">
        <v>3</v>
      </c>
      <c r="C2789" s="553">
        <v>2</v>
      </c>
      <c r="D2789" s="553">
        <v>4</v>
      </c>
      <c r="E2789" s="553">
        <v>2</v>
      </c>
      <c r="F2789" s="553">
        <v>2</v>
      </c>
      <c r="G2789" s="553" t="s">
        <v>478</v>
      </c>
      <c r="H2789" s="553">
        <v>1310.05</v>
      </c>
      <c r="I2789" s="553">
        <v>0</v>
      </c>
      <c r="J2789" s="553">
        <v>3</v>
      </c>
      <c r="K2789" s="553">
        <v>4</v>
      </c>
      <c r="L2789" s="553">
        <v>4</v>
      </c>
      <c r="M2789" s="505" t="s">
        <v>137</v>
      </c>
      <c r="N2789" s="500">
        <v>43013540210000</v>
      </c>
      <c r="O2789" s="553" t="s">
        <v>3365</v>
      </c>
      <c r="P2789" s="650" t="s">
        <v>3500</v>
      </c>
      <c r="Q2789" s="564"/>
      <c r="R2789" s="564">
        <v>1</v>
      </c>
    </row>
    <row r="2790" spans="1:18" x14ac:dyDescent="0.25">
      <c r="A2790" s="553">
        <v>27</v>
      </c>
      <c r="B2790" s="553">
        <v>3</v>
      </c>
      <c r="C2790" s="553">
        <v>2</v>
      </c>
      <c r="D2790" s="553">
        <v>4</v>
      </c>
      <c r="E2790" s="553">
        <v>2</v>
      </c>
      <c r="F2790" s="553">
        <v>2</v>
      </c>
      <c r="G2790" s="553" t="s">
        <v>484</v>
      </c>
      <c r="H2790" s="553">
        <v>1310.05</v>
      </c>
      <c r="I2790" s="553">
        <v>0</v>
      </c>
      <c r="J2790" s="553">
        <v>3</v>
      </c>
      <c r="K2790" s="553">
        <v>4</v>
      </c>
      <c r="L2790" s="553">
        <v>4</v>
      </c>
      <c r="M2790" s="505" t="s">
        <v>137</v>
      </c>
      <c r="N2790" s="500">
        <v>43013540210000</v>
      </c>
      <c r="O2790" s="553" t="s">
        <v>3365</v>
      </c>
      <c r="P2790" s="650" t="s">
        <v>3501</v>
      </c>
      <c r="Q2790" s="564"/>
      <c r="R2790" s="564">
        <v>1</v>
      </c>
    </row>
    <row r="2791" spans="1:18" x14ac:dyDescent="0.25">
      <c r="A2791" s="553">
        <v>27</v>
      </c>
      <c r="B2791" s="553">
        <v>3</v>
      </c>
      <c r="C2791" s="553">
        <v>2</v>
      </c>
      <c r="D2791" s="553">
        <v>4</v>
      </c>
      <c r="E2791" s="553">
        <v>2</v>
      </c>
      <c r="F2791" s="553">
        <v>2</v>
      </c>
      <c r="G2791" s="553" t="s">
        <v>486</v>
      </c>
      <c r="H2791" s="553">
        <v>1314.9</v>
      </c>
      <c r="I2791" s="553">
        <v>0</v>
      </c>
      <c r="J2791" s="553">
        <v>30</v>
      </c>
      <c r="K2791" s="553">
        <v>57</v>
      </c>
      <c r="L2791" s="553">
        <v>1</v>
      </c>
      <c r="M2791" s="505" t="s">
        <v>137</v>
      </c>
      <c r="N2791" s="500">
        <v>43013540210000</v>
      </c>
      <c r="O2791" s="553" t="s">
        <v>3365</v>
      </c>
      <c r="P2791" s="650" t="s">
        <v>3502</v>
      </c>
      <c r="Q2791" s="564"/>
      <c r="R2791" s="564">
        <v>1</v>
      </c>
    </row>
    <row r="2792" spans="1:18" x14ac:dyDescent="0.25">
      <c r="A2792" s="553">
        <v>27</v>
      </c>
      <c r="B2792" s="553">
        <v>3</v>
      </c>
      <c r="C2792" s="553">
        <v>2</v>
      </c>
      <c r="D2792" s="553">
        <v>4</v>
      </c>
      <c r="E2792" s="553">
        <v>2</v>
      </c>
      <c r="F2792" s="553">
        <v>2</v>
      </c>
      <c r="G2792" s="502" t="s">
        <v>488</v>
      </c>
      <c r="H2792" s="553">
        <v>1321.13</v>
      </c>
      <c r="I2792" s="553">
        <v>0</v>
      </c>
      <c r="J2792" s="553">
        <v>30</v>
      </c>
      <c r="K2792" s="553">
        <v>22</v>
      </c>
      <c r="L2792" s="553">
        <v>1</v>
      </c>
      <c r="M2792" s="505" t="s">
        <v>137</v>
      </c>
      <c r="N2792" s="500">
        <v>43013540210000</v>
      </c>
      <c r="O2792" s="553" t="s">
        <v>3365</v>
      </c>
      <c r="P2792" s="650" t="s">
        <v>3503</v>
      </c>
      <c r="Q2792" s="564"/>
      <c r="R2792" s="564">
        <v>1</v>
      </c>
    </row>
    <row r="2793" spans="1:18" x14ac:dyDescent="0.25">
      <c r="A2793" s="553">
        <v>27</v>
      </c>
      <c r="B2793" s="553">
        <v>3</v>
      </c>
      <c r="C2793" s="553">
        <v>2</v>
      </c>
      <c r="D2793" s="553">
        <v>4</v>
      </c>
      <c r="E2793" s="553">
        <v>2</v>
      </c>
      <c r="F2793" s="553">
        <v>2</v>
      </c>
      <c r="G2793" s="553" t="s">
        <v>490</v>
      </c>
      <c r="H2793" s="553">
        <v>1321.01</v>
      </c>
      <c r="I2793" s="553">
        <v>1</v>
      </c>
      <c r="J2793" s="553">
        <v>9</v>
      </c>
      <c r="K2793" s="553">
        <v>48</v>
      </c>
      <c r="L2793" s="553">
        <v>1</v>
      </c>
      <c r="M2793" s="505" t="s">
        <v>137</v>
      </c>
      <c r="N2793" s="500">
        <v>43013540210000</v>
      </c>
      <c r="O2793" s="553" t="s">
        <v>3365</v>
      </c>
      <c r="P2793" s="650" t="s">
        <v>3504</v>
      </c>
      <c r="Q2793" s="564"/>
      <c r="R2793" s="564">
        <v>1</v>
      </c>
    </row>
    <row r="2794" spans="1:18" x14ac:dyDescent="0.25">
      <c r="A2794" s="553">
        <v>27</v>
      </c>
      <c r="B2794" s="553">
        <v>3</v>
      </c>
      <c r="C2794" s="553">
        <v>2</v>
      </c>
      <c r="D2794" s="553">
        <v>4</v>
      </c>
      <c r="E2794" s="553">
        <v>2</v>
      </c>
      <c r="F2794" s="553">
        <v>2</v>
      </c>
      <c r="G2794" s="553" t="s">
        <v>493</v>
      </c>
      <c r="H2794" s="553">
        <v>1328.99</v>
      </c>
      <c r="I2794" s="553">
        <v>0</v>
      </c>
      <c r="J2794" s="553">
        <v>20</v>
      </c>
      <c r="K2794" s="553">
        <v>51</v>
      </c>
      <c r="L2794" s="553">
        <v>1</v>
      </c>
      <c r="M2794" s="505" t="s">
        <v>137</v>
      </c>
      <c r="N2794" s="500">
        <v>43013540210000</v>
      </c>
      <c r="O2794" s="553" t="s">
        <v>3365</v>
      </c>
      <c r="P2794" s="650" t="s">
        <v>3505</v>
      </c>
      <c r="Q2794" s="564"/>
      <c r="R2794" s="564">
        <v>1</v>
      </c>
    </row>
    <row r="2795" spans="1:18" x14ac:dyDescent="0.25">
      <c r="A2795" s="553">
        <v>27</v>
      </c>
      <c r="B2795" s="553">
        <v>3</v>
      </c>
      <c r="C2795" s="553">
        <v>2</v>
      </c>
      <c r="D2795" s="553">
        <v>4</v>
      </c>
      <c r="E2795" s="553">
        <v>2</v>
      </c>
      <c r="F2795" s="553">
        <v>2</v>
      </c>
      <c r="G2795" s="553" t="s">
        <v>474</v>
      </c>
      <c r="H2795" s="553">
        <v>1333.34</v>
      </c>
      <c r="I2795" s="553">
        <v>88</v>
      </c>
      <c r="J2795" s="553">
        <v>16</v>
      </c>
      <c r="K2795" s="553">
        <v>44</v>
      </c>
      <c r="L2795" s="553">
        <v>2</v>
      </c>
      <c r="M2795" s="505" t="s">
        <v>137</v>
      </c>
      <c r="N2795" s="500">
        <v>43013540210000</v>
      </c>
      <c r="O2795" s="553" t="s">
        <v>3365</v>
      </c>
      <c r="P2795" s="650" t="s">
        <v>3506</v>
      </c>
      <c r="Q2795" s="564"/>
      <c r="R2795" s="564">
        <v>1</v>
      </c>
    </row>
    <row r="2796" spans="1:18" x14ac:dyDescent="0.25">
      <c r="A2796" s="553">
        <v>27</v>
      </c>
      <c r="B2796" s="553">
        <v>3</v>
      </c>
      <c r="C2796" s="553">
        <v>2</v>
      </c>
      <c r="D2796" s="553">
        <v>4</v>
      </c>
      <c r="E2796" s="553">
        <v>2</v>
      </c>
      <c r="F2796" s="553">
        <v>2</v>
      </c>
      <c r="G2796" s="502" t="s">
        <v>477</v>
      </c>
      <c r="H2796" s="553">
        <v>1333.34</v>
      </c>
      <c r="I2796" s="553">
        <v>88</v>
      </c>
      <c r="J2796" s="553">
        <v>16</v>
      </c>
      <c r="K2796" s="553">
        <v>44</v>
      </c>
      <c r="L2796" s="553">
        <v>2</v>
      </c>
      <c r="M2796" s="505" t="s">
        <v>137</v>
      </c>
      <c r="N2796" s="500">
        <v>43013540210000</v>
      </c>
      <c r="O2796" s="553" t="s">
        <v>3365</v>
      </c>
      <c r="P2796" s="650" t="s">
        <v>3507</v>
      </c>
      <c r="Q2796" s="564"/>
      <c r="R2796" s="564">
        <v>1</v>
      </c>
    </row>
    <row r="2797" spans="1:18" x14ac:dyDescent="0.25">
      <c r="A2797" s="553">
        <v>27</v>
      </c>
      <c r="B2797" s="553">
        <v>3</v>
      </c>
      <c r="C2797" s="553">
        <v>2</v>
      </c>
      <c r="D2797" s="553">
        <v>4</v>
      </c>
      <c r="E2797" s="553">
        <v>2</v>
      </c>
      <c r="F2797" s="553">
        <v>2</v>
      </c>
      <c r="G2797" s="553" t="s">
        <v>479</v>
      </c>
      <c r="H2797" s="553">
        <v>1333.14</v>
      </c>
      <c r="I2797" s="553">
        <v>88</v>
      </c>
      <c r="J2797" s="553">
        <v>18</v>
      </c>
      <c r="K2797" s="553">
        <v>38</v>
      </c>
      <c r="L2797" s="553">
        <v>2</v>
      </c>
      <c r="M2797" s="505" t="s">
        <v>137</v>
      </c>
      <c r="N2797" s="500">
        <v>43013540210000</v>
      </c>
      <c r="O2797" s="553" t="s">
        <v>3365</v>
      </c>
      <c r="P2797" s="650" t="s">
        <v>3508</v>
      </c>
      <c r="Q2797" s="564"/>
      <c r="R2797" s="564">
        <v>1</v>
      </c>
    </row>
    <row r="2798" spans="1:18" x14ac:dyDescent="0.25">
      <c r="A2798" s="553">
        <v>27</v>
      </c>
      <c r="B2798" s="553">
        <v>3</v>
      </c>
      <c r="C2798" s="553">
        <v>2</v>
      </c>
      <c r="D2798" s="553">
        <v>4</v>
      </c>
      <c r="E2798" s="553">
        <v>2</v>
      </c>
      <c r="F2798" s="553">
        <v>2</v>
      </c>
      <c r="G2798" s="553" t="s">
        <v>485</v>
      </c>
      <c r="H2798" s="553">
        <v>1333.14</v>
      </c>
      <c r="I2798" s="553">
        <v>88</v>
      </c>
      <c r="J2798" s="553">
        <v>18</v>
      </c>
      <c r="K2798" s="553">
        <v>38</v>
      </c>
      <c r="L2798" s="553">
        <v>2</v>
      </c>
      <c r="M2798" s="505" t="s">
        <v>137</v>
      </c>
      <c r="N2798" s="500">
        <v>43013540210000</v>
      </c>
      <c r="O2798" s="553" t="s">
        <v>3365</v>
      </c>
      <c r="P2798" s="650" t="s">
        <v>3509</v>
      </c>
      <c r="Q2798" s="564"/>
      <c r="R2798" s="564">
        <v>1</v>
      </c>
    </row>
    <row r="2799" spans="1:18" x14ac:dyDescent="0.25">
      <c r="A2799" s="553">
        <v>27</v>
      </c>
      <c r="B2799" s="553">
        <v>3</v>
      </c>
      <c r="C2799" s="553">
        <v>2</v>
      </c>
      <c r="D2799" s="553">
        <v>4</v>
      </c>
      <c r="E2799" s="553">
        <v>2</v>
      </c>
      <c r="F2799" s="553">
        <v>2</v>
      </c>
      <c r="G2799" s="553" t="s">
        <v>487</v>
      </c>
      <c r="H2799" s="553">
        <v>1330.4649999999999</v>
      </c>
      <c r="I2799" s="553">
        <v>88</v>
      </c>
      <c r="J2799" s="553">
        <v>23</v>
      </c>
      <c r="K2799" s="553">
        <v>30</v>
      </c>
      <c r="L2799" s="553">
        <v>2</v>
      </c>
      <c r="M2799" s="505" t="s">
        <v>137</v>
      </c>
      <c r="N2799" s="500">
        <v>43013540210000</v>
      </c>
      <c r="O2799" s="553" t="s">
        <v>3365</v>
      </c>
      <c r="P2799" s="650" t="s">
        <v>3510</v>
      </c>
      <c r="Q2799" s="564"/>
      <c r="R2799" s="564">
        <v>1</v>
      </c>
    </row>
    <row r="2800" spans="1:18" x14ac:dyDescent="0.25">
      <c r="A2800" s="553">
        <v>27</v>
      </c>
      <c r="B2800" s="553">
        <v>3</v>
      </c>
      <c r="C2800" s="553">
        <v>2</v>
      </c>
      <c r="D2800" s="553">
        <v>4</v>
      </c>
      <c r="E2800" s="553">
        <v>2</v>
      </c>
      <c r="F2800" s="553">
        <v>2</v>
      </c>
      <c r="G2800" s="502" t="s">
        <v>489</v>
      </c>
      <c r="H2800" s="553">
        <v>1330.4649999999999</v>
      </c>
      <c r="I2800" s="553">
        <v>88</v>
      </c>
      <c r="J2800" s="553">
        <v>23</v>
      </c>
      <c r="K2800" s="553">
        <v>30</v>
      </c>
      <c r="L2800" s="553">
        <v>2</v>
      </c>
      <c r="M2800" s="505" t="s">
        <v>137</v>
      </c>
      <c r="N2800" s="500">
        <v>43013540210000</v>
      </c>
      <c r="O2800" s="553" t="s">
        <v>3365</v>
      </c>
      <c r="P2800" s="650" t="s">
        <v>3511</v>
      </c>
      <c r="Q2800" s="564"/>
      <c r="R2800" s="564">
        <v>1</v>
      </c>
    </row>
    <row r="2801" spans="1:18" x14ac:dyDescent="0.25">
      <c r="A2801" s="553">
        <v>27</v>
      </c>
      <c r="B2801" s="553">
        <v>3</v>
      </c>
      <c r="C2801" s="553">
        <v>2</v>
      </c>
      <c r="D2801" s="553">
        <v>4</v>
      </c>
      <c r="E2801" s="553">
        <v>2</v>
      </c>
      <c r="F2801" s="553">
        <v>2</v>
      </c>
      <c r="G2801" s="553" t="s">
        <v>491</v>
      </c>
      <c r="H2801" s="553">
        <v>1330.905</v>
      </c>
      <c r="I2801" s="553">
        <v>88</v>
      </c>
      <c r="J2801" s="553">
        <v>44</v>
      </c>
      <c r="K2801" s="553">
        <v>59</v>
      </c>
      <c r="L2801" s="553">
        <v>2</v>
      </c>
      <c r="M2801" s="505" t="s">
        <v>137</v>
      </c>
      <c r="N2801" s="500">
        <v>43013540210000</v>
      </c>
      <c r="O2801" s="553" t="s">
        <v>3365</v>
      </c>
      <c r="P2801" s="650" t="s">
        <v>3512</v>
      </c>
      <c r="Q2801" s="564"/>
      <c r="R2801" s="564">
        <v>1</v>
      </c>
    </row>
    <row r="2802" spans="1:18" x14ac:dyDescent="0.25">
      <c r="A2802" s="553">
        <v>27</v>
      </c>
      <c r="B2802" s="553">
        <v>3</v>
      </c>
      <c r="C2802" s="553">
        <v>2</v>
      </c>
      <c r="D2802" s="553">
        <v>4</v>
      </c>
      <c r="E2802" s="553">
        <v>2</v>
      </c>
      <c r="F2802" s="553">
        <v>2</v>
      </c>
      <c r="G2802" s="553" t="s">
        <v>494</v>
      </c>
      <c r="H2802" s="553">
        <v>1330.905</v>
      </c>
      <c r="I2802" s="553">
        <v>88</v>
      </c>
      <c r="J2802" s="553">
        <v>44</v>
      </c>
      <c r="K2802" s="553">
        <v>59</v>
      </c>
      <c r="L2802" s="553">
        <v>2</v>
      </c>
      <c r="M2802" s="505" t="s">
        <v>137</v>
      </c>
      <c r="N2802" s="500">
        <v>43013540210000</v>
      </c>
      <c r="O2802" s="553" t="s">
        <v>3365</v>
      </c>
      <c r="P2802" s="650" t="s">
        <v>3513</v>
      </c>
      <c r="Q2802" s="564"/>
      <c r="R2802" s="564">
        <v>1</v>
      </c>
    </row>
    <row r="2803" spans="1:18" x14ac:dyDescent="0.25">
      <c r="A2803" s="564">
        <v>27</v>
      </c>
      <c r="B2803" s="564">
        <v>4</v>
      </c>
      <c r="C2803" s="564">
        <v>2</v>
      </c>
      <c r="D2803" s="564">
        <v>2</v>
      </c>
      <c r="E2803" s="564">
        <v>1</v>
      </c>
      <c r="F2803" s="564">
        <v>2</v>
      </c>
      <c r="G2803" s="564" t="s">
        <v>473</v>
      </c>
      <c r="H2803" s="564">
        <v>1321.27</v>
      </c>
      <c r="I2803" s="564">
        <v>1</v>
      </c>
      <c r="J2803" s="564">
        <v>4</v>
      </c>
      <c r="K2803" s="564">
        <v>7</v>
      </c>
      <c r="L2803" s="564">
        <v>4</v>
      </c>
      <c r="M2803" s="561" t="s">
        <v>312</v>
      </c>
      <c r="N2803" s="651">
        <v>4304756721</v>
      </c>
      <c r="O2803" s="564" t="s">
        <v>3398</v>
      </c>
      <c r="P2803" s="564" t="s">
        <v>3514</v>
      </c>
      <c r="Q2803" s="564"/>
      <c r="R2803" s="564">
        <v>2</v>
      </c>
    </row>
    <row r="2804" spans="1:18" x14ac:dyDescent="0.25">
      <c r="A2804" s="564">
        <v>27</v>
      </c>
      <c r="B2804" s="564">
        <v>4</v>
      </c>
      <c r="C2804" s="564">
        <v>2</v>
      </c>
      <c r="D2804" s="564">
        <v>2</v>
      </c>
      <c r="E2804" s="564">
        <v>1</v>
      </c>
      <c r="F2804" s="564">
        <v>2</v>
      </c>
      <c r="G2804" s="521" t="s">
        <v>476</v>
      </c>
      <c r="H2804" s="564">
        <v>1321.27</v>
      </c>
      <c r="I2804" s="564">
        <v>1</v>
      </c>
      <c r="J2804" s="564">
        <v>4</v>
      </c>
      <c r="K2804" s="564">
        <v>7</v>
      </c>
      <c r="L2804" s="564">
        <v>4</v>
      </c>
      <c r="M2804" s="561" t="s">
        <v>312</v>
      </c>
      <c r="N2804" s="651">
        <v>4304756721</v>
      </c>
      <c r="O2804" s="564" t="s">
        <v>3398</v>
      </c>
      <c r="P2804" s="564" t="s">
        <v>3515</v>
      </c>
      <c r="Q2804" s="564"/>
      <c r="R2804" s="564">
        <v>2</v>
      </c>
    </row>
    <row r="2805" spans="1:18" x14ac:dyDescent="0.25">
      <c r="A2805" s="564">
        <v>27</v>
      </c>
      <c r="B2805" s="564">
        <v>4</v>
      </c>
      <c r="C2805" s="564">
        <v>2</v>
      </c>
      <c r="D2805" s="564">
        <v>2</v>
      </c>
      <c r="E2805" s="564">
        <v>1</v>
      </c>
      <c r="F2805" s="564">
        <v>2</v>
      </c>
      <c r="G2805" s="564" t="s">
        <v>478</v>
      </c>
      <c r="H2805" s="564">
        <v>1317.0450000000001</v>
      </c>
      <c r="I2805" s="564">
        <v>1</v>
      </c>
      <c r="J2805" s="564">
        <v>7</v>
      </c>
      <c r="K2805" s="564">
        <v>40</v>
      </c>
      <c r="L2805" s="564">
        <v>4</v>
      </c>
      <c r="M2805" s="561" t="s">
        <v>312</v>
      </c>
      <c r="N2805" s="651">
        <v>4304756721</v>
      </c>
      <c r="O2805" s="564" t="s">
        <v>3398</v>
      </c>
      <c r="P2805" s="564" t="s">
        <v>3516</v>
      </c>
      <c r="Q2805" s="564"/>
      <c r="R2805" s="564">
        <v>2</v>
      </c>
    </row>
    <row r="2806" spans="1:18" x14ac:dyDescent="0.25">
      <c r="A2806" s="564">
        <v>27</v>
      </c>
      <c r="B2806" s="564">
        <v>4</v>
      </c>
      <c r="C2806" s="564">
        <v>2</v>
      </c>
      <c r="D2806" s="564">
        <v>2</v>
      </c>
      <c r="E2806" s="564">
        <v>1</v>
      </c>
      <c r="F2806" s="564">
        <v>2</v>
      </c>
      <c r="G2806" s="564" t="s">
        <v>484</v>
      </c>
      <c r="H2806" s="564">
        <v>1317.0450000000001</v>
      </c>
      <c r="I2806" s="564">
        <v>1</v>
      </c>
      <c r="J2806" s="564">
        <v>7</v>
      </c>
      <c r="K2806" s="564">
        <v>40</v>
      </c>
      <c r="L2806" s="564">
        <v>4</v>
      </c>
      <c r="M2806" s="561" t="s">
        <v>312</v>
      </c>
      <c r="N2806" s="651">
        <v>4304756721</v>
      </c>
      <c r="O2806" s="564" t="s">
        <v>3398</v>
      </c>
      <c r="P2806" s="564" t="s">
        <v>3517</v>
      </c>
      <c r="Q2806" s="564"/>
      <c r="R2806" s="564">
        <v>2</v>
      </c>
    </row>
    <row r="2807" spans="1:18" x14ac:dyDescent="0.25">
      <c r="A2807" s="564">
        <v>27</v>
      </c>
      <c r="B2807" s="564">
        <v>4</v>
      </c>
      <c r="C2807" s="564">
        <v>2</v>
      </c>
      <c r="D2807" s="564">
        <v>2</v>
      </c>
      <c r="E2807" s="564">
        <v>1</v>
      </c>
      <c r="F2807" s="564">
        <v>2</v>
      </c>
      <c r="G2807" s="564" t="s">
        <v>486</v>
      </c>
      <c r="H2807" s="564">
        <v>1318.16</v>
      </c>
      <c r="I2807" s="564">
        <v>1</v>
      </c>
      <c r="J2807" s="564">
        <v>4</v>
      </c>
      <c r="K2807" s="564">
        <v>52</v>
      </c>
      <c r="L2807" s="564">
        <v>4</v>
      </c>
      <c r="M2807" s="561" t="s">
        <v>312</v>
      </c>
      <c r="N2807" s="651">
        <v>4304756721</v>
      </c>
      <c r="O2807" s="564" t="s">
        <v>3398</v>
      </c>
      <c r="P2807" s="564" t="s">
        <v>3518</v>
      </c>
      <c r="Q2807" s="564"/>
      <c r="R2807" s="564">
        <v>2</v>
      </c>
    </row>
    <row r="2808" spans="1:18" x14ac:dyDescent="0.25">
      <c r="A2808" s="564">
        <v>27</v>
      </c>
      <c r="B2808" s="564">
        <v>4</v>
      </c>
      <c r="C2808" s="564">
        <v>2</v>
      </c>
      <c r="D2808" s="564">
        <v>2</v>
      </c>
      <c r="E2808" s="564">
        <v>1</v>
      </c>
      <c r="F2808" s="564">
        <v>2</v>
      </c>
      <c r="G2808" s="521" t="s">
        <v>488</v>
      </c>
      <c r="H2808" s="564">
        <v>1318.16</v>
      </c>
      <c r="I2808" s="564">
        <v>1</v>
      </c>
      <c r="J2808" s="564">
        <v>4</v>
      </c>
      <c r="K2808" s="564">
        <v>52</v>
      </c>
      <c r="L2808" s="564">
        <v>4</v>
      </c>
      <c r="M2808" s="561" t="s">
        <v>312</v>
      </c>
      <c r="N2808" s="651">
        <v>4304756721</v>
      </c>
      <c r="O2808" s="564" t="s">
        <v>3398</v>
      </c>
      <c r="P2808" s="564" t="s">
        <v>3519</v>
      </c>
      <c r="Q2808" s="564"/>
      <c r="R2808" s="564">
        <v>2</v>
      </c>
    </row>
    <row r="2809" spans="1:18" x14ac:dyDescent="0.25">
      <c r="A2809" s="564">
        <v>27</v>
      </c>
      <c r="B2809" s="564">
        <v>4</v>
      </c>
      <c r="C2809" s="564">
        <v>2</v>
      </c>
      <c r="D2809" s="564">
        <v>2</v>
      </c>
      <c r="E2809" s="564">
        <v>1</v>
      </c>
      <c r="F2809" s="564">
        <v>2</v>
      </c>
      <c r="G2809" s="564" t="s">
        <v>490</v>
      </c>
      <c r="H2809" s="564">
        <v>1319.5</v>
      </c>
      <c r="I2809" s="564">
        <v>1</v>
      </c>
      <c r="J2809" s="564">
        <v>6</v>
      </c>
      <c r="K2809" s="564">
        <v>2</v>
      </c>
      <c r="L2809" s="564">
        <v>4</v>
      </c>
      <c r="M2809" s="561" t="s">
        <v>312</v>
      </c>
      <c r="N2809" s="651">
        <v>4304756721</v>
      </c>
      <c r="O2809" s="564" t="s">
        <v>3398</v>
      </c>
      <c r="P2809" s="564" t="s">
        <v>3520</v>
      </c>
      <c r="Q2809" s="564"/>
      <c r="R2809" s="564">
        <v>2</v>
      </c>
    </row>
    <row r="2810" spans="1:18" x14ac:dyDescent="0.25">
      <c r="A2810" s="564">
        <v>27</v>
      </c>
      <c r="B2810" s="564">
        <v>4</v>
      </c>
      <c r="C2810" s="564">
        <v>2</v>
      </c>
      <c r="D2810" s="564">
        <v>2</v>
      </c>
      <c r="E2810" s="564">
        <v>1</v>
      </c>
      <c r="F2810" s="564">
        <v>2</v>
      </c>
      <c r="G2810" s="564" t="s">
        <v>493</v>
      </c>
      <c r="H2810" s="564">
        <v>1319.5</v>
      </c>
      <c r="I2810" s="564">
        <v>1</v>
      </c>
      <c r="J2810" s="564">
        <v>6</v>
      </c>
      <c r="K2810" s="564">
        <v>2</v>
      </c>
      <c r="L2810" s="564">
        <v>4</v>
      </c>
      <c r="M2810" s="561" t="s">
        <v>312</v>
      </c>
      <c r="N2810" s="651">
        <v>4304756721</v>
      </c>
      <c r="O2810" s="564" t="s">
        <v>3398</v>
      </c>
      <c r="P2810" s="564" t="s">
        <v>3521</v>
      </c>
      <c r="Q2810" s="564"/>
      <c r="R2810" s="564">
        <v>2</v>
      </c>
    </row>
    <row r="2811" spans="1:18" x14ac:dyDescent="0.25">
      <c r="A2811" s="564">
        <v>27</v>
      </c>
      <c r="B2811" s="564">
        <v>4</v>
      </c>
      <c r="C2811" s="564">
        <v>2</v>
      </c>
      <c r="D2811" s="564">
        <v>2</v>
      </c>
      <c r="E2811" s="564">
        <v>1</v>
      </c>
      <c r="F2811" s="564">
        <v>2</v>
      </c>
      <c r="G2811" s="564" t="s">
        <v>474</v>
      </c>
      <c r="H2811" s="564">
        <v>1320.41</v>
      </c>
      <c r="I2811" s="564">
        <v>88</v>
      </c>
      <c r="J2811" s="564">
        <v>59</v>
      </c>
      <c r="K2811" s="564">
        <v>19</v>
      </c>
      <c r="L2811" s="564">
        <v>3</v>
      </c>
      <c r="M2811" s="561" t="s">
        <v>312</v>
      </c>
      <c r="N2811" s="651">
        <v>4304756721</v>
      </c>
      <c r="O2811" s="564" t="s">
        <v>3398</v>
      </c>
      <c r="P2811" s="564" t="s">
        <v>3522</v>
      </c>
      <c r="Q2811" s="564"/>
      <c r="R2811" s="564">
        <v>2</v>
      </c>
    </row>
    <row r="2812" spans="1:18" x14ac:dyDescent="0.25">
      <c r="A2812" s="564">
        <v>27</v>
      </c>
      <c r="B2812" s="564">
        <v>4</v>
      </c>
      <c r="C2812" s="564">
        <v>2</v>
      </c>
      <c r="D2812" s="564">
        <v>2</v>
      </c>
      <c r="E2812" s="564">
        <v>1</v>
      </c>
      <c r="F2812" s="564">
        <v>2</v>
      </c>
      <c r="G2812" s="521" t="s">
        <v>477</v>
      </c>
      <c r="H2812" s="564">
        <v>1320.41</v>
      </c>
      <c r="I2812" s="564">
        <v>88</v>
      </c>
      <c r="J2812" s="564">
        <v>59</v>
      </c>
      <c r="K2812" s="564">
        <v>19</v>
      </c>
      <c r="L2812" s="564">
        <v>3</v>
      </c>
      <c r="M2812" s="561" t="s">
        <v>312</v>
      </c>
      <c r="N2812" s="651">
        <v>4304756721</v>
      </c>
      <c r="O2812" s="564" t="s">
        <v>3398</v>
      </c>
      <c r="P2812" s="564" t="s">
        <v>3523</v>
      </c>
      <c r="Q2812" s="564"/>
      <c r="R2812" s="564">
        <v>2</v>
      </c>
    </row>
    <row r="2813" spans="1:18" x14ac:dyDescent="0.25">
      <c r="A2813" s="564">
        <v>27</v>
      </c>
      <c r="B2813" s="564">
        <v>4</v>
      </c>
      <c r="C2813" s="564">
        <v>2</v>
      </c>
      <c r="D2813" s="564">
        <v>2</v>
      </c>
      <c r="E2813" s="564">
        <v>1</v>
      </c>
      <c r="F2813" s="564">
        <v>2</v>
      </c>
      <c r="G2813" s="564" t="s">
        <v>479</v>
      </c>
      <c r="H2813" s="564">
        <v>1320.42</v>
      </c>
      <c r="I2813" s="564">
        <v>88</v>
      </c>
      <c r="J2813" s="564">
        <v>58</v>
      </c>
      <c r="K2813" s="564">
        <v>19</v>
      </c>
      <c r="L2813" s="564">
        <v>3</v>
      </c>
      <c r="M2813" s="561" t="s">
        <v>312</v>
      </c>
      <c r="N2813" s="651">
        <v>4304756721</v>
      </c>
      <c r="O2813" s="564" t="s">
        <v>3398</v>
      </c>
      <c r="P2813" s="564" t="s">
        <v>3524</v>
      </c>
      <c r="Q2813" s="564"/>
      <c r="R2813" s="564">
        <v>2</v>
      </c>
    </row>
    <row r="2814" spans="1:18" x14ac:dyDescent="0.25">
      <c r="A2814" s="564">
        <v>27</v>
      </c>
      <c r="B2814" s="564">
        <v>4</v>
      </c>
      <c r="C2814" s="564">
        <v>2</v>
      </c>
      <c r="D2814" s="564">
        <v>2</v>
      </c>
      <c r="E2814" s="564">
        <v>1</v>
      </c>
      <c r="F2814" s="564">
        <v>2</v>
      </c>
      <c r="G2814" s="564" t="s">
        <v>485</v>
      </c>
      <c r="H2814" s="564">
        <v>1320.42</v>
      </c>
      <c r="I2814" s="564">
        <v>88</v>
      </c>
      <c r="J2814" s="564">
        <v>58</v>
      </c>
      <c r="K2814" s="564">
        <v>19</v>
      </c>
      <c r="L2814" s="564">
        <v>3</v>
      </c>
      <c r="M2814" s="561" t="s">
        <v>312</v>
      </c>
      <c r="N2814" s="651">
        <v>4304756721</v>
      </c>
      <c r="O2814" s="564" t="s">
        <v>3398</v>
      </c>
      <c r="P2814" s="564" t="s">
        <v>3525</v>
      </c>
      <c r="Q2814" s="564"/>
      <c r="R2814" s="564">
        <v>2</v>
      </c>
    </row>
    <row r="2815" spans="1:18" x14ac:dyDescent="0.25">
      <c r="A2815" s="564">
        <v>27</v>
      </c>
      <c r="B2815" s="564">
        <v>4</v>
      </c>
      <c r="C2815" s="564">
        <v>2</v>
      </c>
      <c r="D2815" s="564">
        <v>2</v>
      </c>
      <c r="E2815" s="564">
        <v>1</v>
      </c>
      <c r="F2815" s="564">
        <v>2</v>
      </c>
      <c r="G2815" s="564" t="s">
        <v>487</v>
      </c>
      <c r="H2815" s="564">
        <v>1320.4749999999999</v>
      </c>
      <c r="I2815" s="564">
        <v>89</v>
      </c>
      <c r="J2815" s="564">
        <v>3</v>
      </c>
      <c r="K2815" s="564">
        <v>10</v>
      </c>
      <c r="L2815" s="564">
        <v>3</v>
      </c>
      <c r="M2815" s="561" t="s">
        <v>312</v>
      </c>
      <c r="N2815" s="651">
        <v>4304756721</v>
      </c>
      <c r="O2815" s="564" t="s">
        <v>3398</v>
      </c>
      <c r="P2815" s="564" t="s">
        <v>3526</v>
      </c>
      <c r="Q2815" s="564"/>
      <c r="R2815" s="564">
        <v>2</v>
      </c>
    </row>
    <row r="2816" spans="1:18" x14ac:dyDescent="0.25">
      <c r="A2816" s="564">
        <v>27</v>
      </c>
      <c r="B2816" s="564">
        <v>4</v>
      </c>
      <c r="C2816" s="564">
        <v>2</v>
      </c>
      <c r="D2816" s="564">
        <v>2</v>
      </c>
      <c r="E2816" s="564">
        <v>1</v>
      </c>
      <c r="F2816" s="564">
        <v>2</v>
      </c>
      <c r="G2816" s="521" t="s">
        <v>489</v>
      </c>
      <c r="H2816" s="564">
        <v>1320.4749999999999</v>
      </c>
      <c r="I2816" s="564">
        <v>89</v>
      </c>
      <c r="J2816" s="564">
        <v>3</v>
      </c>
      <c r="K2816" s="564">
        <v>10</v>
      </c>
      <c r="L2816" s="564">
        <v>3</v>
      </c>
      <c r="M2816" s="561" t="s">
        <v>312</v>
      </c>
      <c r="N2816" s="651">
        <v>4304756721</v>
      </c>
      <c r="O2816" s="564" t="s">
        <v>3398</v>
      </c>
      <c r="P2816" s="564" t="s">
        <v>3527</v>
      </c>
      <c r="Q2816" s="564"/>
      <c r="R2816" s="564">
        <v>2</v>
      </c>
    </row>
    <row r="2817" spans="1:18" x14ac:dyDescent="0.25">
      <c r="A2817" s="564">
        <v>27</v>
      </c>
      <c r="B2817" s="564">
        <v>4</v>
      </c>
      <c r="C2817" s="564">
        <v>2</v>
      </c>
      <c r="D2817" s="564">
        <v>2</v>
      </c>
      <c r="E2817" s="564">
        <v>1</v>
      </c>
      <c r="F2817" s="564">
        <v>2</v>
      </c>
      <c r="G2817" s="564" t="s">
        <v>491</v>
      </c>
      <c r="H2817" s="564">
        <v>1320.02</v>
      </c>
      <c r="I2817" s="564">
        <v>88</v>
      </c>
      <c r="J2817" s="564">
        <v>52</v>
      </c>
      <c r="K2817" s="564">
        <v>46</v>
      </c>
      <c r="L2817" s="564">
        <v>3</v>
      </c>
      <c r="M2817" s="561" t="s">
        <v>312</v>
      </c>
      <c r="N2817" s="651">
        <v>4304756721</v>
      </c>
      <c r="O2817" s="564" t="s">
        <v>3398</v>
      </c>
      <c r="P2817" s="564" t="s">
        <v>3528</v>
      </c>
      <c r="Q2817" s="564"/>
      <c r="R2817" s="564">
        <v>2</v>
      </c>
    </row>
    <row r="2818" spans="1:18" x14ac:dyDescent="0.25">
      <c r="A2818" s="564">
        <v>27</v>
      </c>
      <c r="B2818" s="564">
        <v>4</v>
      </c>
      <c r="C2818" s="564">
        <v>2</v>
      </c>
      <c r="D2818" s="564">
        <v>2</v>
      </c>
      <c r="E2818" s="564">
        <v>1</v>
      </c>
      <c r="F2818" s="564">
        <v>2</v>
      </c>
      <c r="G2818" s="564" t="s">
        <v>494</v>
      </c>
      <c r="H2818" s="564">
        <v>1320.02</v>
      </c>
      <c r="I2818" s="564">
        <v>88</v>
      </c>
      <c r="J2818" s="564">
        <v>52</v>
      </c>
      <c r="K2818" s="564">
        <v>46</v>
      </c>
      <c r="L2818" s="564">
        <v>3</v>
      </c>
      <c r="M2818" s="561" t="s">
        <v>312</v>
      </c>
      <c r="N2818" s="651">
        <v>4304756721</v>
      </c>
      <c r="O2818" s="564" t="s">
        <v>3398</v>
      </c>
      <c r="P2818" s="564" t="s">
        <v>3529</v>
      </c>
      <c r="Q2818" s="564"/>
      <c r="R2818" s="564">
        <v>2</v>
      </c>
    </row>
    <row r="2819" spans="1:18" x14ac:dyDescent="0.25">
      <c r="A2819" s="553">
        <v>28</v>
      </c>
      <c r="B2819" s="553">
        <v>7</v>
      </c>
      <c r="C2819" s="553">
        <v>2</v>
      </c>
      <c r="D2819" s="553">
        <v>20</v>
      </c>
      <c r="E2819" s="553">
        <v>1</v>
      </c>
      <c r="F2819" s="553">
        <v>1</v>
      </c>
      <c r="G2819" s="553" t="s">
        <v>473</v>
      </c>
      <c r="H2819" s="553">
        <v>1350.68</v>
      </c>
      <c r="I2819" s="553">
        <v>0</v>
      </c>
      <c r="J2819" s="553">
        <v>12</v>
      </c>
      <c r="K2819" s="553">
        <v>12</v>
      </c>
      <c r="L2819" s="553">
        <v>4</v>
      </c>
      <c r="M2819" s="505" t="s">
        <v>137</v>
      </c>
      <c r="N2819" s="500">
        <v>43047561390000</v>
      </c>
      <c r="O2819" s="553" t="s">
        <v>3530</v>
      </c>
      <c r="P2819" s="650" t="s">
        <v>3531</v>
      </c>
      <c r="Q2819" s="564"/>
      <c r="R2819" s="564">
        <v>1</v>
      </c>
    </row>
    <row r="2820" spans="1:18" x14ac:dyDescent="0.25">
      <c r="A2820" s="553">
        <v>28</v>
      </c>
      <c r="B2820" s="553">
        <v>7</v>
      </c>
      <c r="C2820" s="553">
        <v>2</v>
      </c>
      <c r="D2820" s="553">
        <v>20</v>
      </c>
      <c r="E2820" s="553">
        <v>1</v>
      </c>
      <c r="F2820" s="553">
        <v>1</v>
      </c>
      <c r="G2820" s="502" t="s">
        <v>476</v>
      </c>
      <c r="H2820" s="553">
        <v>1350.68</v>
      </c>
      <c r="I2820" s="553">
        <v>0</v>
      </c>
      <c r="J2820" s="553">
        <v>12</v>
      </c>
      <c r="K2820" s="553">
        <v>12</v>
      </c>
      <c r="L2820" s="553">
        <v>4</v>
      </c>
      <c r="M2820" s="505" t="s">
        <v>137</v>
      </c>
      <c r="N2820" s="500">
        <v>43047561390000</v>
      </c>
      <c r="O2820" s="553" t="s">
        <v>3530</v>
      </c>
      <c r="P2820" s="650" t="s">
        <v>3532</v>
      </c>
      <c r="Q2820" s="564"/>
      <c r="R2820" s="564">
        <v>1</v>
      </c>
    </row>
    <row r="2821" spans="1:18" x14ac:dyDescent="0.25">
      <c r="A2821" s="553">
        <v>28</v>
      </c>
      <c r="B2821" s="553">
        <v>7</v>
      </c>
      <c r="C2821" s="553">
        <v>2</v>
      </c>
      <c r="D2821" s="553">
        <v>20</v>
      </c>
      <c r="E2821" s="553">
        <v>1</v>
      </c>
      <c r="F2821" s="553">
        <v>1</v>
      </c>
      <c r="G2821" s="553" t="s">
        <v>478</v>
      </c>
      <c r="H2821" s="553">
        <v>1364.03</v>
      </c>
      <c r="I2821" s="553">
        <v>0</v>
      </c>
      <c r="J2821" s="553">
        <v>48</v>
      </c>
      <c r="K2821" s="553">
        <v>48</v>
      </c>
      <c r="L2821" s="553">
        <v>4</v>
      </c>
      <c r="M2821" s="505" t="s">
        <v>137</v>
      </c>
      <c r="N2821" s="500">
        <v>43047561390000</v>
      </c>
      <c r="O2821" s="553" t="s">
        <v>3530</v>
      </c>
      <c r="P2821" s="650" t="s">
        <v>3533</v>
      </c>
      <c r="Q2821" s="564"/>
      <c r="R2821" s="564">
        <v>1</v>
      </c>
    </row>
    <row r="2822" spans="1:18" x14ac:dyDescent="0.25">
      <c r="A2822" s="553">
        <v>28</v>
      </c>
      <c r="B2822" s="553">
        <v>7</v>
      </c>
      <c r="C2822" s="553">
        <v>2</v>
      </c>
      <c r="D2822" s="553">
        <v>20</v>
      </c>
      <c r="E2822" s="553">
        <v>1</v>
      </c>
      <c r="F2822" s="553">
        <v>1</v>
      </c>
      <c r="G2822" s="553" t="s">
        <v>484</v>
      </c>
      <c r="H2822" s="553">
        <v>1362.33</v>
      </c>
      <c r="I2822" s="553">
        <v>1</v>
      </c>
      <c r="J2822" s="553">
        <v>6</v>
      </c>
      <c r="K2822" s="553">
        <v>12</v>
      </c>
      <c r="L2822" s="553">
        <v>4</v>
      </c>
      <c r="M2822" s="505" t="s">
        <v>137</v>
      </c>
      <c r="N2822" s="500">
        <v>43047561390000</v>
      </c>
      <c r="O2822" s="553" t="s">
        <v>3530</v>
      </c>
      <c r="P2822" s="650" t="s">
        <v>3534</v>
      </c>
      <c r="Q2822" s="564"/>
      <c r="R2822" s="564">
        <v>1</v>
      </c>
    </row>
    <row r="2823" spans="1:18" x14ac:dyDescent="0.25">
      <c r="A2823" s="553">
        <v>28</v>
      </c>
      <c r="B2823" s="553">
        <v>7</v>
      </c>
      <c r="C2823" s="553">
        <v>2</v>
      </c>
      <c r="D2823" s="553">
        <v>20</v>
      </c>
      <c r="E2823" s="553">
        <v>1</v>
      </c>
      <c r="F2823" s="553">
        <v>1</v>
      </c>
      <c r="G2823" s="553" t="s">
        <v>486</v>
      </c>
      <c r="H2823" s="553">
        <v>1364.12</v>
      </c>
      <c r="I2823" s="553">
        <v>0</v>
      </c>
      <c r="J2823" s="553">
        <v>32</v>
      </c>
      <c r="K2823" s="553">
        <v>32</v>
      </c>
      <c r="L2823" s="553">
        <v>4</v>
      </c>
      <c r="M2823" s="505" t="s">
        <v>137</v>
      </c>
      <c r="N2823" s="500">
        <v>43047561390000</v>
      </c>
      <c r="O2823" s="553" t="s">
        <v>3530</v>
      </c>
      <c r="P2823" s="650" t="s">
        <v>3535</v>
      </c>
      <c r="Q2823" s="564"/>
      <c r="R2823" s="564">
        <v>1</v>
      </c>
    </row>
    <row r="2824" spans="1:18" x14ac:dyDescent="0.25">
      <c r="A2824" s="553">
        <v>28</v>
      </c>
      <c r="B2824" s="553">
        <v>7</v>
      </c>
      <c r="C2824" s="553">
        <v>2</v>
      </c>
      <c r="D2824" s="553">
        <v>20</v>
      </c>
      <c r="E2824" s="553">
        <v>1</v>
      </c>
      <c r="F2824" s="553">
        <v>1</v>
      </c>
      <c r="G2824" s="502" t="s">
        <v>488</v>
      </c>
      <c r="H2824" s="553">
        <v>1364.12</v>
      </c>
      <c r="I2824" s="553">
        <v>0</v>
      </c>
      <c r="J2824" s="553">
        <v>32</v>
      </c>
      <c r="K2824" s="553">
        <v>32</v>
      </c>
      <c r="L2824" s="553">
        <v>4</v>
      </c>
      <c r="M2824" s="505" t="s">
        <v>137</v>
      </c>
      <c r="N2824" s="500">
        <v>43047561390000</v>
      </c>
      <c r="O2824" s="553" t="s">
        <v>3530</v>
      </c>
      <c r="P2824" s="650" t="s">
        <v>3536</v>
      </c>
      <c r="Q2824" s="564"/>
      <c r="R2824" s="564">
        <v>1</v>
      </c>
    </row>
    <row r="2825" spans="1:18" x14ac:dyDescent="0.25">
      <c r="A2825" s="553">
        <v>28</v>
      </c>
      <c r="B2825" s="553">
        <v>7</v>
      </c>
      <c r="C2825" s="553">
        <v>2</v>
      </c>
      <c r="D2825" s="553">
        <v>20</v>
      </c>
      <c r="E2825" s="553">
        <v>1</v>
      </c>
      <c r="F2825" s="553">
        <v>1</v>
      </c>
      <c r="G2825" s="553" t="s">
        <v>490</v>
      </c>
      <c r="H2825" s="553">
        <v>1367.77</v>
      </c>
      <c r="I2825" s="553">
        <v>0</v>
      </c>
      <c r="J2825" s="553">
        <v>29</v>
      </c>
      <c r="K2825" s="553">
        <v>29</v>
      </c>
      <c r="L2825" s="553">
        <v>4</v>
      </c>
      <c r="M2825" s="505" t="s">
        <v>137</v>
      </c>
      <c r="N2825" s="500">
        <v>43047561390000</v>
      </c>
      <c r="O2825" s="553" t="s">
        <v>3530</v>
      </c>
      <c r="P2825" s="650" t="s">
        <v>3537</v>
      </c>
      <c r="Q2825" s="564"/>
      <c r="R2825" s="564">
        <v>1</v>
      </c>
    </row>
    <row r="2826" spans="1:18" x14ac:dyDescent="0.25">
      <c r="A2826" s="553">
        <v>28</v>
      </c>
      <c r="B2826" s="553">
        <v>7</v>
      </c>
      <c r="C2826" s="553">
        <v>2</v>
      </c>
      <c r="D2826" s="553">
        <v>20</v>
      </c>
      <c r="E2826" s="553">
        <v>1</v>
      </c>
      <c r="F2826" s="553">
        <v>1</v>
      </c>
      <c r="G2826" s="553" t="s">
        <v>493</v>
      </c>
      <c r="H2826" s="553">
        <v>1367.77</v>
      </c>
      <c r="I2826" s="553">
        <v>0</v>
      </c>
      <c r="J2826" s="553">
        <v>29</v>
      </c>
      <c r="K2826" s="553">
        <v>29</v>
      </c>
      <c r="L2826" s="553">
        <v>4</v>
      </c>
      <c r="M2826" s="505" t="s">
        <v>137</v>
      </c>
      <c r="N2826" s="500">
        <v>43047561390000</v>
      </c>
      <c r="O2826" s="553" t="s">
        <v>3530</v>
      </c>
      <c r="P2826" s="650" t="s">
        <v>3538</v>
      </c>
      <c r="Q2826" s="564"/>
      <c r="R2826" s="564">
        <v>1</v>
      </c>
    </row>
    <row r="2827" spans="1:18" x14ac:dyDescent="0.25">
      <c r="A2827" s="553">
        <v>28</v>
      </c>
      <c r="B2827" s="553">
        <v>7</v>
      </c>
      <c r="C2827" s="553">
        <v>2</v>
      </c>
      <c r="D2827" s="553">
        <v>20</v>
      </c>
      <c r="E2827" s="553">
        <v>1</v>
      </c>
      <c r="F2827" s="553">
        <v>1</v>
      </c>
      <c r="G2827" s="553" t="s">
        <v>474</v>
      </c>
      <c r="H2827" s="553">
        <v>1326.1949999999999</v>
      </c>
      <c r="I2827" s="553">
        <v>89</v>
      </c>
      <c r="J2827" s="553">
        <v>1</v>
      </c>
      <c r="K2827" s="553">
        <v>24</v>
      </c>
      <c r="L2827" s="553">
        <v>3</v>
      </c>
      <c r="M2827" s="505" t="s">
        <v>137</v>
      </c>
      <c r="N2827" s="500">
        <v>43047561390000</v>
      </c>
      <c r="O2827" s="553" t="s">
        <v>3530</v>
      </c>
      <c r="P2827" s="650" t="s">
        <v>3539</v>
      </c>
      <c r="Q2827" s="564"/>
      <c r="R2827" s="564">
        <v>1</v>
      </c>
    </row>
    <row r="2828" spans="1:18" x14ac:dyDescent="0.25">
      <c r="A2828" s="553">
        <v>28</v>
      </c>
      <c r="B2828" s="553">
        <v>7</v>
      </c>
      <c r="C2828" s="553">
        <v>2</v>
      </c>
      <c r="D2828" s="553">
        <v>20</v>
      </c>
      <c r="E2828" s="553">
        <v>1</v>
      </c>
      <c r="F2828" s="553">
        <v>1</v>
      </c>
      <c r="G2828" s="502" t="s">
        <v>477</v>
      </c>
      <c r="H2828" s="553">
        <v>1326.1949999999999</v>
      </c>
      <c r="I2828" s="553">
        <v>89</v>
      </c>
      <c r="J2828" s="553">
        <v>1</v>
      </c>
      <c r="K2828" s="553">
        <v>24</v>
      </c>
      <c r="L2828" s="553">
        <v>3</v>
      </c>
      <c r="M2828" s="505" t="s">
        <v>137</v>
      </c>
      <c r="N2828" s="500">
        <v>43047561390000</v>
      </c>
      <c r="O2828" s="553" t="s">
        <v>3530</v>
      </c>
      <c r="P2828" s="650" t="s">
        <v>3540</v>
      </c>
      <c r="Q2828" s="564"/>
      <c r="R2828" s="564">
        <v>1</v>
      </c>
    </row>
    <row r="2829" spans="1:18" x14ac:dyDescent="0.25">
      <c r="A2829" s="553">
        <v>28</v>
      </c>
      <c r="B2829" s="553">
        <v>7</v>
      </c>
      <c r="C2829" s="553">
        <v>2</v>
      </c>
      <c r="D2829" s="553">
        <v>20</v>
      </c>
      <c r="E2829" s="553">
        <v>1</v>
      </c>
      <c r="F2829" s="553">
        <v>1</v>
      </c>
      <c r="G2829" s="553" t="s">
        <v>479</v>
      </c>
      <c r="H2829" s="553">
        <v>1324.75</v>
      </c>
      <c r="I2829" s="553">
        <v>88</v>
      </c>
      <c r="J2829" s="553">
        <v>56</v>
      </c>
      <c r="K2829" s="553">
        <v>3</v>
      </c>
      <c r="L2829" s="553">
        <v>3</v>
      </c>
      <c r="M2829" s="505" t="s">
        <v>137</v>
      </c>
      <c r="N2829" s="500">
        <v>43047561390000</v>
      </c>
      <c r="O2829" s="553" t="s">
        <v>3530</v>
      </c>
      <c r="P2829" s="650" t="s">
        <v>3541</v>
      </c>
      <c r="Q2829" s="564"/>
      <c r="R2829" s="564">
        <v>1</v>
      </c>
    </row>
    <row r="2830" spans="1:18" x14ac:dyDescent="0.25">
      <c r="A2830" s="553">
        <v>28</v>
      </c>
      <c r="B2830" s="553">
        <v>7</v>
      </c>
      <c r="C2830" s="553">
        <v>2</v>
      </c>
      <c r="D2830" s="553">
        <v>20</v>
      </c>
      <c r="E2830" s="553">
        <v>1</v>
      </c>
      <c r="F2830" s="553">
        <v>1</v>
      </c>
      <c r="G2830" s="553" t="s">
        <v>485</v>
      </c>
      <c r="H2830" s="553">
        <v>1324.75</v>
      </c>
      <c r="I2830" s="553">
        <v>88</v>
      </c>
      <c r="J2830" s="553">
        <v>56</v>
      </c>
      <c r="K2830" s="553">
        <v>3</v>
      </c>
      <c r="L2830" s="553">
        <v>3</v>
      </c>
      <c r="M2830" s="505" t="s">
        <v>137</v>
      </c>
      <c r="N2830" s="500">
        <v>43047561390000</v>
      </c>
      <c r="O2830" s="553" t="s">
        <v>3530</v>
      </c>
      <c r="P2830" s="650" t="s">
        <v>3542</v>
      </c>
      <c r="Q2830" s="564"/>
      <c r="R2830" s="564">
        <v>1</v>
      </c>
    </row>
    <row r="2831" spans="1:18" x14ac:dyDescent="0.25">
      <c r="A2831" s="553">
        <v>28</v>
      </c>
      <c r="B2831" s="553">
        <v>7</v>
      </c>
      <c r="C2831" s="553">
        <v>2</v>
      </c>
      <c r="D2831" s="553">
        <v>20</v>
      </c>
      <c r="E2831" s="553">
        <v>1</v>
      </c>
      <c r="F2831" s="553">
        <v>1</v>
      </c>
      <c r="G2831" s="553" t="s">
        <v>487</v>
      </c>
      <c r="H2831" s="553">
        <v>1324.4849999999999</v>
      </c>
      <c r="I2831" s="553">
        <v>89</v>
      </c>
      <c r="J2831" s="553">
        <v>33</v>
      </c>
      <c r="K2831" s="553">
        <v>31</v>
      </c>
      <c r="L2831" s="553">
        <v>2</v>
      </c>
      <c r="M2831" s="505" t="s">
        <v>137</v>
      </c>
      <c r="N2831" s="500">
        <v>43047561390000</v>
      </c>
      <c r="O2831" s="553" t="s">
        <v>3530</v>
      </c>
      <c r="P2831" s="650" t="s">
        <v>3543</v>
      </c>
      <c r="Q2831" s="564"/>
      <c r="R2831" s="564">
        <v>1</v>
      </c>
    </row>
    <row r="2832" spans="1:18" x14ac:dyDescent="0.25">
      <c r="A2832" s="553">
        <v>28</v>
      </c>
      <c r="B2832" s="553">
        <v>7</v>
      </c>
      <c r="C2832" s="553">
        <v>2</v>
      </c>
      <c r="D2832" s="553">
        <v>20</v>
      </c>
      <c r="E2832" s="553">
        <v>1</v>
      </c>
      <c r="F2832" s="553">
        <v>1</v>
      </c>
      <c r="G2832" s="502" t="s">
        <v>489</v>
      </c>
      <c r="H2832" s="553">
        <v>1324.4849999999999</v>
      </c>
      <c r="I2832" s="553">
        <v>89</v>
      </c>
      <c r="J2832" s="553">
        <v>33</v>
      </c>
      <c r="K2832" s="553">
        <v>31</v>
      </c>
      <c r="L2832" s="553">
        <v>2</v>
      </c>
      <c r="M2832" s="505" t="s">
        <v>137</v>
      </c>
      <c r="N2832" s="500">
        <v>43047561390000</v>
      </c>
      <c r="O2832" s="553" t="s">
        <v>3530</v>
      </c>
      <c r="P2832" s="650" t="s">
        <v>3544</v>
      </c>
      <c r="Q2832" s="564"/>
      <c r="R2832" s="564">
        <v>1</v>
      </c>
    </row>
    <row r="2833" spans="1:18" x14ac:dyDescent="0.25">
      <c r="A2833" s="553">
        <v>28</v>
      </c>
      <c r="B2833" s="553">
        <v>7</v>
      </c>
      <c r="C2833" s="553">
        <v>2</v>
      </c>
      <c r="D2833" s="553">
        <v>20</v>
      </c>
      <c r="E2833" s="553">
        <v>1</v>
      </c>
      <c r="F2833" s="553">
        <v>1</v>
      </c>
      <c r="G2833" s="553" t="s">
        <v>491</v>
      </c>
      <c r="H2833" s="553">
        <v>1323.26</v>
      </c>
      <c r="I2833" s="553">
        <v>89</v>
      </c>
      <c r="J2833" s="553">
        <v>10</v>
      </c>
      <c r="K2833" s="553">
        <v>50</v>
      </c>
      <c r="L2833" s="553">
        <v>2</v>
      </c>
      <c r="M2833" s="505" t="s">
        <v>137</v>
      </c>
      <c r="N2833" s="500">
        <v>43047561390000</v>
      </c>
      <c r="O2833" s="553" t="s">
        <v>3530</v>
      </c>
      <c r="P2833" s="650" t="s">
        <v>3545</v>
      </c>
      <c r="Q2833" s="564"/>
      <c r="R2833" s="564">
        <v>1</v>
      </c>
    </row>
    <row r="2834" spans="1:18" x14ac:dyDescent="0.25">
      <c r="A2834" s="553">
        <v>28</v>
      </c>
      <c r="B2834" s="553">
        <v>7</v>
      </c>
      <c r="C2834" s="553">
        <v>2</v>
      </c>
      <c r="D2834" s="553">
        <v>20</v>
      </c>
      <c r="E2834" s="553">
        <v>1</v>
      </c>
      <c r="F2834" s="553">
        <v>1</v>
      </c>
      <c r="G2834" s="553" t="s">
        <v>494</v>
      </c>
      <c r="H2834" s="553">
        <v>1323.26</v>
      </c>
      <c r="I2834" s="553">
        <v>89</v>
      </c>
      <c r="J2834" s="553">
        <v>10</v>
      </c>
      <c r="K2834" s="553">
        <v>50</v>
      </c>
      <c r="L2834" s="553">
        <v>2</v>
      </c>
      <c r="M2834" s="505" t="s">
        <v>137</v>
      </c>
      <c r="N2834" s="500">
        <v>43047561390000</v>
      </c>
      <c r="O2834" s="553" t="s">
        <v>3530</v>
      </c>
      <c r="P2834" s="650" t="s">
        <v>3546</v>
      </c>
      <c r="Q2834" s="564"/>
      <c r="R2834" s="564">
        <v>1</v>
      </c>
    </row>
    <row r="2835" spans="1:18" x14ac:dyDescent="0.25">
      <c r="A2835" s="553">
        <v>28</v>
      </c>
      <c r="B2835" s="553">
        <v>2</v>
      </c>
      <c r="C2835" s="553">
        <v>2</v>
      </c>
      <c r="D2835" s="553">
        <v>2</v>
      </c>
      <c r="E2835" s="553">
        <v>2</v>
      </c>
      <c r="F2835" s="553">
        <v>2</v>
      </c>
      <c r="G2835" s="553" t="s">
        <v>473</v>
      </c>
      <c r="H2835" s="553">
        <v>1327.2225000000001</v>
      </c>
      <c r="I2835" s="553">
        <v>0</v>
      </c>
      <c r="J2835" s="553">
        <v>6</v>
      </c>
      <c r="K2835" s="553">
        <v>51</v>
      </c>
      <c r="L2835" s="553">
        <v>2</v>
      </c>
      <c r="M2835" s="505" t="s">
        <v>137</v>
      </c>
      <c r="N2835" s="500">
        <v>43013537160000</v>
      </c>
      <c r="O2835" s="553" t="s">
        <v>3547</v>
      </c>
      <c r="P2835" s="650" t="s">
        <v>3548</v>
      </c>
      <c r="Q2835" s="564"/>
      <c r="R2835" s="564">
        <v>2</v>
      </c>
    </row>
    <row r="2836" spans="1:18" x14ac:dyDescent="0.25">
      <c r="A2836" s="553">
        <v>28</v>
      </c>
      <c r="B2836" s="553">
        <v>2</v>
      </c>
      <c r="C2836" s="553">
        <v>2</v>
      </c>
      <c r="D2836" s="553">
        <v>2</v>
      </c>
      <c r="E2836" s="553">
        <v>2</v>
      </c>
      <c r="F2836" s="553">
        <v>2</v>
      </c>
      <c r="G2836" s="502" t="s">
        <v>476</v>
      </c>
      <c r="H2836" s="553">
        <v>1327.2225000000001</v>
      </c>
      <c r="I2836" s="553">
        <v>0</v>
      </c>
      <c r="J2836" s="553">
        <v>6</v>
      </c>
      <c r="K2836" s="553">
        <v>51</v>
      </c>
      <c r="L2836" s="553">
        <v>2</v>
      </c>
      <c r="M2836" s="505" t="s">
        <v>137</v>
      </c>
      <c r="N2836" s="500">
        <v>43013537160000</v>
      </c>
      <c r="O2836" s="553" t="s">
        <v>3547</v>
      </c>
      <c r="P2836" s="650" t="s">
        <v>3549</v>
      </c>
      <c r="Q2836" s="564"/>
      <c r="R2836" s="564">
        <v>2</v>
      </c>
    </row>
    <row r="2837" spans="1:18" x14ac:dyDescent="0.25">
      <c r="A2837" s="553">
        <v>28</v>
      </c>
      <c r="B2837" s="553">
        <v>2</v>
      </c>
      <c r="C2837" s="553">
        <v>2</v>
      </c>
      <c r="D2837" s="553">
        <v>2</v>
      </c>
      <c r="E2837" s="553">
        <v>2</v>
      </c>
      <c r="F2837" s="553">
        <v>2</v>
      </c>
      <c r="G2837" s="553" t="s">
        <v>478</v>
      </c>
      <c r="H2837" s="553">
        <v>1327.2225000000001</v>
      </c>
      <c r="I2837" s="553">
        <v>0</v>
      </c>
      <c r="J2837" s="553">
        <v>6</v>
      </c>
      <c r="K2837" s="553">
        <v>51</v>
      </c>
      <c r="L2837" s="553">
        <v>2</v>
      </c>
      <c r="M2837" s="505" t="s">
        <v>137</v>
      </c>
      <c r="N2837" s="500">
        <v>43013537160000</v>
      </c>
      <c r="O2837" s="553" t="s">
        <v>3547</v>
      </c>
      <c r="P2837" s="650" t="s">
        <v>3550</v>
      </c>
      <c r="Q2837" s="564"/>
      <c r="R2837" s="564">
        <v>2</v>
      </c>
    </row>
    <row r="2838" spans="1:18" x14ac:dyDescent="0.25">
      <c r="A2838" s="553">
        <v>28</v>
      </c>
      <c r="B2838" s="553">
        <v>2</v>
      </c>
      <c r="C2838" s="553">
        <v>2</v>
      </c>
      <c r="D2838" s="553">
        <v>2</v>
      </c>
      <c r="E2838" s="553">
        <v>2</v>
      </c>
      <c r="F2838" s="553">
        <v>2</v>
      </c>
      <c r="G2838" s="553" t="s">
        <v>484</v>
      </c>
      <c r="H2838" s="553">
        <v>1327.2225000000001</v>
      </c>
      <c r="I2838" s="553">
        <v>0</v>
      </c>
      <c r="J2838" s="553">
        <v>6</v>
      </c>
      <c r="K2838" s="553">
        <v>51</v>
      </c>
      <c r="L2838" s="553">
        <v>2</v>
      </c>
      <c r="M2838" s="505" t="s">
        <v>137</v>
      </c>
      <c r="N2838" s="500">
        <v>43013537160000</v>
      </c>
      <c r="O2838" s="553" t="s">
        <v>3547</v>
      </c>
      <c r="P2838" s="650" t="s">
        <v>3551</v>
      </c>
      <c r="Q2838" s="564"/>
      <c r="R2838" s="564">
        <v>2</v>
      </c>
    </row>
    <row r="2839" spans="1:18" x14ac:dyDescent="0.25">
      <c r="A2839" s="553">
        <v>28</v>
      </c>
      <c r="B2839" s="553">
        <v>2</v>
      </c>
      <c r="C2839" s="553">
        <v>2</v>
      </c>
      <c r="D2839" s="553">
        <v>2</v>
      </c>
      <c r="E2839" s="553">
        <v>2</v>
      </c>
      <c r="F2839" s="553">
        <v>2</v>
      </c>
      <c r="G2839" s="553" t="s">
        <v>486</v>
      </c>
      <c r="H2839" s="553">
        <v>1316.7650000000001</v>
      </c>
      <c r="I2839" s="553">
        <v>0</v>
      </c>
      <c r="J2839" s="553">
        <v>5</v>
      </c>
      <c r="K2839" s="553">
        <v>1</v>
      </c>
      <c r="L2839" s="553">
        <v>4</v>
      </c>
      <c r="M2839" s="505" t="s">
        <v>137</v>
      </c>
      <c r="N2839" s="500">
        <v>43013537160000</v>
      </c>
      <c r="O2839" s="553" t="s">
        <v>3547</v>
      </c>
      <c r="P2839" s="650" t="s">
        <v>3552</v>
      </c>
      <c r="Q2839" s="564"/>
      <c r="R2839" s="564">
        <v>2</v>
      </c>
    </row>
    <row r="2840" spans="1:18" x14ac:dyDescent="0.25">
      <c r="A2840" s="553">
        <v>28</v>
      </c>
      <c r="B2840" s="553">
        <v>2</v>
      </c>
      <c r="C2840" s="553">
        <v>2</v>
      </c>
      <c r="D2840" s="553">
        <v>2</v>
      </c>
      <c r="E2840" s="553">
        <v>2</v>
      </c>
      <c r="F2840" s="553">
        <v>2</v>
      </c>
      <c r="G2840" s="502" t="s">
        <v>488</v>
      </c>
      <c r="H2840" s="553">
        <v>1316.7650000000001</v>
      </c>
      <c r="I2840" s="553">
        <v>0</v>
      </c>
      <c r="J2840" s="553">
        <v>5</v>
      </c>
      <c r="K2840" s="553">
        <v>1</v>
      </c>
      <c r="L2840" s="553">
        <v>4</v>
      </c>
      <c r="M2840" s="505" t="s">
        <v>137</v>
      </c>
      <c r="N2840" s="500">
        <v>43013537160000</v>
      </c>
      <c r="O2840" s="553" t="s">
        <v>3547</v>
      </c>
      <c r="P2840" s="650" t="s">
        <v>3553</v>
      </c>
      <c r="Q2840" s="564"/>
      <c r="R2840" s="564">
        <v>2</v>
      </c>
    </row>
    <row r="2841" spans="1:18" x14ac:dyDescent="0.25">
      <c r="A2841" s="553">
        <v>28</v>
      </c>
      <c r="B2841" s="553">
        <v>2</v>
      </c>
      <c r="C2841" s="553">
        <v>2</v>
      </c>
      <c r="D2841" s="553">
        <v>2</v>
      </c>
      <c r="E2841" s="553">
        <v>2</v>
      </c>
      <c r="F2841" s="553">
        <v>2</v>
      </c>
      <c r="G2841" s="553" t="s">
        <v>490</v>
      </c>
      <c r="H2841" s="553">
        <v>1316.7950000000001</v>
      </c>
      <c r="I2841" s="553">
        <v>0</v>
      </c>
      <c r="J2841" s="553">
        <v>4</v>
      </c>
      <c r="K2841" s="553">
        <v>56</v>
      </c>
      <c r="L2841" s="553">
        <v>4</v>
      </c>
      <c r="M2841" s="505" t="s">
        <v>137</v>
      </c>
      <c r="N2841" s="500">
        <v>43013537160000</v>
      </c>
      <c r="O2841" s="553" t="s">
        <v>3547</v>
      </c>
      <c r="P2841" s="650" t="s">
        <v>3554</v>
      </c>
      <c r="Q2841" s="564"/>
      <c r="R2841" s="564">
        <v>2</v>
      </c>
    </row>
    <row r="2842" spans="1:18" x14ac:dyDescent="0.25">
      <c r="A2842" s="553">
        <v>28</v>
      </c>
      <c r="B2842" s="553">
        <v>2</v>
      </c>
      <c r="C2842" s="553">
        <v>2</v>
      </c>
      <c r="D2842" s="553">
        <v>2</v>
      </c>
      <c r="E2842" s="553">
        <v>2</v>
      </c>
      <c r="F2842" s="553">
        <v>2</v>
      </c>
      <c r="G2842" s="553" t="s">
        <v>493</v>
      </c>
      <c r="H2842" s="553">
        <v>1316.7950000000001</v>
      </c>
      <c r="I2842" s="553">
        <v>0</v>
      </c>
      <c r="J2842" s="553">
        <v>4</v>
      </c>
      <c r="K2842" s="553">
        <v>56</v>
      </c>
      <c r="L2842" s="553">
        <v>4</v>
      </c>
      <c r="M2842" s="505" t="s">
        <v>137</v>
      </c>
      <c r="N2842" s="500">
        <v>43013537160000</v>
      </c>
      <c r="O2842" s="553" t="s">
        <v>3547</v>
      </c>
      <c r="P2842" s="650" t="s">
        <v>3555</v>
      </c>
      <c r="Q2842" s="564"/>
      <c r="R2842" s="564">
        <v>2</v>
      </c>
    </row>
    <row r="2843" spans="1:18" x14ac:dyDescent="0.25">
      <c r="A2843" s="553">
        <v>28</v>
      </c>
      <c r="B2843" s="553">
        <v>2</v>
      </c>
      <c r="C2843" s="553">
        <v>2</v>
      </c>
      <c r="D2843" s="553">
        <v>2</v>
      </c>
      <c r="E2843" s="553">
        <v>2</v>
      </c>
      <c r="F2843" s="553">
        <v>2</v>
      </c>
      <c r="G2843" s="553" t="s">
        <v>474</v>
      </c>
      <c r="H2843" s="553">
        <v>1325.2850000000001</v>
      </c>
      <c r="I2843" s="553">
        <v>89</v>
      </c>
      <c r="J2843" s="553">
        <v>58</v>
      </c>
      <c r="K2843" s="553">
        <v>36</v>
      </c>
      <c r="L2843" s="553">
        <v>4</v>
      </c>
      <c r="M2843" s="505" t="s">
        <v>137</v>
      </c>
      <c r="N2843" s="500">
        <v>43013537160000</v>
      </c>
      <c r="O2843" s="553" t="s">
        <v>3547</v>
      </c>
      <c r="P2843" s="650" t="s">
        <v>3556</v>
      </c>
      <c r="Q2843" s="564"/>
      <c r="R2843" s="564">
        <v>2</v>
      </c>
    </row>
    <row r="2844" spans="1:18" x14ac:dyDescent="0.25">
      <c r="A2844" s="553">
        <v>28</v>
      </c>
      <c r="B2844" s="553">
        <v>2</v>
      </c>
      <c r="C2844" s="553">
        <v>2</v>
      </c>
      <c r="D2844" s="553">
        <v>2</v>
      </c>
      <c r="E2844" s="553">
        <v>2</v>
      </c>
      <c r="F2844" s="553">
        <v>2</v>
      </c>
      <c r="G2844" s="502" t="s">
        <v>477</v>
      </c>
      <c r="H2844" s="553">
        <v>1325.2850000000001</v>
      </c>
      <c r="I2844" s="553">
        <v>89</v>
      </c>
      <c r="J2844" s="553">
        <v>58</v>
      </c>
      <c r="K2844" s="553">
        <v>36</v>
      </c>
      <c r="L2844" s="553">
        <v>4</v>
      </c>
      <c r="M2844" s="505" t="s">
        <v>137</v>
      </c>
      <c r="N2844" s="500">
        <v>43013537160000</v>
      </c>
      <c r="O2844" s="553" t="s">
        <v>3547</v>
      </c>
      <c r="P2844" s="650" t="s">
        <v>3557</v>
      </c>
      <c r="Q2844" s="564"/>
      <c r="R2844" s="564">
        <v>2</v>
      </c>
    </row>
    <row r="2845" spans="1:18" x14ac:dyDescent="0.25">
      <c r="A2845" s="553">
        <v>28</v>
      </c>
      <c r="B2845" s="553">
        <v>2</v>
      </c>
      <c r="C2845" s="553">
        <v>2</v>
      </c>
      <c r="D2845" s="553">
        <v>2</v>
      </c>
      <c r="E2845" s="553">
        <v>2</v>
      </c>
      <c r="F2845" s="553">
        <v>2</v>
      </c>
      <c r="G2845" s="553" t="s">
        <v>479</v>
      </c>
      <c r="H2845" s="553">
        <v>1325.14</v>
      </c>
      <c r="I2845" s="553">
        <v>89</v>
      </c>
      <c r="J2845" s="553">
        <v>59</v>
      </c>
      <c r="K2845" s="553">
        <v>41</v>
      </c>
      <c r="L2845" s="553">
        <v>4</v>
      </c>
      <c r="M2845" s="505" t="s">
        <v>137</v>
      </c>
      <c r="N2845" s="500">
        <v>43013537160000</v>
      </c>
      <c r="O2845" s="553" t="s">
        <v>3547</v>
      </c>
      <c r="P2845" s="650" t="s">
        <v>3558</v>
      </c>
      <c r="Q2845" s="564"/>
      <c r="R2845" s="564">
        <v>2</v>
      </c>
    </row>
    <row r="2846" spans="1:18" x14ac:dyDescent="0.25">
      <c r="A2846" s="553">
        <v>28</v>
      </c>
      <c r="B2846" s="553">
        <v>2</v>
      </c>
      <c r="C2846" s="553">
        <v>2</v>
      </c>
      <c r="D2846" s="553">
        <v>2</v>
      </c>
      <c r="E2846" s="553">
        <v>2</v>
      </c>
      <c r="F2846" s="553">
        <v>2</v>
      </c>
      <c r="G2846" s="553" t="s">
        <v>485</v>
      </c>
      <c r="H2846" s="553">
        <v>1325.14</v>
      </c>
      <c r="I2846" s="553">
        <v>89</v>
      </c>
      <c r="J2846" s="553">
        <v>59</v>
      </c>
      <c r="K2846" s="553">
        <v>41</v>
      </c>
      <c r="L2846" s="553">
        <v>4</v>
      </c>
      <c r="M2846" s="505" t="s">
        <v>137</v>
      </c>
      <c r="N2846" s="500">
        <v>43013537160000</v>
      </c>
      <c r="O2846" s="553" t="s">
        <v>3547</v>
      </c>
      <c r="P2846" s="650" t="s">
        <v>3559</v>
      </c>
      <c r="Q2846" s="564"/>
      <c r="R2846" s="564">
        <v>2</v>
      </c>
    </row>
    <row r="2847" spans="1:18" x14ac:dyDescent="0.25">
      <c r="A2847" s="553">
        <v>28</v>
      </c>
      <c r="B2847" s="553">
        <v>2</v>
      </c>
      <c r="C2847" s="553">
        <v>2</v>
      </c>
      <c r="D2847" s="553">
        <v>2</v>
      </c>
      <c r="E2847" s="553">
        <v>2</v>
      </c>
      <c r="F2847" s="553">
        <v>2</v>
      </c>
      <c r="G2847" s="553" t="s">
        <v>487</v>
      </c>
      <c r="H2847" s="553">
        <v>1324.1324999999999</v>
      </c>
      <c r="I2847" s="553">
        <v>88</v>
      </c>
      <c r="J2847" s="553">
        <v>55</v>
      </c>
      <c r="K2847" s="553">
        <v>54</v>
      </c>
      <c r="L2847" s="553">
        <v>3</v>
      </c>
      <c r="M2847" s="505" t="s">
        <v>137</v>
      </c>
      <c r="N2847" s="500">
        <v>43013537160000</v>
      </c>
      <c r="O2847" s="553" t="s">
        <v>3547</v>
      </c>
      <c r="P2847" s="650" t="s">
        <v>3560</v>
      </c>
      <c r="Q2847" s="564"/>
      <c r="R2847" s="564">
        <v>2</v>
      </c>
    </row>
    <row r="2848" spans="1:18" x14ac:dyDescent="0.25">
      <c r="A2848" s="553">
        <v>28</v>
      </c>
      <c r="B2848" s="553">
        <v>2</v>
      </c>
      <c r="C2848" s="553">
        <v>2</v>
      </c>
      <c r="D2848" s="553">
        <v>2</v>
      </c>
      <c r="E2848" s="553">
        <v>2</v>
      </c>
      <c r="F2848" s="553">
        <v>2</v>
      </c>
      <c r="G2848" s="502" t="s">
        <v>489</v>
      </c>
      <c r="H2848" s="553">
        <v>1324.1324999999999</v>
      </c>
      <c r="I2848" s="553">
        <v>88</v>
      </c>
      <c r="J2848" s="553">
        <v>55</v>
      </c>
      <c r="K2848" s="553">
        <v>54</v>
      </c>
      <c r="L2848" s="553">
        <v>3</v>
      </c>
      <c r="M2848" s="505" t="s">
        <v>137</v>
      </c>
      <c r="N2848" s="500">
        <v>43013537160000</v>
      </c>
      <c r="O2848" s="553" t="s">
        <v>3547</v>
      </c>
      <c r="P2848" s="650" t="s">
        <v>3561</v>
      </c>
      <c r="Q2848" s="564"/>
      <c r="R2848" s="564">
        <v>2</v>
      </c>
    </row>
    <row r="2849" spans="1:18" x14ac:dyDescent="0.25">
      <c r="A2849" s="553">
        <v>28</v>
      </c>
      <c r="B2849" s="553">
        <v>2</v>
      </c>
      <c r="C2849" s="553">
        <v>2</v>
      </c>
      <c r="D2849" s="553">
        <v>2</v>
      </c>
      <c r="E2849" s="553">
        <v>2</v>
      </c>
      <c r="F2849" s="553">
        <v>2</v>
      </c>
      <c r="G2849" s="553" t="s">
        <v>491</v>
      </c>
      <c r="H2849" s="553">
        <v>1324.1324999999999</v>
      </c>
      <c r="I2849" s="553">
        <v>88</v>
      </c>
      <c r="J2849" s="553">
        <v>55</v>
      </c>
      <c r="K2849" s="553">
        <v>54</v>
      </c>
      <c r="L2849" s="553">
        <v>3</v>
      </c>
      <c r="M2849" s="505" t="s">
        <v>137</v>
      </c>
      <c r="N2849" s="500">
        <v>43013537160000</v>
      </c>
      <c r="O2849" s="553" t="s">
        <v>3547</v>
      </c>
      <c r="P2849" s="650" t="s">
        <v>3562</v>
      </c>
      <c r="Q2849" s="564"/>
      <c r="R2849" s="564">
        <v>2</v>
      </c>
    </row>
    <row r="2850" spans="1:18" x14ac:dyDescent="0.25">
      <c r="A2850" s="553">
        <v>28</v>
      </c>
      <c r="B2850" s="553">
        <v>2</v>
      </c>
      <c r="C2850" s="553">
        <v>2</v>
      </c>
      <c r="D2850" s="553">
        <v>2</v>
      </c>
      <c r="E2850" s="553">
        <v>2</v>
      </c>
      <c r="F2850" s="553">
        <v>2</v>
      </c>
      <c r="G2850" s="553" t="s">
        <v>494</v>
      </c>
      <c r="H2850" s="553">
        <v>1324.1324999999999</v>
      </c>
      <c r="I2850" s="553">
        <v>88</v>
      </c>
      <c r="J2850" s="553">
        <v>55</v>
      </c>
      <c r="K2850" s="553">
        <v>54</v>
      </c>
      <c r="L2850" s="553">
        <v>3</v>
      </c>
      <c r="M2850" s="505" t="s">
        <v>137</v>
      </c>
      <c r="N2850" s="500">
        <v>43013537160000</v>
      </c>
      <c r="O2850" s="553" t="s">
        <v>3547</v>
      </c>
      <c r="P2850" s="650" t="s">
        <v>3563</v>
      </c>
      <c r="Q2850" s="564"/>
      <c r="R2850" s="564">
        <v>2</v>
      </c>
    </row>
    <row r="2851" spans="1:18" x14ac:dyDescent="0.25">
      <c r="A2851" s="553">
        <v>28</v>
      </c>
      <c r="B2851" s="553">
        <v>2</v>
      </c>
      <c r="C2851" s="553">
        <v>2</v>
      </c>
      <c r="D2851" s="553">
        <v>3</v>
      </c>
      <c r="E2851" s="553">
        <v>2</v>
      </c>
      <c r="F2851" s="553">
        <v>2</v>
      </c>
      <c r="G2851" s="553" t="s">
        <v>473</v>
      </c>
      <c r="H2851" s="553">
        <v>1325.51</v>
      </c>
      <c r="I2851" s="553">
        <v>0</v>
      </c>
      <c r="J2851" s="553">
        <v>11</v>
      </c>
      <c r="K2851" s="553">
        <v>49</v>
      </c>
      <c r="L2851" s="553">
        <v>2</v>
      </c>
      <c r="M2851" s="505" t="s">
        <v>137</v>
      </c>
      <c r="N2851" s="500">
        <v>43013535230000</v>
      </c>
      <c r="O2851" s="553" t="s">
        <v>3564</v>
      </c>
      <c r="P2851" s="650" t="s">
        <v>3565</v>
      </c>
      <c r="Q2851" s="564"/>
      <c r="R2851" s="564">
        <v>1</v>
      </c>
    </row>
    <row r="2852" spans="1:18" x14ac:dyDescent="0.25">
      <c r="A2852" s="553">
        <v>28</v>
      </c>
      <c r="B2852" s="553">
        <v>2</v>
      </c>
      <c r="C2852" s="553">
        <v>2</v>
      </c>
      <c r="D2852" s="553">
        <v>3</v>
      </c>
      <c r="E2852" s="553">
        <v>2</v>
      </c>
      <c r="F2852" s="553">
        <v>2</v>
      </c>
      <c r="G2852" s="502" t="s">
        <v>476</v>
      </c>
      <c r="H2852" s="553">
        <v>1325.51</v>
      </c>
      <c r="I2852" s="553">
        <v>0</v>
      </c>
      <c r="J2852" s="553">
        <v>11</v>
      </c>
      <c r="K2852" s="553">
        <v>49</v>
      </c>
      <c r="L2852" s="553">
        <v>2</v>
      </c>
      <c r="M2852" s="505" t="s">
        <v>137</v>
      </c>
      <c r="N2852" s="500">
        <v>43013535230000</v>
      </c>
      <c r="O2852" s="553" t="s">
        <v>3564</v>
      </c>
      <c r="P2852" s="650" t="s">
        <v>3566</v>
      </c>
      <c r="Q2852" s="564"/>
      <c r="R2852" s="564">
        <v>1</v>
      </c>
    </row>
    <row r="2853" spans="1:18" x14ac:dyDescent="0.25">
      <c r="A2853" s="553">
        <v>28</v>
      </c>
      <c r="B2853" s="553">
        <v>2</v>
      </c>
      <c r="C2853" s="553">
        <v>2</v>
      </c>
      <c r="D2853" s="553">
        <v>3</v>
      </c>
      <c r="E2853" s="553">
        <v>2</v>
      </c>
      <c r="F2853" s="553">
        <v>2</v>
      </c>
      <c r="G2853" s="553" t="s">
        <v>478</v>
      </c>
      <c r="H2853" s="553">
        <v>1325.51</v>
      </c>
      <c r="I2853" s="553">
        <v>0</v>
      </c>
      <c r="J2853" s="553">
        <v>11</v>
      </c>
      <c r="K2853" s="553">
        <v>49</v>
      </c>
      <c r="L2853" s="553">
        <v>2</v>
      </c>
      <c r="M2853" s="505" t="s">
        <v>137</v>
      </c>
      <c r="N2853" s="500">
        <v>43013535230000</v>
      </c>
      <c r="O2853" s="553" t="s">
        <v>3564</v>
      </c>
      <c r="P2853" s="650" t="s">
        <v>3567</v>
      </c>
      <c r="Q2853" s="564"/>
      <c r="R2853" s="564">
        <v>1</v>
      </c>
    </row>
    <row r="2854" spans="1:18" x14ac:dyDescent="0.25">
      <c r="A2854" s="553">
        <v>28</v>
      </c>
      <c r="B2854" s="553">
        <v>2</v>
      </c>
      <c r="C2854" s="553">
        <v>2</v>
      </c>
      <c r="D2854" s="553">
        <v>3</v>
      </c>
      <c r="E2854" s="553">
        <v>2</v>
      </c>
      <c r="F2854" s="553">
        <v>2</v>
      </c>
      <c r="G2854" s="553" t="s">
        <v>484</v>
      </c>
      <c r="H2854" s="553">
        <v>1325.51</v>
      </c>
      <c r="I2854" s="553">
        <v>0</v>
      </c>
      <c r="J2854" s="553">
        <v>11</v>
      </c>
      <c r="K2854" s="553">
        <v>49</v>
      </c>
      <c r="L2854" s="553">
        <v>2</v>
      </c>
      <c r="M2854" s="505" t="s">
        <v>137</v>
      </c>
      <c r="N2854" s="500">
        <v>43013535230000</v>
      </c>
      <c r="O2854" s="553" t="s">
        <v>3564</v>
      </c>
      <c r="P2854" s="650" t="s">
        <v>3568</v>
      </c>
      <c r="Q2854" s="564"/>
      <c r="R2854" s="564">
        <v>1</v>
      </c>
    </row>
    <row r="2855" spans="1:18" x14ac:dyDescent="0.25">
      <c r="A2855" s="553">
        <v>28</v>
      </c>
      <c r="B2855" s="553">
        <v>2</v>
      </c>
      <c r="C2855" s="553">
        <v>2</v>
      </c>
      <c r="D2855" s="553">
        <v>3</v>
      </c>
      <c r="E2855" s="553">
        <v>2</v>
      </c>
      <c r="F2855" s="553">
        <v>2</v>
      </c>
      <c r="G2855" s="553" t="s">
        <v>486</v>
      </c>
      <c r="H2855" s="553">
        <v>1332.0350000000001</v>
      </c>
      <c r="I2855" s="553">
        <v>0</v>
      </c>
      <c r="J2855" s="553">
        <v>17</v>
      </c>
      <c r="K2855" s="553">
        <v>44</v>
      </c>
      <c r="L2855" s="553">
        <v>4</v>
      </c>
      <c r="M2855" s="505" t="s">
        <v>137</v>
      </c>
      <c r="N2855" s="500">
        <v>43013535230000</v>
      </c>
      <c r="O2855" s="553" t="s">
        <v>3564</v>
      </c>
      <c r="P2855" s="650" t="s">
        <v>3569</v>
      </c>
      <c r="Q2855" s="564"/>
      <c r="R2855" s="564">
        <v>1</v>
      </c>
    </row>
    <row r="2856" spans="1:18" x14ac:dyDescent="0.25">
      <c r="A2856" s="553">
        <v>28</v>
      </c>
      <c r="B2856" s="553">
        <v>2</v>
      </c>
      <c r="C2856" s="553">
        <v>2</v>
      </c>
      <c r="D2856" s="553">
        <v>3</v>
      </c>
      <c r="E2856" s="553">
        <v>2</v>
      </c>
      <c r="F2856" s="553">
        <v>2</v>
      </c>
      <c r="G2856" s="502" t="s">
        <v>488</v>
      </c>
      <c r="H2856" s="553">
        <v>1332.0350000000001</v>
      </c>
      <c r="I2856" s="553">
        <v>0</v>
      </c>
      <c r="J2856" s="553">
        <v>17</v>
      </c>
      <c r="K2856" s="553">
        <v>44</v>
      </c>
      <c r="L2856" s="553">
        <v>4</v>
      </c>
      <c r="M2856" s="505" t="s">
        <v>137</v>
      </c>
      <c r="N2856" s="500">
        <v>43013535230000</v>
      </c>
      <c r="O2856" s="553" t="s">
        <v>3564</v>
      </c>
      <c r="P2856" s="650" t="s">
        <v>3570</v>
      </c>
      <c r="Q2856" s="564"/>
      <c r="R2856" s="564">
        <v>1</v>
      </c>
    </row>
    <row r="2857" spans="1:18" x14ac:dyDescent="0.25">
      <c r="A2857" s="553">
        <v>28</v>
      </c>
      <c r="B2857" s="553">
        <v>2</v>
      </c>
      <c r="C2857" s="553">
        <v>2</v>
      </c>
      <c r="D2857" s="553">
        <v>3</v>
      </c>
      <c r="E2857" s="553">
        <v>2</v>
      </c>
      <c r="F2857" s="553">
        <v>2</v>
      </c>
      <c r="G2857" s="553" t="s">
        <v>490</v>
      </c>
      <c r="H2857" s="553">
        <v>1321.635</v>
      </c>
      <c r="I2857" s="553">
        <v>0</v>
      </c>
      <c r="J2857" s="553">
        <v>10</v>
      </c>
      <c r="K2857" s="553">
        <v>0</v>
      </c>
      <c r="L2857" s="553">
        <v>4</v>
      </c>
      <c r="M2857" s="505" t="s">
        <v>137</v>
      </c>
      <c r="N2857" s="500">
        <v>43013535230000</v>
      </c>
      <c r="O2857" s="553" t="s">
        <v>3564</v>
      </c>
      <c r="P2857" s="650" t="s">
        <v>3571</v>
      </c>
      <c r="Q2857" s="564"/>
      <c r="R2857" s="564">
        <v>1</v>
      </c>
    </row>
    <row r="2858" spans="1:18" x14ac:dyDescent="0.25">
      <c r="A2858" s="553">
        <v>28</v>
      </c>
      <c r="B2858" s="553">
        <v>2</v>
      </c>
      <c r="C2858" s="553">
        <v>2</v>
      </c>
      <c r="D2858" s="553">
        <v>3</v>
      </c>
      <c r="E2858" s="553">
        <v>2</v>
      </c>
      <c r="F2858" s="553">
        <v>2</v>
      </c>
      <c r="G2858" s="553" t="s">
        <v>493</v>
      </c>
      <c r="H2858" s="553">
        <v>1321.635</v>
      </c>
      <c r="I2858" s="553">
        <v>0</v>
      </c>
      <c r="J2858" s="553">
        <v>10</v>
      </c>
      <c r="K2858" s="553">
        <v>0</v>
      </c>
      <c r="L2858" s="553">
        <v>4</v>
      </c>
      <c r="M2858" s="505" t="s">
        <v>137</v>
      </c>
      <c r="N2858" s="500">
        <v>43013535230000</v>
      </c>
      <c r="O2858" s="553" t="s">
        <v>3564</v>
      </c>
      <c r="P2858" s="650" t="s">
        <v>3572</v>
      </c>
      <c r="Q2858" s="564"/>
      <c r="R2858" s="564">
        <v>1</v>
      </c>
    </row>
    <row r="2859" spans="1:18" x14ac:dyDescent="0.25">
      <c r="A2859" s="553">
        <v>28</v>
      </c>
      <c r="B2859" s="553">
        <v>2</v>
      </c>
      <c r="C2859" s="553">
        <v>2</v>
      </c>
      <c r="D2859" s="553">
        <v>3</v>
      </c>
      <c r="E2859" s="553">
        <v>2</v>
      </c>
      <c r="F2859" s="553">
        <v>2</v>
      </c>
      <c r="G2859" s="553" t="s">
        <v>474</v>
      </c>
      <c r="H2859" s="564">
        <v>1319.886666666667</v>
      </c>
      <c r="I2859" s="553">
        <v>89</v>
      </c>
      <c r="J2859" s="553">
        <v>58</v>
      </c>
      <c r="K2859" s="553">
        <v>5</v>
      </c>
      <c r="L2859" s="553">
        <v>3</v>
      </c>
      <c r="M2859" s="505" t="s">
        <v>137</v>
      </c>
      <c r="N2859" s="500">
        <v>43013535230000</v>
      </c>
      <c r="O2859" s="553" t="s">
        <v>3564</v>
      </c>
      <c r="P2859" s="650" t="s">
        <v>3573</v>
      </c>
      <c r="Q2859" s="564"/>
      <c r="R2859" s="564">
        <v>1</v>
      </c>
    </row>
    <row r="2860" spans="1:18" x14ac:dyDescent="0.25">
      <c r="A2860" s="553">
        <v>28</v>
      </c>
      <c r="B2860" s="553">
        <v>2</v>
      </c>
      <c r="C2860" s="553">
        <v>2</v>
      </c>
      <c r="D2860" s="553">
        <v>3</v>
      </c>
      <c r="E2860" s="553">
        <v>2</v>
      </c>
      <c r="F2860" s="553">
        <v>2</v>
      </c>
      <c r="G2860" s="502" t="s">
        <v>477</v>
      </c>
      <c r="H2860" s="564">
        <v>1319.886666666667</v>
      </c>
      <c r="I2860" s="553">
        <v>89</v>
      </c>
      <c r="J2860" s="553">
        <v>58</v>
      </c>
      <c r="K2860" s="553">
        <v>5</v>
      </c>
      <c r="L2860" s="553">
        <v>3</v>
      </c>
      <c r="M2860" s="505" t="s">
        <v>137</v>
      </c>
      <c r="N2860" s="500">
        <v>43013535230000</v>
      </c>
      <c r="O2860" s="553" t="s">
        <v>3564</v>
      </c>
      <c r="P2860" s="650" t="s">
        <v>3574</v>
      </c>
      <c r="Q2860" s="564"/>
      <c r="R2860" s="564">
        <v>1</v>
      </c>
    </row>
    <row r="2861" spans="1:18" x14ac:dyDescent="0.25">
      <c r="A2861" s="553">
        <v>28</v>
      </c>
      <c r="B2861" s="553">
        <v>2</v>
      </c>
      <c r="C2861" s="553">
        <v>2</v>
      </c>
      <c r="D2861" s="553">
        <v>3</v>
      </c>
      <c r="E2861" s="553">
        <v>2</v>
      </c>
      <c r="F2861" s="553">
        <v>2</v>
      </c>
      <c r="G2861" s="553" t="s">
        <v>479</v>
      </c>
      <c r="H2861" s="564">
        <v>1319.886666666667</v>
      </c>
      <c r="I2861" s="553">
        <v>89</v>
      </c>
      <c r="J2861" s="553">
        <v>58</v>
      </c>
      <c r="K2861" s="553">
        <v>5</v>
      </c>
      <c r="L2861" s="553">
        <v>3</v>
      </c>
      <c r="M2861" s="505" t="s">
        <v>137</v>
      </c>
      <c r="N2861" s="500">
        <v>43013535230000</v>
      </c>
      <c r="O2861" s="553" t="s">
        <v>3564</v>
      </c>
      <c r="P2861" s="650" t="s">
        <v>3575</v>
      </c>
      <c r="Q2861" s="564"/>
      <c r="R2861" s="564">
        <v>1</v>
      </c>
    </row>
    <row r="2862" spans="1:18" x14ac:dyDescent="0.25">
      <c r="A2862" s="553">
        <v>28</v>
      </c>
      <c r="B2862" s="553">
        <v>2</v>
      </c>
      <c r="C2862" s="553">
        <v>2</v>
      </c>
      <c r="D2862" s="553">
        <v>3</v>
      </c>
      <c r="E2862" s="553">
        <v>2</v>
      </c>
      <c r="F2862" s="553">
        <v>2</v>
      </c>
      <c r="G2862" s="553" t="s">
        <v>485</v>
      </c>
      <c r="H2862" s="553">
        <v>1319.22</v>
      </c>
      <c r="I2862" s="553">
        <v>89</v>
      </c>
      <c r="J2862" s="553">
        <v>57</v>
      </c>
      <c r="K2862" s="553">
        <v>11</v>
      </c>
      <c r="L2862" s="553">
        <v>4</v>
      </c>
      <c r="M2862" s="505" t="s">
        <v>137</v>
      </c>
      <c r="N2862" s="500">
        <v>43013535230000</v>
      </c>
      <c r="O2862" s="553" t="s">
        <v>3564</v>
      </c>
      <c r="P2862" s="650" t="s">
        <v>3576</v>
      </c>
      <c r="Q2862" s="564"/>
      <c r="R2862" s="564">
        <v>1</v>
      </c>
    </row>
    <row r="2863" spans="1:18" x14ac:dyDescent="0.25">
      <c r="A2863" s="553">
        <v>28</v>
      </c>
      <c r="B2863" s="553">
        <v>2</v>
      </c>
      <c r="C2863" s="553">
        <v>2</v>
      </c>
      <c r="D2863" s="553">
        <v>3</v>
      </c>
      <c r="E2863" s="553">
        <v>2</v>
      </c>
      <c r="F2863" s="553">
        <v>2</v>
      </c>
      <c r="G2863" s="553" t="s">
        <v>487</v>
      </c>
      <c r="H2863" s="553">
        <v>1329.86</v>
      </c>
      <c r="I2863" s="553">
        <v>89</v>
      </c>
      <c r="J2863" s="553">
        <v>57</v>
      </c>
      <c r="K2863" s="553">
        <v>15</v>
      </c>
      <c r="L2863" s="553">
        <v>4</v>
      </c>
      <c r="M2863" s="505" t="s">
        <v>137</v>
      </c>
      <c r="N2863" s="500">
        <v>43013535230000</v>
      </c>
      <c r="O2863" s="553" t="s">
        <v>3564</v>
      </c>
      <c r="P2863" s="650" t="s">
        <v>3577</v>
      </c>
      <c r="Q2863" s="564"/>
      <c r="R2863" s="564">
        <v>1</v>
      </c>
    </row>
    <row r="2864" spans="1:18" x14ac:dyDescent="0.25">
      <c r="A2864" s="553">
        <v>28</v>
      </c>
      <c r="B2864" s="553">
        <v>2</v>
      </c>
      <c r="C2864" s="553">
        <v>2</v>
      </c>
      <c r="D2864" s="553">
        <v>3</v>
      </c>
      <c r="E2864" s="553">
        <v>2</v>
      </c>
      <c r="F2864" s="553">
        <v>2</v>
      </c>
      <c r="G2864" s="502" t="s">
        <v>489</v>
      </c>
      <c r="H2864" s="553">
        <v>1329.86</v>
      </c>
      <c r="I2864" s="553">
        <v>89</v>
      </c>
      <c r="J2864" s="553">
        <v>57</v>
      </c>
      <c r="K2864" s="553">
        <v>15</v>
      </c>
      <c r="L2864" s="553">
        <v>4</v>
      </c>
      <c r="M2864" s="505" t="s">
        <v>137</v>
      </c>
      <c r="N2864" s="500">
        <v>43013535230000</v>
      </c>
      <c r="O2864" s="553" t="s">
        <v>3564</v>
      </c>
      <c r="P2864" s="650" t="s">
        <v>3578</v>
      </c>
      <c r="Q2864" s="564"/>
      <c r="R2864" s="564">
        <v>1</v>
      </c>
    </row>
    <row r="2865" spans="1:18" x14ac:dyDescent="0.25">
      <c r="A2865" s="553">
        <v>28</v>
      </c>
      <c r="B2865" s="553">
        <v>2</v>
      </c>
      <c r="C2865" s="553">
        <v>2</v>
      </c>
      <c r="D2865" s="553">
        <v>3</v>
      </c>
      <c r="E2865" s="553">
        <v>2</v>
      </c>
      <c r="F2865" s="553">
        <v>2</v>
      </c>
      <c r="G2865" s="553" t="s">
        <v>491</v>
      </c>
      <c r="H2865" s="553">
        <v>1329.4</v>
      </c>
      <c r="I2865" s="553">
        <v>89</v>
      </c>
      <c r="J2865" s="553">
        <v>57</v>
      </c>
      <c r="K2865" s="553">
        <v>22</v>
      </c>
      <c r="L2865" s="553">
        <v>4</v>
      </c>
      <c r="M2865" s="505" t="s">
        <v>137</v>
      </c>
      <c r="N2865" s="500">
        <v>43013535230000</v>
      </c>
      <c r="O2865" s="553" t="s">
        <v>3564</v>
      </c>
      <c r="P2865" s="650" t="s">
        <v>3579</v>
      </c>
      <c r="Q2865" s="564"/>
      <c r="R2865" s="564">
        <v>1</v>
      </c>
    </row>
    <row r="2866" spans="1:18" x14ac:dyDescent="0.25">
      <c r="A2866" s="553">
        <v>28</v>
      </c>
      <c r="B2866" s="553">
        <v>2</v>
      </c>
      <c r="C2866" s="553">
        <v>2</v>
      </c>
      <c r="D2866" s="553">
        <v>3</v>
      </c>
      <c r="E2866" s="553">
        <v>2</v>
      </c>
      <c r="F2866" s="553">
        <v>2</v>
      </c>
      <c r="G2866" s="553" t="s">
        <v>494</v>
      </c>
      <c r="H2866" s="553">
        <v>1329.4</v>
      </c>
      <c r="I2866" s="553">
        <v>89</v>
      </c>
      <c r="J2866" s="553">
        <v>57</v>
      </c>
      <c r="K2866" s="553">
        <v>22</v>
      </c>
      <c r="L2866" s="553">
        <v>4</v>
      </c>
      <c r="M2866" s="505" t="s">
        <v>137</v>
      </c>
      <c r="N2866" s="500">
        <v>43013535230000</v>
      </c>
      <c r="O2866" s="553" t="s">
        <v>3564</v>
      </c>
      <c r="P2866" s="650" t="s">
        <v>3580</v>
      </c>
      <c r="Q2866" s="564"/>
      <c r="R2866" s="564">
        <v>1</v>
      </c>
    </row>
    <row r="2867" spans="1:18" s="483" customFormat="1" ht="12.75" customHeight="1" x14ac:dyDescent="0.25">
      <c r="A2867" s="553">
        <v>28</v>
      </c>
      <c r="B2867" s="553">
        <v>3</v>
      </c>
      <c r="C2867" s="553">
        <v>2</v>
      </c>
      <c r="D2867" s="553">
        <v>1</v>
      </c>
      <c r="E2867" s="553">
        <v>2</v>
      </c>
      <c r="F2867" s="553">
        <v>2</v>
      </c>
      <c r="G2867" s="553" t="s">
        <v>473</v>
      </c>
      <c r="H2867" s="553">
        <v>1341.87</v>
      </c>
      <c r="I2867" s="553">
        <v>0</v>
      </c>
      <c r="J2867" s="553">
        <v>7</v>
      </c>
      <c r="K2867" s="553">
        <v>31</v>
      </c>
      <c r="L2867" s="553">
        <v>2</v>
      </c>
      <c r="M2867" s="505" t="s">
        <v>137</v>
      </c>
      <c r="N2867" s="500">
        <v>43013534960000</v>
      </c>
      <c r="O2867" s="553" t="s">
        <v>3581</v>
      </c>
      <c r="P2867" s="650" t="s">
        <v>3582</v>
      </c>
      <c r="Q2867" s="564"/>
      <c r="R2867" s="564">
        <v>2</v>
      </c>
    </row>
    <row r="2868" spans="1:18" s="483" customFormat="1" ht="12.75" customHeight="1" x14ac:dyDescent="0.25">
      <c r="A2868" s="553">
        <v>28</v>
      </c>
      <c r="B2868" s="553">
        <v>3</v>
      </c>
      <c r="C2868" s="553">
        <v>2</v>
      </c>
      <c r="D2868" s="553">
        <v>1</v>
      </c>
      <c r="E2868" s="553">
        <v>2</v>
      </c>
      <c r="F2868" s="553">
        <v>2</v>
      </c>
      <c r="G2868" s="502" t="s">
        <v>476</v>
      </c>
      <c r="H2868" s="553">
        <v>1341.87</v>
      </c>
      <c r="I2868" s="553">
        <v>0</v>
      </c>
      <c r="J2868" s="553">
        <v>7</v>
      </c>
      <c r="K2868" s="553">
        <v>31</v>
      </c>
      <c r="L2868" s="553">
        <v>2</v>
      </c>
      <c r="M2868" s="505" t="s">
        <v>137</v>
      </c>
      <c r="N2868" s="500">
        <v>43013534960000</v>
      </c>
      <c r="O2868" s="553" t="s">
        <v>3581</v>
      </c>
      <c r="P2868" s="650" t="s">
        <v>3583</v>
      </c>
      <c r="Q2868" s="564"/>
      <c r="R2868" s="564">
        <v>2</v>
      </c>
    </row>
    <row r="2869" spans="1:18" s="483" customFormat="1" ht="12.75" customHeight="1" x14ac:dyDescent="0.25">
      <c r="A2869" s="553">
        <v>28</v>
      </c>
      <c r="B2869" s="553">
        <v>3</v>
      </c>
      <c r="C2869" s="553">
        <v>2</v>
      </c>
      <c r="D2869" s="553">
        <v>1</v>
      </c>
      <c r="E2869" s="553">
        <v>2</v>
      </c>
      <c r="F2869" s="553">
        <v>2</v>
      </c>
      <c r="G2869" s="553" t="s">
        <v>478</v>
      </c>
      <c r="H2869" s="553">
        <v>1341.87</v>
      </c>
      <c r="I2869" s="553">
        <v>0</v>
      </c>
      <c r="J2869" s="553">
        <v>7</v>
      </c>
      <c r="K2869" s="553">
        <v>31</v>
      </c>
      <c r="L2869" s="553">
        <v>2</v>
      </c>
      <c r="M2869" s="505" t="s">
        <v>137</v>
      </c>
      <c r="N2869" s="500">
        <v>43013534960000</v>
      </c>
      <c r="O2869" s="553" t="s">
        <v>3581</v>
      </c>
      <c r="P2869" s="650" t="s">
        <v>3584</v>
      </c>
      <c r="Q2869" s="564"/>
      <c r="R2869" s="564">
        <v>2</v>
      </c>
    </row>
    <row r="2870" spans="1:18" s="483" customFormat="1" ht="12.75" customHeight="1" x14ac:dyDescent="0.25">
      <c r="A2870" s="553">
        <v>28</v>
      </c>
      <c r="B2870" s="553">
        <v>3</v>
      </c>
      <c r="C2870" s="553">
        <v>2</v>
      </c>
      <c r="D2870" s="553">
        <v>1</v>
      </c>
      <c r="E2870" s="553">
        <v>2</v>
      </c>
      <c r="F2870" s="553">
        <v>2</v>
      </c>
      <c r="G2870" s="553" t="s">
        <v>484</v>
      </c>
      <c r="H2870" s="553">
        <v>1341.87</v>
      </c>
      <c r="I2870" s="553">
        <v>0</v>
      </c>
      <c r="J2870" s="553">
        <v>7</v>
      </c>
      <c r="K2870" s="553">
        <v>31</v>
      </c>
      <c r="L2870" s="553">
        <v>2</v>
      </c>
      <c r="M2870" s="505" t="s">
        <v>137</v>
      </c>
      <c r="N2870" s="500">
        <v>43013534960000</v>
      </c>
      <c r="O2870" s="553" t="s">
        <v>3581</v>
      </c>
      <c r="P2870" s="650" t="s">
        <v>3585</v>
      </c>
      <c r="Q2870" s="564"/>
      <c r="R2870" s="564">
        <v>2</v>
      </c>
    </row>
    <row r="2871" spans="1:18" s="483" customFormat="1" ht="12.75" customHeight="1" x14ac:dyDescent="0.25">
      <c r="A2871" s="553">
        <v>28</v>
      </c>
      <c r="B2871" s="553">
        <v>3</v>
      </c>
      <c r="C2871" s="553">
        <v>2</v>
      </c>
      <c r="D2871" s="553">
        <v>1</v>
      </c>
      <c r="E2871" s="553">
        <v>2</v>
      </c>
      <c r="F2871" s="553">
        <v>2</v>
      </c>
      <c r="G2871" s="553" t="s">
        <v>486</v>
      </c>
      <c r="H2871" s="553">
        <v>1341.2133333333329</v>
      </c>
      <c r="I2871" s="553">
        <v>0</v>
      </c>
      <c r="J2871" s="553">
        <v>6</v>
      </c>
      <c r="K2871" s="553">
        <v>47</v>
      </c>
      <c r="L2871" s="553">
        <v>2</v>
      </c>
      <c r="M2871" s="505" t="s">
        <v>137</v>
      </c>
      <c r="N2871" s="500">
        <v>43013534960000</v>
      </c>
      <c r="O2871" s="553" t="s">
        <v>3581</v>
      </c>
      <c r="P2871" s="650" t="s">
        <v>3586</v>
      </c>
      <c r="Q2871" s="564"/>
      <c r="R2871" s="564">
        <v>2</v>
      </c>
    </row>
    <row r="2872" spans="1:18" s="483" customFormat="1" ht="12.75" customHeight="1" x14ac:dyDescent="0.25">
      <c r="A2872" s="553">
        <v>28</v>
      </c>
      <c r="B2872" s="553">
        <v>3</v>
      </c>
      <c r="C2872" s="553">
        <v>2</v>
      </c>
      <c r="D2872" s="553">
        <v>1</v>
      </c>
      <c r="E2872" s="553">
        <v>2</v>
      </c>
      <c r="F2872" s="553">
        <v>2</v>
      </c>
      <c r="G2872" s="502" t="s">
        <v>488</v>
      </c>
      <c r="H2872" s="553">
        <v>1341.2133333333329</v>
      </c>
      <c r="I2872" s="553">
        <v>0</v>
      </c>
      <c r="J2872" s="553">
        <v>6</v>
      </c>
      <c r="K2872" s="553">
        <v>47</v>
      </c>
      <c r="L2872" s="553">
        <v>2</v>
      </c>
      <c r="M2872" s="505" t="s">
        <v>137</v>
      </c>
      <c r="N2872" s="500">
        <v>43013534960000</v>
      </c>
      <c r="O2872" s="553" t="s">
        <v>3581</v>
      </c>
      <c r="P2872" s="650" t="s">
        <v>3587</v>
      </c>
      <c r="Q2872" s="564"/>
      <c r="R2872" s="564">
        <v>2</v>
      </c>
    </row>
    <row r="2873" spans="1:18" s="483" customFormat="1" ht="12.75" customHeight="1" x14ac:dyDescent="0.25">
      <c r="A2873" s="553">
        <v>28</v>
      </c>
      <c r="B2873" s="553">
        <v>3</v>
      </c>
      <c r="C2873" s="553">
        <v>2</v>
      </c>
      <c r="D2873" s="553">
        <v>1</v>
      </c>
      <c r="E2873" s="553">
        <v>2</v>
      </c>
      <c r="F2873" s="553">
        <v>2</v>
      </c>
      <c r="G2873" s="553" t="s">
        <v>490</v>
      </c>
      <c r="H2873" s="553">
        <v>1341.2133333333329</v>
      </c>
      <c r="I2873" s="553">
        <v>0</v>
      </c>
      <c r="J2873" s="553">
        <v>6</v>
      </c>
      <c r="K2873" s="553">
        <v>47</v>
      </c>
      <c r="L2873" s="553">
        <v>2</v>
      </c>
      <c r="M2873" s="505" t="s">
        <v>137</v>
      </c>
      <c r="N2873" s="500">
        <v>43013534960000</v>
      </c>
      <c r="O2873" s="553" t="s">
        <v>3581</v>
      </c>
      <c r="P2873" s="650" t="s">
        <v>3588</v>
      </c>
      <c r="Q2873" s="564"/>
      <c r="R2873" s="564">
        <v>2</v>
      </c>
    </row>
    <row r="2874" spans="1:18" s="483" customFormat="1" ht="12.75" customHeight="1" x14ac:dyDescent="0.25">
      <c r="A2874" s="553">
        <v>28</v>
      </c>
      <c r="B2874" s="553">
        <v>3</v>
      </c>
      <c r="C2874" s="553">
        <v>2</v>
      </c>
      <c r="D2874" s="553">
        <v>1</v>
      </c>
      <c r="E2874" s="553">
        <v>2</v>
      </c>
      <c r="F2874" s="553">
        <v>2</v>
      </c>
      <c r="G2874" s="553" t="s">
        <v>493</v>
      </c>
      <c r="H2874" s="553">
        <v>1331.27</v>
      </c>
      <c r="I2874" s="553">
        <v>0</v>
      </c>
      <c r="J2874" s="553">
        <v>9</v>
      </c>
      <c r="K2874" s="553">
        <v>4</v>
      </c>
      <c r="L2874" s="553">
        <v>4</v>
      </c>
      <c r="M2874" s="505" t="s">
        <v>137</v>
      </c>
      <c r="N2874" s="500">
        <v>43013534960000</v>
      </c>
      <c r="O2874" s="553" t="s">
        <v>3581</v>
      </c>
      <c r="P2874" s="650" t="s">
        <v>3589</v>
      </c>
      <c r="Q2874" s="564"/>
      <c r="R2874" s="564">
        <v>2</v>
      </c>
    </row>
    <row r="2875" spans="1:18" s="483" customFormat="1" ht="12.75" customHeight="1" x14ac:dyDescent="0.25">
      <c r="A2875" s="553">
        <v>28</v>
      </c>
      <c r="B2875" s="553">
        <v>3</v>
      </c>
      <c r="C2875" s="553">
        <v>2</v>
      </c>
      <c r="D2875" s="553">
        <v>1</v>
      </c>
      <c r="E2875" s="553">
        <v>2</v>
      </c>
      <c r="F2875" s="553">
        <v>2</v>
      </c>
      <c r="G2875" s="553" t="s">
        <v>474</v>
      </c>
      <c r="H2875" s="553">
        <v>1304.0550000000001</v>
      </c>
      <c r="I2875" s="553">
        <v>89</v>
      </c>
      <c r="J2875" s="553">
        <v>40</v>
      </c>
      <c r="K2875" s="553">
        <v>35</v>
      </c>
      <c r="L2875" s="553">
        <v>1</v>
      </c>
      <c r="M2875" s="505" t="s">
        <v>137</v>
      </c>
      <c r="N2875" s="500">
        <v>43013534960000</v>
      </c>
      <c r="O2875" s="553" t="s">
        <v>3581</v>
      </c>
      <c r="P2875" s="650" t="s">
        <v>3590</v>
      </c>
      <c r="Q2875" s="564"/>
      <c r="R2875" s="564">
        <v>2</v>
      </c>
    </row>
    <row r="2876" spans="1:18" s="483" customFormat="1" ht="12.75" customHeight="1" x14ac:dyDescent="0.25">
      <c r="A2876" s="553">
        <v>28</v>
      </c>
      <c r="B2876" s="553">
        <v>3</v>
      </c>
      <c r="C2876" s="553">
        <v>2</v>
      </c>
      <c r="D2876" s="553">
        <v>1</v>
      </c>
      <c r="E2876" s="553">
        <v>2</v>
      </c>
      <c r="F2876" s="553">
        <v>2</v>
      </c>
      <c r="G2876" s="502" t="s">
        <v>477</v>
      </c>
      <c r="H2876" s="553">
        <v>1304.0550000000001</v>
      </c>
      <c r="I2876" s="553">
        <v>89</v>
      </c>
      <c r="J2876" s="553">
        <v>40</v>
      </c>
      <c r="K2876" s="553">
        <v>35</v>
      </c>
      <c r="L2876" s="553">
        <v>1</v>
      </c>
      <c r="M2876" s="505" t="s">
        <v>137</v>
      </c>
      <c r="N2876" s="500">
        <v>43013534960000</v>
      </c>
      <c r="O2876" s="553" t="s">
        <v>3581</v>
      </c>
      <c r="P2876" s="650" t="s">
        <v>3591</v>
      </c>
      <c r="Q2876" s="564"/>
      <c r="R2876" s="564">
        <v>2</v>
      </c>
    </row>
    <row r="2877" spans="1:18" s="483" customFormat="1" ht="12.75" customHeight="1" x14ac:dyDescent="0.25">
      <c r="A2877" s="553">
        <v>28</v>
      </c>
      <c r="B2877" s="553">
        <v>3</v>
      </c>
      <c r="C2877" s="553">
        <v>2</v>
      </c>
      <c r="D2877" s="553">
        <v>1</v>
      </c>
      <c r="E2877" s="553">
        <v>2</v>
      </c>
      <c r="F2877" s="553">
        <v>2</v>
      </c>
      <c r="G2877" s="553" t="s">
        <v>479</v>
      </c>
      <c r="H2877" s="553">
        <v>1321.625</v>
      </c>
      <c r="I2877" s="553">
        <v>89</v>
      </c>
      <c r="J2877" s="553">
        <v>34</v>
      </c>
      <c r="K2877" s="553">
        <v>58</v>
      </c>
      <c r="L2877" s="553">
        <v>1</v>
      </c>
      <c r="M2877" s="505" t="s">
        <v>137</v>
      </c>
      <c r="N2877" s="500">
        <v>43013534960000</v>
      </c>
      <c r="O2877" s="553" t="s">
        <v>3581</v>
      </c>
      <c r="P2877" s="650" t="s">
        <v>3592</v>
      </c>
      <c r="Q2877" s="564"/>
      <c r="R2877" s="564">
        <v>2</v>
      </c>
    </row>
    <row r="2878" spans="1:18" s="483" customFormat="1" ht="12.75" customHeight="1" x14ac:dyDescent="0.25">
      <c r="A2878" s="553">
        <v>28</v>
      </c>
      <c r="B2878" s="553">
        <v>3</v>
      </c>
      <c r="C2878" s="553">
        <v>2</v>
      </c>
      <c r="D2878" s="553">
        <v>1</v>
      </c>
      <c r="E2878" s="553">
        <v>2</v>
      </c>
      <c r="F2878" s="553">
        <v>2</v>
      </c>
      <c r="G2878" s="553" t="s">
        <v>485</v>
      </c>
      <c r="H2878" s="553">
        <v>1321.625</v>
      </c>
      <c r="I2878" s="553">
        <v>89</v>
      </c>
      <c r="J2878" s="553">
        <v>34</v>
      </c>
      <c r="K2878" s="553">
        <v>58</v>
      </c>
      <c r="L2878" s="553">
        <v>1</v>
      </c>
      <c r="M2878" s="505" t="s">
        <v>137</v>
      </c>
      <c r="N2878" s="500">
        <v>43013534960000</v>
      </c>
      <c r="O2878" s="553" t="s">
        <v>3581</v>
      </c>
      <c r="P2878" s="650" t="s">
        <v>3593</v>
      </c>
      <c r="Q2878" s="564"/>
      <c r="R2878" s="564">
        <v>2</v>
      </c>
    </row>
    <row r="2879" spans="1:18" s="483" customFormat="1" ht="12.75" customHeight="1" x14ac:dyDescent="0.25">
      <c r="A2879" s="553">
        <v>28</v>
      </c>
      <c r="B2879" s="553">
        <v>3</v>
      </c>
      <c r="C2879" s="553">
        <v>2</v>
      </c>
      <c r="D2879" s="553">
        <v>1</v>
      </c>
      <c r="E2879" s="553">
        <v>2</v>
      </c>
      <c r="F2879" s="553">
        <v>2</v>
      </c>
      <c r="G2879" s="553" t="s">
        <v>487</v>
      </c>
      <c r="H2879" s="553">
        <v>1315.65</v>
      </c>
      <c r="I2879" s="553">
        <v>89</v>
      </c>
      <c r="J2879" s="553">
        <v>48</v>
      </c>
      <c r="K2879" s="553">
        <v>0</v>
      </c>
      <c r="L2879" s="553">
        <v>2</v>
      </c>
      <c r="M2879" s="505" t="s">
        <v>137</v>
      </c>
      <c r="N2879" s="500">
        <v>43013534960000</v>
      </c>
      <c r="O2879" s="553" t="s">
        <v>3581</v>
      </c>
      <c r="P2879" s="650" t="s">
        <v>3594</v>
      </c>
      <c r="Q2879" s="564"/>
      <c r="R2879" s="564">
        <v>2</v>
      </c>
    </row>
    <row r="2880" spans="1:18" s="483" customFormat="1" ht="12.75" customHeight="1" x14ac:dyDescent="0.25">
      <c r="A2880" s="553">
        <v>28</v>
      </c>
      <c r="B2880" s="553">
        <v>3</v>
      </c>
      <c r="C2880" s="553">
        <v>2</v>
      </c>
      <c r="D2880" s="553">
        <v>1</v>
      </c>
      <c r="E2880" s="553">
        <v>2</v>
      </c>
      <c r="F2880" s="553">
        <v>2</v>
      </c>
      <c r="G2880" s="502" t="s">
        <v>489</v>
      </c>
      <c r="H2880" s="553">
        <v>1315.65</v>
      </c>
      <c r="I2880" s="553">
        <v>89</v>
      </c>
      <c r="J2880" s="553">
        <v>48</v>
      </c>
      <c r="K2880" s="553">
        <v>0</v>
      </c>
      <c r="L2880" s="553">
        <v>2</v>
      </c>
      <c r="M2880" s="505" t="s">
        <v>137</v>
      </c>
      <c r="N2880" s="500">
        <v>43013534960000</v>
      </c>
      <c r="O2880" s="553" t="s">
        <v>3581</v>
      </c>
      <c r="P2880" s="650" t="s">
        <v>3595</v>
      </c>
      <c r="Q2880" s="564"/>
      <c r="R2880" s="564">
        <v>2</v>
      </c>
    </row>
    <row r="2881" spans="1:18" s="483" customFormat="1" ht="12.75" customHeight="1" x14ac:dyDescent="0.25">
      <c r="A2881" s="553">
        <v>28</v>
      </c>
      <c r="B2881" s="553">
        <v>3</v>
      </c>
      <c r="C2881" s="553">
        <v>2</v>
      </c>
      <c r="D2881" s="553">
        <v>1</v>
      </c>
      <c r="E2881" s="553">
        <v>2</v>
      </c>
      <c r="F2881" s="553">
        <v>2</v>
      </c>
      <c r="G2881" s="553" t="s">
        <v>491</v>
      </c>
      <c r="H2881" s="553">
        <v>1315.65</v>
      </c>
      <c r="I2881" s="553">
        <v>89</v>
      </c>
      <c r="J2881" s="553">
        <v>48</v>
      </c>
      <c r="K2881" s="553">
        <v>36</v>
      </c>
      <c r="L2881" s="553">
        <v>2</v>
      </c>
      <c r="M2881" s="505" t="s">
        <v>137</v>
      </c>
      <c r="N2881" s="500">
        <v>43013534960000</v>
      </c>
      <c r="O2881" s="553" t="s">
        <v>3581</v>
      </c>
      <c r="P2881" s="650" t="s">
        <v>3596</v>
      </c>
      <c r="Q2881" s="564"/>
      <c r="R2881" s="564">
        <v>2</v>
      </c>
    </row>
    <row r="2882" spans="1:18" s="483" customFormat="1" ht="12.75" customHeight="1" x14ac:dyDescent="0.25">
      <c r="A2882" s="553">
        <v>28</v>
      </c>
      <c r="B2882" s="553">
        <v>3</v>
      </c>
      <c r="C2882" s="553">
        <v>2</v>
      </c>
      <c r="D2882" s="553">
        <v>1</v>
      </c>
      <c r="E2882" s="553">
        <v>2</v>
      </c>
      <c r="F2882" s="553">
        <v>2</v>
      </c>
      <c r="G2882" s="553" t="s">
        <v>494</v>
      </c>
      <c r="H2882" s="553">
        <v>1315.65</v>
      </c>
      <c r="I2882" s="553">
        <v>89</v>
      </c>
      <c r="J2882" s="553">
        <v>48</v>
      </c>
      <c r="K2882" s="553">
        <v>36</v>
      </c>
      <c r="L2882" s="553">
        <v>2</v>
      </c>
      <c r="M2882" s="505" t="s">
        <v>137</v>
      </c>
      <c r="N2882" s="500">
        <v>43013534960000</v>
      </c>
      <c r="O2882" s="553" t="s">
        <v>3581</v>
      </c>
      <c r="P2882" s="650" t="s">
        <v>3597</v>
      </c>
      <c r="Q2882" s="564"/>
      <c r="R2882" s="564">
        <v>2</v>
      </c>
    </row>
    <row r="2883" spans="1:18" x14ac:dyDescent="0.25">
      <c r="A2883" s="553">
        <v>28</v>
      </c>
      <c r="B2883" s="553">
        <v>3</v>
      </c>
      <c r="C2883" s="553">
        <v>2</v>
      </c>
      <c r="D2883" s="553">
        <v>4</v>
      </c>
      <c r="E2883" s="553">
        <v>2</v>
      </c>
      <c r="F2883" s="553">
        <v>2</v>
      </c>
      <c r="G2883" s="553" t="s">
        <v>473</v>
      </c>
      <c r="H2883" s="553">
        <v>1311.2</v>
      </c>
      <c r="I2883" s="553">
        <v>0</v>
      </c>
      <c r="J2883" s="553">
        <v>4</v>
      </c>
      <c r="K2883" s="553">
        <v>48</v>
      </c>
      <c r="L2883" s="553">
        <v>4</v>
      </c>
      <c r="M2883" s="505" t="s">
        <v>137</v>
      </c>
      <c r="N2883" s="500">
        <v>43013540210000</v>
      </c>
      <c r="O2883" s="553" t="s">
        <v>3365</v>
      </c>
      <c r="P2883" s="650" t="s">
        <v>3598</v>
      </c>
      <c r="Q2883" s="564"/>
      <c r="R2883" s="564">
        <v>1</v>
      </c>
    </row>
    <row r="2884" spans="1:18" x14ac:dyDescent="0.25">
      <c r="A2884" s="553">
        <v>28</v>
      </c>
      <c r="B2884" s="553">
        <v>3</v>
      </c>
      <c r="C2884" s="553">
        <v>2</v>
      </c>
      <c r="D2884" s="553">
        <v>4</v>
      </c>
      <c r="E2884" s="553">
        <v>2</v>
      </c>
      <c r="F2884" s="553">
        <v>2</v>
      </c>
      <c r="G2884" s="502" t="s">
        <v>476</v>
      </c>
      <c r="H2884" s="553">
        <v>1311.2</v>
      </c>
      <c r="I2884" s="553">
        <v>0</v>
      </c>
      <c r="J2884" s="553">
        <v>4</v>
      </c>
      <c r="K2884" s="553">
        <v>48</v>
      </c>
      <c r="L2884" s="553">
        <v>4</v>
      </c>
      <c r="M2884" s="505" t="s">
        <v>137</v>
      </c>
      <c r="N2884" s="500">
        <v>43013540210000</v>
      </c>
      <c r="O2884" s="553" t="s">
        <v>3365</v>
      </c>
      <c r="P2884" s="650" t="s">
        <v>3599</v>
      </c>
      <c r="Q2884" s="564"/>
      <c r="R2884" s="564">
        <v>1</v>
      </c>
    </row>
    <row r="2885" spans="1:18" x14ac:dyDescent="0.25">
      <c r="A2885" s="553">
        <v>28</v>
      </c>
      <c r="B2885" s="553">
        <v>3</v>
      </c>
      <c r="C2885" s="553">
        <v>2</v>
      </c>
      <c r="D2885" s="553">
        <v>4</v>
      </c>
      <c r="E2885" s="553">
        <v>2</v>
      </c>
      <c r="F2885" s="553">
        <v>2</v>
      </c>
      <c r="G2885" s="553" t="s">
        <v>478</v>
      </c>
      <c r="H2885" s="553">
        <v>1311.23</v>
      </c>
      <c r="I2885" s="553">
        <v>0</v>
      </c>
      <c r="J2885" s="553">
        <v>0</v>
      </c>
      <c r="K2885" s="553">
        <v>49</v>
      </c>
      <c r="L2885" s="553">
        <v>4</v>
      </c>
      <c r="M2885" s="505" t="s">
        <v>137</v>
      </c>
      <c r="N2885" s="500">
        <v>43013540210000</v>
      </c>
      <c r="O2885" s="553" t="s">
        <v>3365</v>
      </c>
      <c r="P2885" s="650" t="s">
        <v>3600</v>
      </c>
      <c r="Q2885" s="564"/>
      <c r="R2885" s="564">
        <v>1</v>
      </c>
    </row>
    <row r="2886" spans="1:18" x14ac:dyDescent="0.25">
      <c r="A2886" s="553">
        <v>28</v>
      </c>
      <c r="B2886" s="553">
        <v>3</v>
      </c>
      <c r="C2886" s="553">
        <v>2</v>
      </c>
      <c r="D2886" s="553">
        <v>4</v>
      </c>
      <c r="E2886" s="553">
        <v>2</v>
      </c>
      <c r="F2886" s="553">
        <v>2</v>
      </c>
      <c r="G2886" s="553" t="s">
        <v>484</v>
      </c>
      <c r="H2886" s="553">
        <v>1311.23</v>
      </c>
      <c r="I2886" s="553">
        <v>0</v>
      </c>
      <c r="J2886" s="553">
        <v>0</v>
      </c>
      <c r="K2886" s="553">
        <v>49</v>
      </c>
      <c r="L2886" s="553">
        <v>4</v>
      </c>
      <c r="M2886" s="505" t="s">
        <v>137</v>
      </c>
      <c r="N2886" s="500">
        <v>43013540210000</v>
      </c>
      <c r="O2886" s="553" t="s">
        <v>3365</v>
      </c>
      <c r="P2886" s="650" t="s">
        <v>3601</v>
      </c>
      <c r="Q2886" s="564"/>
      <c r="R2886" s="564">
        <v>1</v>
      </c>
    </row>
    <row r="2887" spans="1:18" x14ac:dyDescent="0.25">
      <c r="A2887" s="553">
        <v>28</v>
      </c>
      <c r="B2887" s="553">
        <v>3</v>
      </c>
      <c r="C2887" s="553">
        <v>2</v>
      </c>
      <c r="D2887" s="553">
        <v>4</v>
      </c>
      <c r="E2887" s="553">
        <v>2</v>
      </c>
      <c r="F2887" s="553">
        <v>2</v>
      </c>
      <c r="G2887" s="553" t="s">
        <v>486</v>
      </c>
      <c r="H2887" s="553">
        <v>1369.98</v>
      </c>
      <c r="I2887" s="553">
        <v>0</v>
      </c>
      <c r="J2887" s="553">
        <v>29</v>
      </c>
      <c r="K2887" s="553">
        <v>38</v>
      </c>
      <c r="L2887" s="553">
        <v>1</v>
      </c>
      <c r="M2887" s="505" t="s">
        <v>137</v>
      </c>
      <c r="N2887" s="500">
        <v>43013540210000</v>
      </c>
      <c r="O2887" s="553" t="s">
        <v>3365</v>
      </c>
      <c r="P2887" s="650" t="s">
        <v>3602</v>
      </c>
      <c r="Q2887" s="564"/>
      <c r="R2887" s="564">
        <v>1</v>
      </c>
    </row>
    <row r="2888" spans="1:18" x14ac:dyDescent="0.25">
      <c r="A2888" s="553">
        <v>28</v>
      </c>
      <c r="B2888" s="553">
        <v>3</v>
      </c>
      <c r="C2888" s="553">
        <v>2</v>
      </c>
      <c r="D2888" s="553">
        <v>4</v>
      </c>
      <c r="E2888" s="553">
        <v>2</v>
      </c>
      <c r="F2888" s="553">
        <v>2</v>
      </c>
      <c r="G2888" s="502" t="s">
        <v>488</v>
      </c>
      <c r="H2888" s="553">
        <v>1326.87</v>
      </c>
      <c r="I2888" s="553">
        <v>0</v>
      </c>
      <c r="J2888" s="553">
        <v>29</v>
      </c>
      <c r="K2888" s="553">
        <v>38</v>
      </c>
      <c r="L2888" s="553">
        <v>1</v>
      </c>
      <c r="M2888" s="505" t="s">
        <v>137</v>
      </c>
      <c r="N2888" s="500">
        <v>43013540210000</v>
      </c>
      <c r="O2888" s="553" t="s">
        <v>3365</v>
      </c>
      <c r="P2888" s="650" t="s">
        <v>3603</v>
      </c>
      <c r="Q2888" s="564"/>
      <c r="R2888" s="564">
        <v>1</v>
      </c>
    </row>
    <row r="2889" spans="1:18" x14ac:dyDescent="0.25">
      <c r="A2889" s="553">
        <v>28</v>
      </c>
      <c r="B2889" s="553">
        <v>3</v>
      </c>
      <c r="C2889" s="553">
        <v>2</v>
      </c>
      <c r="D2889" s="553">
        <v>4</v>
      </c>
      <c r="E2889" s="553">
        <v>2</v>
      </c>
      <c r="F2889" s="553">
        <v>2</v>
      </c>
      <c r="G2889" s="553" t="s">
        <v>490</v>
      </c>
      <c r="H2889" s="553">
        <v>1317.78</v>
      </c>
      <c r="I2889" s="553">
        <v>0</v>
      </c>
      <c r="J2889" s="553">
        <v>29</v>
      </c>
      <c r="K2889" s="553">
        <v>34</v>
      </c>
      <c r="L2889" s="553">
        <v>3</v>
      </c>
      <c r="M2889" s="505" t="s">
        <v>137</v>
      </c>
      <c r="N2889" s="500">
        <v>43013540210000</v>
      </c>
      <c r="O2889" s="553" t="s">
        <v>3365</v>
      </c>
      <c r="P2889" s="650" t="s">
        <v>3604</v>
      </c>
      <c r="Q2889" s="564"/>
      <c r="R2889" s="564">
        <v>1</v>
      </c>
    </row>
    <row r="2890" spans="1:18" x14ac:dyDescent="0.25">
      <c r="A2890" s="553">
        <v>28</v>
      </c>
      <c r="B2890" s="553">
        <v>3</v>
      </c>
      <c r="C2890" s="553">
        <v>2</v>
      </c>
      <c r="D2890" s="553">
        <v>4</v>
      </c>
      <c r="E2890" s="553">
        <v>2</v>
      </c>
      <c r="F2890" s="553">
        <v>2</v>
      </c>
      <c r="G2890" s="553" t="s">
        <v>493</v>
      </c>
      <c r="H2890" s="553">
        <v>1317.78</v>
      </c>
      <c r="I2890" s="553">
        <v>0</v>
      </c>
      <c r="J2890" s="553">
        <v>29</v>
      </c>
      <c r="K2890" s="553">
        <v>34</v>
      </c>
      <c r="L2890" s="553">
        <v>3</v>
      </c>
      <c r="M2890" s="505" t="s">
        <v>137</v>
      </c>
      <c r="N2890" s="500">
        <v>43013540210000</v>
      </c>
      <c r="O2890" s="553" t="s">
        <v>3365</v>
      </c>
      <c r="P2890" s="650" t="s">
        <v>3605</v>
      </c>
      <c r="Q2890" s="564"/>
      <c r="R2890" s="564">
        <v>1</v>
      </c>
    </row>
    <row r="2891" spans="1:18" x14ac:dyDescent="0.25">
      <c r="A2891" s="553">
        <v>28</v>
      </c>
      <c r="B2891" s="553">
        <v>3</v>
      </c>
      <c r="C2891" s="553">
        <v>2</v>
      </c>
      <c r="D2891" s="553">
        <v>4</v>
      </c>
      <c r="E2891" s="553">
        <v>2</v>
      </c>
      <c r="F2891" s="553">
        <v>2</v>
      </c>
      <c r="G2891" s="553" t="s">
        <v>474</v>
      </c>
      <c r="H2891" s="553">
        <v>1330.68</v>
      </c>
      <c r="I2891" s="553">
        <v>89</v>
      </c>
      <c r="J2891" s="553">
        <v>2</v>
      </c>
      <c r="K2891" s="553">
        <v>11</v>
      </c>
      <c r="L2891" s="553">
        <v>2</v>
      </c>
      <c r="M2891" s="505" t="s">
        <v>137</v>
      </c>
      <c r="N2891" s="500">
        <v>43013540210000</v>
      </c>
      <c r="O2891" s="553" t="s">
        <v>3365</v>
      </c>
      <c r="P2891" s="650" t="s">
        <v>3606</v>
      </c>
      <c r="Q2891" s="564"/>
      <c r="R2891" s="564">
        <v>1</v>
      </c>
    </row>
    <row r="2892" spans="1:18" x14ac:dyDescent="0.25">
      <c r="A2892" s="553">
        <v>28</v>
      </c>
      <c r="B2892" s="553">
        <v>3</v>
      </c>
      <c r="C2892" s="553">
        <v>2</v>
      </c>
      <c r="D2892" s="553">
        <v>4</v>
      </c>
      <c r="E2892" s="553">
        <v>2</v>
      </c>
      <c r="F2892" s="553">
        <v>2</v>
      </c>
      <c r="G2892" s="502" t="s">
        <v>477</v>
      </c>
      <c r="H2892" s="553">
        <v>1330.68</v>
      </c>
      <c r="I2892" s="553">
        <v>89</v>
      </c>
      <c r="J2892" s="553">
        <v>2</v>
      </c>
      <c r="K2892" s="553">
        <v>11</v>
      </c>
      <c r="L2892" s="553">
        <v>2</v>
      </c>
      <c r="M2892" s="505" t="s">
        <v>137</v>
      </c>
      <c r="N2892" s="500">
        <v>43013540210000</v>
      </c>
      <c r="O2892" s="553" t="s">
        <v>3365</v>
      </c>
      <c r="P2892" s="650" t="s">
        <v>3607</v>
      </c>
      <c r="Q2892" s="564"/>
      <c r="R2892" s="564">
        <v>1</v>
      </c>
    </row>
    <row r="2893" spans="1:18" x14ac:dyDescent="0.25">
      <c r="A2893" s="553">
        <v>28</v>
      </c>
      <c r="B2893" s="553">
        <v>3</v>
      </c>
      <c r="C2893" s="553">
        <v>2</v>
      </c>
      <c r="D2893" s="553">
        <v>4</v>
      </c>
      <c r="E2893" s="553">
        <v>2</v>
      </c>
      <c r="F2893" s="553">
        <v>2</v>
      </c>
      <c r="G2893" s="553" t="s">
        <v>479</v>
      </c>
      <c r="H2893" s="553">
        <v>1330.7550000000001</v>
      </c>
      <c r="I2893" s="553">
        <v>89</v>
      </c>
      <c r="J2893" s="553">
        <v>5</v>
      </c>
      <c r="K2893" s="553">
        <v>22</v>
      </c>
      <c r="L2893" s="553">
        <v>2</v>
      </c>
      <c r="M2893" s="505" t="s">
        <v>137</v>
      </c>
      <c r="N2893" s="500">
        <v>43013540210000</v>
      </c>
      <c r="O2893" s="553" t="s">
        <v>3365</v>
      </c>
      <c r="P2893" s="650" t="s">
        <v>3608</v>
      </c>
      <c r="Q2893" s="564"/>
      <c r="R2893" s="564">
        <v>1</v>
      </c>
    </row>
    <row r="2894" spans="1:18" x14ac:dyDescent="0.25">
      <c r="A2894" s="553">
        <v>28</v>
      </c>
      <c r="B2894" s="553">
        <v>3</v>
      </c>
      <c r="C2894" s="553">
        <v>2</v>
      </c>
      <c r="D2894" s="553">
        <v>4</v>
      </c>
      <c r="E2894" s="553">
        <v>2</v>
      </c>
      <c r="F2894" s="553">
        <v>2</v>
      </c>
      <c r="G2894" s="553" t="s">
        <v>485</v>
      </c>
      <c r="H2894" s="553">
        <v>1330.7550000000001</v>
      </c>
      <c r="I2894" s="553">
        <v>89</v>
      </c>
      <c r="J2894" s="553">
        <v>5</v>
      </c>
      <c r="K2894" s="553">
        <v>22</v>
      </c>
      <c r="L2894" s="553">
        <v>2</v>
      </c>
      <c r="M2894" s="505" t="s">
        <v>137</v>
      </c>
      <c r="N2894" s="500">
        <v>43013540210000</v>
      </c>
      <c r="O2894" s="553" t="s">
        <v>3365</v>
      </c>
      <c r="P2894" s="650" t="s">
        <v>3609</v>
      </c>
      <c r="Q2894" s="564"/>
      <c r="R2894" s="564">
        <v>1</v>
      </c>
    </row>
    <row r="2895" spans="1:18" x14ac:dyDescent="0.25">
      <c r="A2895" s="553">
        <v>28</v>
      </c>
      <c r="B2895" s="553">
        <v>3</v>
      </c>
      <c r="C2895" s="553">
        <v>2</v>
      </c>
      <c r="D2895" s="553">
        <v>4</v>
      </c>
      <c r="E2895" s="553">
        <v>2</v>
      </c>
      <c r="F2895" s="553">
        <v>2</v>
      </c>
      <c r="G2895" s="553" t="s">
        <v>487</v>
      </c>
      <c r="H2895" s="553">
        <v>1329.825</v>
      </c>
      <c r="I2895" s="553">
        <v>88</v>
      </c>
      <c r="J2895" s="553">
        <v>54</v>
      </c>
      <c r="K2895" s="553">
        <v>33</v>
      </c>
      <c r="L2895" s="553">
        <v>2</v>
      </c>
      <c r="M2895" s="505" t="s">
        <v>137</v>
      </c>
      <c r="N2895" s="500">
        <v>43013540210000</v>
      </c>
      <c r="O2895" s="553" t="s">
        <v>3365</v>
      </c>
      <c r="P2895" s="650" t="s">
        <v>3610</v>
      </c>
      <c r="Q2895" s="564"/>
      <c r="R2895" s="564">
        <v>1</v>
      </c>
    </row>
    <row r="2896" spans="1:18" x14ac:dyDescent="0.25">
      <c r="A2896" s="553">
        <v>28</v>
      </c>
      <c r="B2896" s="553">
        <v>3</v>
      </c>
      <c r="C2896" s="553">
        <v>2</v>
      </c>
      <c r="D2896" s="553">
        <v>4</v>
      </c>
      <c r="E2896" s="553">
        <v>2</v>
      </c>
      <c r="F2896" s="553">
        <v>2</v>
      </c>
      <c r="G2896" s="502" t="s">
        <v>489</v>
      </c>
      <c r="H2896" s="553">
        <v>1329.825</v>
      </c>
      <c r="I2896" s="553">
        <v>88</v>
      </c>
      <c r="J2896" s="553">
        <v>54</v>
      </c>
      <c r="K2896" s="553">
        <v>33</v>
      </c>
      <c r="L2896" s="553">
        <v>2</v>
      </c>
      <c r="M2896" s="505" t="s">
        <v>137</v>
      </c>
      <c r="N2896" s="500">
        <v>43013540210000</v>
      </c>
      <c r="O2896" s="553" t="s">
        <v>3365</v>
      </c>
      <c r="P2896" s="650" t="s">
        <v>3611</v>
      </c>
      <c r="Q2896" s="564"/>
      <c r="R2896" s="564">
        <v>1</v>
      </c>
    </row>
    <row r="2897" spans="1:18" x14ac:dyDescent="0.25">
      <c r="A2897" s="553">
        <v>28</v>
      </c>
      <c r="B2897" s="553">
        <v>3</v>
      </c>
      <c r="C2897" s="553">
        <v>2</v>
      </c>
      <c r="D2897" s="553">
        <v>4</v>
      </c>
      <c r="E2897" s="553">
        <v>2</v>
      </c>
      <c r="F2897" s="553">
        <v>2</v>
      </c>
      <c r="G2897" s="553" t="s">
        <v>491</v>
      </c>
      <c r="H2897" s="553">
        <v>1331.64</v>
      </c>
      <c r="I2897" s="553">
        <v>88</v>
      </c>
      <c r="J2897" s="553">
        <v>54</v>
      </c>
      <c r="K2897" s="553">
        <v>33</v>
      </c>
      <c r="L2897" s="553">
        <v>2</v>
      </c>
      <c r="M2897" s="505" t="s">
        <v>137</v>
      </c>
      <c r="N2897" s="500">
        <v>43013540210000</v>
      </c>
      <c r="O2897" s="553" t="s">
        <v>3365</v>
      </c>
      <c r="P2897" s="650" t="s">
        <v>3612</v>
      </c>
      <c r="Q2897" s="564"/>
      <c r="R2897" s="564">
        <v>1</v>
      </c>
    </row>
    <row r="2898" spans="1:18" x14ac:dyDescent="0.25">
      <c r="A2898" s="553">
        <v>28</v>
      </c>
      <c r="B2898" s="553">
        <v>3</v>
      </c>
      <c r="C2898" s="553">
        <v>2</v>
      </c>
      <c r="D2898" s="553">
        <v>4</v>
      </c>
      <c r="E2898" s="553">
        <v>2</v>
      </c>
      <c r="F2898" s="553">
        <v>2</v>
      </c>
      <c r="G2898" s="553" t="s">
        <v>494</v>
      </c>
      <c r="H2898" s="553">
        <v>1331.64</v>
      </c>
      <c r="I2898" s="553">
        <v>88</v>
      </c>
      <c r="J2898" s="553">
        <v>54</v>
      </c>
      <c r="K2898" s="553">
        <v>33</v>
      </c>
      <c r="L2898" s="553">
        <v>2</v>
      </c>
      <c r="M2898" s="505" t="s">
        <v>137</v>
      </c>
      <c r="N2898" s="500">
        <v>43013540210000</v>
      </c>
      <c r="O2898" s="553" t="s">
        <v>3365</v>
      </c>
      <c r="P2898" s="650" t="s">
        <v>3613</v>
      </c>
      <c r="Q2898" s="564"/>
      <c r="R2898" s="564">
        <v>1</v>
      </c>
    </row>
    <row r="2899" spans="1:18" s="484" customFormat="1" x14ac:dyDescent="0.25">
      <c r="A2899" s="564">
        <v>28</v>
      </c>
      <c r="B2899" s="564">
        <v>2</v>
      </c>
      <c r="C2899" s="564">
        <v>2</v>
      </c>
      <c r="D2899" s="564">
        <v>4</v>
      </c>
      <c r="E2899" s="564">
        <v>2</v>
      </c>
      <c r="F2899" s="564">
        <v>2</v>
      </c>
      <c r="G2899" s="564" t="s">
        <v>473</v>
      </c>
      <c r="H2899" s="564">
        <v>1320.5350000000001</v>
      </c>
      <c r="I2899" s="564">
        <v>0</v>
      </c>
      <c r="J2899" s="564">
        <v>27</v>
      </c>
      <c r="K2899" s="564">
        <v>53</v>
      </c>
      <c r="L2899" s="564">
        <v>2</v>
      </c>
      <c r="M2899" s="561" t="s">
        <v>137</v>
      </c>
      <c r="N2899" s="651">
        <v>4301354089</v>
      </c>
      <c r="O2899" s="564" t="s">
        <v>3614</v>
      </c>
      <c r="P2899" s="564" t="s">
        <v>3615</v>
      </c>
      <c r="Q2899" s="564"/>
      <c r="R2899" s="564">
        <v>2</v>
      </c>
    </row>
    <row r="2900" spans="1:18" s="484" customFormat="1" x14ac:dyDescent="0.25">
      <c r="A2900" s="564">
        <v>28</v>
      </c>
      <c r="B2900" s="564">
        <v>2</v>
      </c>
      <c r="C2900" s="564">
        <v>2</v>
      </c>
      <c r="D2900" s="564">
        <v>4</v>
      </c>
      <c r="E2900" s="564">
        <v>2</v>
      </c>
      <c r="F2900" s="564">
        <v>2</v>
      </c>
      <c r="G2900" s="521" t="s">
        <v>476</v>
      </c>
      <c r="H2900" s="564">
        <v>1320.5350000000001</v>
      </c>
      <c r="I2900" s="564">
        <v>0</v>
      </c>
      <c r="J2900" s="564">
        <v>27</v>
      </c>
      <c r="K2900" s="564">
        <v>53</v>
      </c>
      <c r="L2900" s="564">
        <v>2</v>
      </c>
      <c r="M2900" s="561" t="s">
        <v>137</v>
      </c>
      <c r="N2900" s="651">
        <v>4301354089</v>
      </c>
      <c r="O2900" s="564" t="s">
        <v>3614</v>
      </c>
      <c r="P2900" s="564" t="s">
        <v>3616</v>
      </c>
      <c r="Q2900" s="564"/>
      <c r="R2900" s="564">
        <v>2</v>
      </c>
    </row>
    <row r="2901" spans="1:18" s="484" customFormat="1" x14ac:dyDescent="0.25">
      <c r="A2901" s="564">
        <v>28</v>
      </c>
      <c r="B2901" s="564">
        <v>2</v>
      </c>
      <c r="C2901" s="564">
        <v>2</v>
      </c>
      <c r="D2901" s="564">
        <v>4</v>
      </c>
      <c r="E2901" s="564">
        <v>2</v>
      </c>
      <c r="F2901" s="564">
        <v>2</v>
      </c>
      <c r="G2901" s="564" t="s">
        <v>478</v>
      </c>
      <c r="H2901" s="564">
        <v>1319.9649999999999</v>
      </c>
      <c r="I2901" s="564">
        <v>0</v>
      </c>
      <c r="J2901" s="564">
        <v>6</v>
      </c>
      <c r="K2901" s="564">
        <v>57</v>
      </c>
      <c r="L2901" s="564">
        <v>2</v>
      </c>
      <c r="M2901" s="561" t="s">
        <v>137</v>
      </c>
      <c r="N2901" s="651">
        <v>4301354089</v>
      </c>
      <c r="O2901" s="564" t="s">
        <v>3614</v>
      </c>
      <c r="P2901" s="564" t="s">
        <v>3617</v>
      </c>
      <c r="Q2901" s="564"/>
      <c r="R2901" s="564">
        <v>2</v>
      </c>
    </row>
    <row r="2902" spans="1:18" s="484" customFormat="1" x14ac:dyDescent="0.25">
      <c r="A2902" s="564">
        <v>28</v>
      </c>
      <c r="B2902" s="564">
        <v>2</v>
      </c>
      <c r="C2902" s="564">
        <v>2</v>
      </c>
      <c r="D2902" s="564">
        <v>4</v>
      </c>
      <c r="E2902" s="564">
        <v>2</v>
      </c>
      <c r="F2902" s="564">
        <v>2</v>
      </c>
      <c r="G2902" s="564" t="s">
        <v>484</v>
      </c>
      <c r="H2902" s="564">
        <v>1319.9649999999999</v>
      </c>
      <c r="I2902" s="564">
        <v>0</v>
      </c>
      <c r="J2902" s="564">
        <v>6</v>
      </c>
      <c r="K2902" s="564">
        <v>57</v>
      </c>
      <c r="L2902" s="564">
        <v>2</v>
      </c>
      <c r="M2902" s="561" t="s">
        <v>137</v>
      </c>
      <c r="N2902" s="651">
        <v>4301354089</v>
      </c>
      <c r="O2902" s="564" t="s">
        <v>3614</v>
      </c>
      <c r="P2902" s="564" t="s">
        <v>3618</v>
      </c>
      <c r="Q2902" s="564"/>
      <c r="R2902" s="564">
        <v>2</v>
      </c>
    </row>
    <row r="2903" spans="1:18" s="484" customFormat="1" x14ac:dyDescent="0.25">
      <c r="A2903" s="564">
        <v>28</v>
      </c>
      <c r="B2903" s="564">
        <v>2</v>
      </c>
      <c r="C2903" s="564">
        <v>2</v>
      </c>
      <c r="D2903" s="564">
        <v>4</v>
      </c>
      <c r="E2903" s="564">
        <v>2</v>
      </c>
      <c r="F2903" s="564">
        <v>2</v>
      </c>
      <c r="G2903" s="564" t="s">
        <v>486</v>
      </c>
      <c r="H2903" s="564">
        <v>1312.83</v>
      </c>
      <c r="I2903" s="564">
        <v>0</v>
      </c>
      <c r="J2903" s="564">
        <v>17</v>
      </c>
      <c r="K2903" s="564">
        <v>48</v>
      </c>
      <c r="L2903" s="564">
        <v>4</v>
      </c>
      <c r="M2903" s="561" t="s">
        <v>137</v>
      </c>
      <c r="N2903" s="651">
        <v>4301354089</v>
      </c>
      <c r="O2903" s="564" t="s">
        <v>3614</v>
      </c>
      <c r="P2903" s="564" t="s">
        <v>3619</v>
      </c>
      <c r="Q2903" s="564"/>
      <c r="R2903" s="564">
        <v>2</v>
      </c>
    </row>
    <row r="2904" spans="1:18" s="484" customFormat="1" x14ac:dyDescent="0.25">
      <c r="A2904" s="564">
        <v>28</v>
      </c>
      <c r="B2904" s="564">
        <v>2</v>
      </c>
      <c r="C2904" s="564">
        <v>2</v>
      </c>
      <c r="D2904" s="564">
        <v>4</v>
      </c>
      <c r="E2904" s="564">
        <v>2</v>
      </c>
      <c r="F2904" s="564">
        <v>2</v>
      </c>
      <c r="G2904" s="521" t="s">
        <v>488</v>
      </c>
      <c r="H2904" s="564">
        <v>1312.83</v>
      </c>
      <c r="I2904" s="564">
        <v>0</v>
      </c>
      <c r="J2904" s="564">
        <v>17</v>
      </c>
      <c r="K2904" s="564">
        <v>48</v>
      </c>
      <c r="L2904" s="564">
        <v>4</v>
      </c>
      <c r="M2904" s="561" t="s">
        <v>137</v>
      </c>
      <c r="N2904" s="651">
        <v>4301354089</v>
      </c>
      <c r="O2904" s="564" t="s">
        <v>3614</v>
      </c>
      <c r="P2904" s="564" t="s">
        <v>3620</v>
      </c>
      <c r="Q2904" s="564"/>
      <c r="R2904" s="564">
        <v>2</v>
      </c>
    </row>
    <row r="2905" spans="1:18" s="484" customFormat="1" x14ac:dyDescent="0.25">
      <c r="A2905" s="564">
        <v>28</v>
      </c>
      <c r="B2905" s="564">
        <v>2</v>
      </c>
      <c r="C2905" s="564">
        <v>2</v>
      </c>
      <c r="D2905" s="564">
        <v>4</v>
      </c>
      <c r="E2905" s="564">
        <v>2</v>
      </c>
      <c r="F2905" s="564">
        <v>2</v>
      </c>
      <c r="G2905" s="564" t="s">
        <v>490</v>
      </c>
      <c r="H2905" s="564">
        <v>1312.83</v>
      </c>
      <c r="I2905" s="564">
        <v>0</v>
      </c>
      <c r="J2905" s="564">
        <v>17</v>
      </c>
      <c r="K2905" s="564">
        <v>48</v>
      </c>
      <c r="L2905" s="564">
        <v>4</v>
      </c>
      <c r="M2905" s="561" t="s">
        <v>137</v>
      </c>
      <c r="N2905" s="651">
        <v>4301354089</v>
      </c>
      <c r="O2905" s="564" t="s">
        <v>3614</v>
      </c>
      <c r="P2905" s="564" t="s">
        <v>3621</v>
      </c>
      <c r="Q2905" s="564"/>
      <c r="R2905" s="564">
        <v>2</v>
      </c>
    </row>
    <row r="2906" spans="1:18" s="484" customFormat="1" x14ac:dyDescent="0.25">
      <c r="A2906" s="564">
        <v>28</v>
      </c>
      <c r="B2906" s="564">
        <v>2</v>
      </c>
      <c r="C2906" s="564">
        <v>2</v>
      </c>
      <c r="D2906" s="564">
        <v>4</v>
      </c>
      <c r="E2906" s="564">
        <v>2</v>
      </c>
      <c r="F2906" s="564">
        <v>2</v>
      </c>
      <c r="G2906" s="564" t="s">
        <v>493</v>
      </c>
      <c r="H2906" s="564">
        <v>1312.83</v>
      </c>
      <c r="I2906" s="564">
        <v>0</v>
      </c>
      <c r="J2906" s="564">
        <v>17</v>
      </c>
      <c r="K2906" s="564">
        <v>48</v>
      </c>
      <c r="L2906" s="564">
        <v>4</v>
      </c>
      <c r="M2906" s="561" t="s">
        <v>137</v>
      </c>
      <c r="N2906" s="651">
        <v>4301354089</v>
      </c>
      <c r="O2906" s="564" t="s">
        <v>3614</v>
      </c>
      <c r="P2906" s="564" t="s">
        <v>3622</v>
      </c>
      <c r="Q2906" s="564"/>
      <c r="R2906" s="564">
        <v>2</v>
      </c>
    </row>
    <row r="2907" spans="1:18" s="484" customFormat="1" x14ac:dyDescent="0.25">
      <c r="A2907" s="564">
        <v>28</v>
      </c>
      <c r="B2907" s="564">
        <v>2</v>
      </c>
      <c r="C2907" s="564">
        <v>2</v>
      </c>
      <c r="D2907" s="564">
        <v>4</v>
      </c>
      <c r="E2907" s="564">
        <v>2</v>
      </c>
      <c r="F2907" s="564">
        <v>2</v>
      </c>
      <c r="G2907" s="564" t="s">
        <v>474</v>
      </c>
      <c r="H2907" s="564">
        <v>1311.2550000000001</v>
      </c>
      <c r="I2907" s="564">
        <v>89</v>
      </c>
      <c r="J2907" s="564">
        <v>45</v>
      </c>
      <c r="K2907" s="564">
        <v>31</v>
      </c>
      <c r="L2907" s="564">
        <v>1</v>
      </c>
      <c r="M2907" s="561" t="s">
        <v>137</v>
      </c>
      <c r="N2907" s="651">
        <v>4301354089</v>
      </c>
      <c r="O2907" s="564" t="s">
        <v>3614</v>
      </c>
      <c r="P2907" s="564" t="s">
        <v>3623</v>
      </c>
      <c r="Q2907" s="564"/>
      <c r="R2907" s="564">
        <v>2</v>
      </c>
    </row>
    <row r="2908" spans="1:18" s="484" customFormat="1" x14ac:dyDescent="0.25">
      <c r="A2908" s="564">
        <v>28</v>
      </c>
      <c r="B2908" s="564">
        <v>2</v>
      </c>
      <c r="C2908" s="564">
        <v>2</v>
      </c>
      <c r="D2908" s="564">
        <v>4</v>
      </c>
      <c r="E2908" s="564">
        <v>2</v>
      </c>
      <c r="F2908" s="564">
        <v>2</v>
      </c>
      <c r="G2908" s="521" t="s">
        <v>477</v>
      </c>
      <c r="H2908" s="564">
        <v>1311.2550000000001</v>
      </c>
      <c r="I2908" s="564">
        <v>89</v>
      </c>
      <c r="J2908" s="564">
        <v>45</v>
      </c>
      <c r="K2908" s="564">
        <v>31</v>
      </c>
      <c r="L2908" s="564">
        <v>1</v>
      </c>
      <c r="M2908" s="561" t="s">
        <v>137</v>
      </c>
      <c r="N2908" s="651">
        <v>4301354089</v>
      </c>
      <c r="O2908" s="564" t="s">
        <v>3614</v>
      </c>
      <c r="P2908" s="564" t="s">
        <v>3624</v>
      </c>
      <c r="Q2908" s="564"/>
      <c r="R2908" s="564">
        <v>2</v>
      </c>
    </row>
    <row r="2909" spans="1:18" s="484" customFormat="1" x14ac:dyDescent="0.25">
      <c r="A2909" s="564">
        <v>28</v>
      </c>
      <c r="B2909" s="564">
        <v>2</v>
      </c>
      <c r="C2909" s="564">
        <v>2</v>
      </c>
      <c r="D2909" s="564">
        <v>4</v>
      </c>
      <c r="E2909" s="564">
        <v>2</v>
      </c>
      <c r="F2909" s="564">
        <v>2</v>
      </c>
      <c r="G2909" s="564" t="s">
        <v>479</v>
      </c>
      <c r="H2909" s="564">
        <v>1311.175</v>
      </c>
      <c r="I2909" s="564">
        <v>89</v>
      </c>
      <c r="J2909" s="564">
        <v>45</v>
      </c>
      <c r="K2909" s="564">
        <v>28</v>
      </c>
      <c r="L2909" s="564">
        <v>1</v>
      </c>
      <c r="M2909" s="561" t="s">
        <v>137</v>
      </c>
      <c r="N2909" s="651">
        <v>4301354089</v>
      </c>
      <c r="O2909" s="564" t="s">
        <v>3614</v>
      </c>
      <c r="P2909" s="564" t="s">
        <v>3625</v>
      </c>
      <c r="Q2909" s="564"/>
      <c r="R2909" s="564">
        <v>2</v>
      </c>
    </row>
    <row r="2910" spans="1:18" s="484" customFormat="1" x14ac:dyDescent="0.25">
      <c r="A2910" s="564">
        <v>28</v>
      </c>
      <c r="B2910" s="564">
        <v>2</v>
      </c>
      <c r="C2910" s="564">
        <v>2</v>
      </c>
      <c r="D2910" s="564">
        <v>4</v>
      </c>
      <c r="E2910" s="564">
        <v>2</v>
      </c>
      <c r="F2910" s="564">
        <v>2</v>
      </c>
      <c r="G2910" s="564" t="s">
        <v>485</v>
      </c>
      <c r="H2910" s="564">
        <v>1311.175</v>
      </c>
      <c r="I2910" s="564">
        <v>89</v>
      </c>
      <c r="J2910" s="564">
        <v>45</v>
      </c>
      <c r="K2910" s="564">
        <v>28</v>
      </c>
      <c r="L2910" s="564">
        <v>1</v>
      </c>
      <c r="M2910" s="561" t="s">
        <v>137</v>
      </c>
      <c r="N2910" s="651">
        <v>4301354089</v>
      </c>
      <c r="O2910" s="564" t="s">
        <v>3614</v>
      </c>
      <c r="P2910" s="564" t="s">
        <v>3626</v>
      </c>
      <c r="Q2910" s="564"/>
      <c r="R2910" s="564">
        <v>2</v>
      </c>
    </row>
    <row r="2911" spans="1:18" s="484" customFormat="1" x14ac:dyDescent="0.25">
      <c r="A2911" s="564">
        <v>28</v>
      </c>
      <c r="B2911" s="564">
        <v>2</v>
      </c>
      <c r="C2911" s="564">
        <v>2</v>
      </c>
      <c r="D2911" s="564">
        <v>4</v>
      </c>
      <c r="E2911" s="564">
        <v>2</v>
      </c>
      <c r="F2911" s="564">
        <v>2</v>
      </c>
      <c r="G2911" s="564" t="s">
        <v>487</v>
      </c>
      <c r="H2911" s="564">
        <v>1316.15</v>
      </c>
      <c r="I2911" s="564">
        <v>89</v>
      </c>
      <c r="J2911" s="564">
        <v>29</v>
      </c>
      <c r="K2911" s="564">
        <v>43</v>
      </c>
      <c r="L2911" s="564">
        <v>1</v>
      </c>
      <c r="M2911" s="561" t="s">
        <v>137</v>
      </c>
      <c r="N2911" s="651">
        <v>4301354089</v>
      </c>
      <c r="O2911" s="564" t="s">
        <v>3614</v>
      </c>
      <c r="P2911" s="564" t="s">
        <v>3627</v>
      </c>
      <c r="Q2911" s="564"/>
      <c r="R2911" s="564">
        <v>2</v>
      </c>
    </row>
    <row r="2912" spans="1:18" s="484" customFormat="1" x14ac:dyDescent="0.25">
      <c r="A2912" s="564">
        <v>28</v>
      </c>
      <c r="B2912" s="564">
        <v>2</v>
      </c>
      <c r="C2912" s="564">
        <v>2</v>
      </c>
      <c r="D2912" s="564">
        <v>4</v>
      </c>
      <c r="E2912" s="564">
        <v>2</v>
      </c>
      <c r="F2912" s="564">
        <v>2</v>
      </c>
      <c r="G2912" s="521" t="s">
        <v>489</v>
      </c>
      <c r="H2912" s="564">
        <v>1316.15</v>
      </c>
      <c r="I2912" s="564">
        <v>89</v>
      </c>
      <c r="J2912" s="564">
        <v>29</v>
      </c>
      <c r="K2912" s="564">
        <v>43</v>
      </c>
      <c r="L2912" s="564">
        <v>1</v>
      </c>
      <c r="M2912" s="561" t="s">
        <v>137</v>
      </c>
      <c r="N2912" s="651">
        <v>4301354089</v>
      </c>
      <c r="O2912" s="564" t="s">
        <v>3614</v>
      </c>
      <c r="P2912" s="564" t="s">
        <v>3628</v>
      </c>
      <c r="Q2912" s="564"/>
      <c r="R2912" s="564">
        <v>2</v>
      </c>
    </row>
    <row r="2913" spans="1:18" s="484" customFormat="1" x14ac:dyDescent="0.25">
      <c r="A2913" s="564">
        <v>28</v>
      </c>
      <c r="B2913" s="564">
        <v>2</v>
      </c>
      <c r="C2913" s="564">
        <v>2</v>
      </c>
      <c r="D2913" s="564">
        <v>4</v>
      </c>
      <c r="E2913" s="564">
        <v>2</v>
      </c>
      <c r="F2913" s="564">
        <v>2</v>
      </c>
      <c r="G2913" s="564" t="s">
        <v>491</v>
      </c>
      <c r="H2913" s="564">
        <v>1331.53</v>
      </c>
      <c r="I2913" s="564">
        <v>89</v>
      </c>
      <c r="J2913" s="564">
        <v>20</v>
      </c>
      <c r="K2913" s="564">
        <v>22</v>
      </c>
      <c r="L2913" s="564">
        <v>2</v>
      </c>
      <c r="M2913" s="561" t="s">
        <v>137</v>
      </c>
      <c r="N2913" s="651">
        <v>4301354089</v>
      </c>
      <c r="O2913" s="564" t="s">
        <v>3614</v>
      </c>
      <c r="P2913" s="564" t="s">
        <v>3629</v>
      </c>
      <c r="Q2913" s="564"/>
      <c r="R2913" s="564">
        <v>2</v>
      </c>
    </row>
    <row r="2914" spans="1:18" s="484" customFormat="1" x14ac:dyDescent="0.25">
      <c r="A2914" s="564">
        <v>28</v>
      </c>
      <c r="B2914" s="564">
        <v>2</v>
      </c>
      <c r="C2914" s="564">
        <v>2</v>
      </c>
      <c r="D2914" s="564">
        <v>4</v>
      </c>
      <c r="E2914" s="564">
        <v>2</v>
      </c>
      <c r="F2914" s="564">
        <v>2</v>
      </c>
      <c r="G2914" s="564" t="s">
        <v>494</v>
      </c>
      <c r="H2914" s="564">
        <v>1331.53</v>
      </c>
      <c r="I2914" s="564">
        <v>89</v>
      </c>
      <c r="J2914" s="564">
        <v>20</v>
      </c>
      <c r="K2914" s="564">
        <v>22</v>
      </c>
      <c r="L2914" s="564">
        <v>2</v>
      </c>
      <c r="M2914" s="561" t="s">
        <v>137</v>
      </c>
      <c r="N2914" s="651">
        <v>4301354089</v>
      </c>
      <c r="O2914" s="564" t="s">
        <v>3614</v>
      </c>
      <c r="P2914" s="564" t="s">
        <v>3630</v>
      </c>
      <c r="Q2914" s="564"/>
      <c r="R2914" s="564">
        <v>2</v>
      </c>
    </row>
    <row r="2915" spans="1:18" x14ac:dyDescent="0.25">
      <c r="A2915" s="553">
        <v>29</v>
      </c>
      <c r="B2915" s="553">
        <v>2</v>
      </c>
      <c r="C2915" s="553">
        <v>2</v>
      </c>
      <c r="D2915" s="553">
        <v>1</v>
      </c>
      <c r="E2915" s="553">
        <v>1</v>
      </c>
      <c r="F2915" s="553">
        <v>2</v>
      </c>
      <c r="G2915" s="553" t="s">
        <v>473</v>
      </c>
      <c r="H2915" s="553">
        <v>1318.7625</v>
      </c>
      <c r="I2915" s="553">
        <v>0</v>
      </c>
      <c r="J2915" s="553">
        <v>4</v>
      </c>
      <c r="K2915" s="553">
        <v>36</v>
      </c>
      <c r="L2915" s="553">
        <v>4</v>
      </c>
      <c r="M2915" s="505" t="s">
        <v>137</v>
      </c>
      <c r="N2915" s="500">
        <v>43047556940000</v>
      </c>
      <c r="O2915" s="553" t="s">
        <v>3631</v>
      </c>
      <c r="P2915" s="650" t="s">
        <v>3632</v>
      </c>
      <c r="Q2915" s="564"/>
      <c r="R2915" s="564">
        <v>1</v>
      </c>
    </row>
    <row r="2916" spans="1:18" x14ac:dyDescent="0.25">
      <c r="A2916" s="553">
        <v>29</v>
      </c>
      <c r="B2916" s="553">
        <v>2</v>
      </c>
      <c r="C2916" s="553">
        <v>2</v>
      </c>
      <c r="D2916" s="553">
        <v>1</v>
      </c>
      <c r="E2916" s="553">
        <v>1</v>
      </c>
      <c r="F2916" s="553">
        <v>2</v>
      </c>
      <c r="G2916" s="502" t="s">
        <v>476</v>
      </c>
      <c r="H2916" s="553">
        <v>1318.7625</v>
      </c>
      <c r="I2916" s="553">
        <v>0</v>
      </c>
      <c r="J2916" s="553">
        <v>4</v>
      </c>
      <c r="K2916" s="553">
        <v>36</v>
      </c>
      <c r="L2916" s="553">
        <v>4</v>
      </c>
      <c r="M2916" s="505" t="s">
        <v>137</v>
      </c>
      <c r="N2916" s="500">
        <v>43047556940000</v>
      </c>
      <c r="O2916" s="553" t="s">
        <v>3631</v>
      </c>
      <c r="P2916" s="650" t="s">
        <v>3633</v>
      </c>
      <c r="Q2916" s="564"/>
      <c r="R2916" s="564">
        <v>1</v>
      </c>
    </row>
    <row r="2917" spans="1:18" x14ac:dyDescent="0.25">
      <c r="A2917" s="553">
        <v>29</v>
      </c>
      <c r="B2917" s="553">
        <v>2</v>
      </c>
      <c r="C2917" s="553">
        <v>2</v>
      </c>
      <c r="D2917" s="553">
        <v>1</v>
      </c>
      <c r="E2917" s="553">
        <v>1</v>
      </c>
      <c r="F2917" s="553">
        <v>2</v>
      </c>
      <c r="G2917" s="553" t="s">
        <v>478</v>
      </c>
      <c r="H2917" s="553">
        <v>1318.7625</v>
      </c>
      <c r="I2917" s="553">
        <v>0</v>
      </c>
      <c r="J2917" s="553">
        <v>4</v>
      </c>
      <c r="K2917" s="553">
        <v>36</v>
      </c>
      <c r="L2917" s="553">
        <v>4</v>
      </c>
      <c r="M2917" s="505" t="s">
        <v>137</v>
      </c>
      <c r="N2917" s="500">
        <v>43047556940000</v>
      </c>
      <c r="O2917" s="553" t="s">
        <v>3631</v>
      </c>
      <c r="P2917" s="650" t="s">
        <v>3634</v>
      </c>
      <c r="Q2917" s="564"/>
      <c r="R2917" s="564">
        <v>1</v>
      </c>
    </row>
    <row r="2918" spans="1:18" x14ac:dyDescent="0.25">
      <c r="A2918" s="553">
        <v>29</v>
      </c>
      <c r="B2918" s="553">
        <v>2</v>
      </c>
      <c r="C2918" s="553">
        <v>2</v>
      </c>
      <c r="D2918" s="553">
        <v>1</v>
      </c>
      <c r="E2918" s="553">
        <v>1</v>
      </c>
      <c r="F2918" s="553">
        <v>2</v>
      </c>
      <c r="G2918" s="553" t="s">
        <v>484</v>
      </c>
      <c r="H2918" s="553">
        <v>1318.7625</v>
      </c>
      <c r="I2918" s="553">
        <v>0</v>
      </c>
      <c r="J2918" s="553">
        <v>4</v>
      </c>
      <c r="K2918" s="553">
        <v>36</v>
      </c>
      <c r="L2918" s="553">
        <v>4</v>
      </c>
      <c r="M2918" s="505" t="s">
        <v>137</v>
      </c>
      <c r="N2918" s="500">
        <v>43047556940000</v>
      </c>
      <c r="O2918" s="553" t="s">
        <v>3631</v>
      </c>
      <c r="P2918" s="650" t="s">
        <v>3635</v>
      </c>
      <c r="Q2918" s="564"/>
      <c r="R2918" s="564">
        <v>1</v>
      </c>
    </row>
    <row r="2919" spans="1:18" x14ac:dyDescent="0.25">
      <c r="A2919" s="553">
        <v>29</v>
      </c>
      <c r="B2919" s="553">
        <v>2</v>
      </c>
      <c r="C2919" s="553">
        <v>2</v>
      </c>
      <c r="D2919" s="553">
        <v>1</v>
      </c>
      <c r="E2919" s="553">
        <v>1</v>
      </c>
      <c r="F2919" s="553">
        <v>2</v>
      </c>
      <c r="G2919" s="553" t="s">
        <v>486</v>
      </c>
      <c r="H2919" s="553">
        <v>1321.115</v>
      </c>
      <c r="I2919" s="553">
        <v>0</v>
      </c>
      <c r="J2919" s="553">
        <v>0</v>
      </c>
      <c r="K2919" s="553">
        <v>40</v>
      </c>
      <c r="L2919" s="553">
        <v>4</v>
      </c>
      <c r="M2919" s="505" t="s">
        <v>137</v>
      </c>
      <c r="N2919" s="500">
        <v>43047556940000</v>
      </c>
      <c r="O2919" s="553" t="s">
        <v>3631</v>
      </c>
      <c r="P2919" s="650" t="s">
        <v>3636</v>
      </c>
      <c r="Q2919" s="564"/>
      <c r="R2919" s="564">
        <v>1</v>
      </c>
    </row>
    <row r="2920" spans="1:18" x14ac:dyDescent="0.25">
      <c r="A2920" s="553">
        <v>29</v>
      </c>
      <c r="B2920" s="553">
        <v>2</v>
      </c>
      <c r="C2920" s="553">
        <v>2</v>
      </c>
      <c r="D2920" s="553">
        <v>1</v>
      </c>
      <c r="E2920" s="553">
        <v>1</v>
      </c>
      <c r="F2920" s="553">
        <v>2</v>
      </c>
      <c r="G2920" s="502" t="s">
        <v>488</v>
      </c>
      <c r="H2920" s="553">
        <v>1321.115</v>
      </c>
      <c r="I2920" s="553">
        <v>0</v>
      </c>
      <c r="J2920" s="553">
        <v>0</v>
      </c>
      <c r="K2920" s="553">
        <v>40</v>
      </c>
      <c r="L2920" s="553">
        <v>4</v>
      </c>
      <c r="M2920" s="505" t="s">
        <v>137</v>
      </c>
      <c r="N2920" s="500">
        <v>43047556940000</v>
      </c>
      <c r="O2920" s="553" t="s">
        <v>3631</v>
      </c>
      <c r="P2920" s="650" t="s">
        <v>3637</v>
      </c>
      <c r="Q2920" s="564"/>
      <c r="R2920" s="564">
        <v>1</v>
      </c>
    </row>
    <row r="2921" spans="1:18" x14ac:dyDescent="0.25">
      <c r="A2921" s="553">
        <v>29</v>
      </c>
      <c r="B2921" s="553">
        <v>2</v>
      </c>
      <c r="C2921" s="553">
        <v>2</v>
      </c>
      <c r="D2921" s="553">
        <v>1</v>
      </c>
      <c r="E2921" s="553">
        <v>1</v>
      </c>
      <c r="F2921" s="553">
        <v>2</v>
      </c>
      <c r="G2921" s="553" t="s">
        <v>490</v>
      </c>
      <c r="H2921" s="553">
        <v>1321.115</v>
      </c>
      <c r="I2921" s="553">
        <v>0</v>
      </c>
      <c r="J2921" s="553">
        <v>0</v>
      </c>
      <c r="K2921" s="553">
        <v>40</v>
      </c>
      <c r="L2921" s="553">
        <v>4</v>
      </c>
      <c r="M2921" s="505" t="s">
        <v>137</v>
      </c>
      <c r="N2921" s="500">
        <v>43047556940000</v>
      </c>
      <c r="O2921" s="553" t="s">
        <v>3631</v>
      </c>
      <c r="P2921" s="650" t="s">
        <v>3638</v>
      </c>
      <c r="Q2921" s="564"/>
      <c r="R2921" s="564">
        <v>1</v>
      </c>
    </row>
    <row r="2922" spans="1:18" x14ac:dyDescent="0.25">
      <c r="A2922" s="553">
        <v>29</v>
      </c>
      <c r="B2922" s="553">
        <v>2</v>
      </c>
      <c r="C2922" s="553">
        <v>2</v>
      </c>
      <c r="D2922" s="553">
        <v>1</v>
      </c>
      <c r="E2922" s="553">
        <v>1</v>
      </c>
      <c r="F2922" s="553">
        <v>2</v>
      </c>
      <c r="G2922" s="553" t="s">
        <v>493</v>
      </c>
      <c r="H2922" s="553">
        <v>1321.115</v>
      </c>
      <c r="I2922" s="553">
        <v>0</v>
      </c>
      <c r="J2922" s="553">
        <v>0</v>
      </c>
      <c r="K2922" s="553">
        <v>40</v>
      </c>
      <c r="L2922" s="553">
        <v>4</v>
      </c>
      <c r="M2922" s="505" t="s">
        <v>137</v>
      </c>
      <c r="N2922" s="500">
        <v>43047556940000</v>
      </c>
      <c r="O2922" s="553" t="s">
        <v>3631</v>
      </c>
      <c r="P2922" s="650" t="s">
        <v>3639</v>
      </c>
      <c r="Q2922" s="564"/>
      <c r="R2922" s="564">
        <v>1</v>
      </c>
    </row>
    <row r="2923" spans="1:18" x14ac:dyDescent="0.25">
      <c r="A2923" s="553">
        <v>29</v>
      </c>
      <c r="B2923" s="553">
        <v>2</v>
      </c>
      <c r="C2923" s="553">
        <v>2</v>
      </c>
      <c r="D2923" s="553">
        <v>1</v>
      </c>
      <c r="E2923" s="553">
        <v>1</v>
      </c>
      <c r="F2923" s="553">
        <v>2</v>
      </c>
      <c r="G2923" s="553" t="s">
        <v>474</v>
      </c>
      <c r="H2923" s="553">
        <v>1305.595</v>
      </c>
      <c r="I2923" s="553">
        <v>89</v>
      </c>
      <c r="J2923" s="553">
        <v>57</v>
      </c>
      <c r="K2923" s="553">
        <v>9</v>
      </c>
      <c r="L2923" s="553">
        <v>4</v>
      </c>
      <c r="M2923" s="505" t="s">
        <v>137</v>
      </c>
      <c r="N2923" s="500">
        <v>43047556940000</v>
      </c>
      <c r="O2923" s="553" t="s">
        <v>3631</v>
      </c>
      <c r="P2923" s="650" t="s">
        <v>3640</v>
      </c>
      <c r="Q2923" s="564"/>
      <c r="R2923" s="564">
        <v>1</v>
      </c>
    </row>
    <row r="2924" spans="1:18" x14ac:dyDescent="0.25">
      <c r="A2924" s="553">
        <v>29</v>
      </c>
      <c r="B2924" s="553">
        <v>2</v>
      </c>
      <c r="C2924" s="553">
        <v>2</v>
      </c>
      <c r="D2924" s="553">
        <v>1</v>
      </c>
      <c r="E2924" s="553">
        <v>1</v>
      </c>
      <c r="F2924" s="553">
        <v>2</v>
      </c>
      <c r="G2924" s="502" t="s">
        <v>477</v>
      </c>
      <c r="H2924" s="553">
        <v>1305.595</v>
      </c>
      <c r="I2924" s="553">
        <v>89</v>
      </c>
      <c r="J2924" s="553">
        <v>57</v>
      </c>
      <c r="K2924" s="553">
        <v>9</v>
      </c>
      <c r="L2924" s="553">
        <v>4</v>
      </c>
      <c r="M2924" s="505" t="s">
        <v>137</v>
      </c>
      <c r="N2924" s="500">
        <v>43047556940000</v>
      </c>
      <c r="O2924" s="553" t="s">
        <v>3631</v>
      </c>
      <c r="P2924" s="650" t="s">
        <v>3641</v>
      </c>
      <c r="Q2924" s="564"/>
      <c r="R2924" s="564">
        <v>1</v>
      </c>
    </row>
    <row r="2925" spans="1:18" x14ac:dyDescent="0.25">
      <c r="A2925" s="553">
        <v>29</v>
      </c>
      <c r="B2925" s="553">
        <v>2</v>
      </c>
      <c r="C2925" s="553">
        <v>2</v>
      </c>
      <c r="D2925" s="553">
        <v>1</v>
      </c>
      <c r="E2925" s="553">
        <v>1</v>
      </c>
      <c r="F2925" s="553">
        <v>2</v>
      </c>
      <c r="G2925" s="553" t="s">
        <v>479</v>
      </c>
      <c r="H2925" s="553">
        <v>1318.4749999999999</v>
      </c>
      <c r="I2925" s="553">
        <v>89</v>
      </c>
      <c r="J2925" s="553">
        <v>51</v>
      </c>
      <c r="K2925" s="553">
        <v>31</v>
      </c>
      <c r="L2925" s="553">
        <v>4</v>
      </c>
      <c r="M2925" s="505" t="s">
        <v>137</v>
      </c>
      <c r="N2925" s="500">
        <v>43047556940000</v>
      </c>
      <c r="O2925" s="553" t="s">
        <v>3631</v>
      </c>
      <c r="P2925" s="650" t="s">
        <v>3642</v>
      </c>
      <c r="Q2925" s="564"/>
      <c r="R2925" s="564">
        <v>1</v>
      </c>
    </row>
    <row r="2926" spans="1:18" x14ac:dyDescent="0.25">
      <c r="A2926" s="553">
        <v>29</v>
      </c>
      <c r="B2926" s="553">
        <v>2</v>
      </c>
      <c r="C2926" s="553">
        <v>2</v>
      </c>
      <c r="D2926" s="553">
        <v>1</v>
      </c>
      <c r="E2926" s="553">
        <v>1</v>
      </c>
      <c r="F2926" s="553">
        <v>2</v>
      </c>
      <c r="G2926" s="553" t="s">
        <v>485</v>
      </c>
      <c r="H2926" s="553">
        <v>1318.4749999999999</v>
      </c>
      <c r="I2926" s="553">
        <v>89</v>
      </c>
      <c r="J2926" s="553">
        <v>51</v>
      </c>
      <c r="K2926" s="553">
        <v>31</v>
      </c>
      <c r="L2926" s="553">
        <v>4</v>
      </c>
      <c r="M2926" s="505" t="s">
        <v>137</v>
      </c>
      <c r="N2926" s="500">
        <v>43047556940000</v>
      </c>
      <c r="O2926" s="553" t="s">
        <v>3631</v>
      </c>
      <c r="P2926" s="650" t="s">
        <v>3643</v>
      </c>
      <c r="Q2926" s="564"/>
      <c r="R2926" s="564">
        <v>1</v>
      </c>
    </row>
    <row r="2927" spans="1:18" x14ac:dyDescent="0.25">
      <c r="A2927" s="553">
        <v>29</v>
      </c>
      <c r="B2927" s="553">
        <v>2</v>
      </c>
      <c r="C2927" s="553">
        <v>2</v>
      </c>
      <c r="D2927" s="553">
        <v>1</v>
      </c>
      <c r="E2927" s="553">
        <v>1</v>
      </c>
      <c r="F2927" s="553">
        <v>2</v>
      </c>
      <c r="G2927" s="553" t="s">
        <v>487</v>
      </c>
      <c r="H2927" s="553">
        <v>1320.8050000000001</v>
      </c>
      <c r="I2927" s="553">
        <v>89</v>
      </c>
      <c r="J2927" s="553">
        <v>48</v>
      </c>
      <c r="K2927" s="553">
        <v>53</v>
      </c>
      <c r="L2927" s="553">
        <v>4</v>
      </c>
      <c r="M2927" s="505" t="s">
        <v>137</v>
      </c>
      <c r="N2927" s="500">
        <v>43047556940000</v>
      </c>
      <c r="O2927" s="553" t="s">
        <v>3631</v>
      </c>
      <c r="P2927" s="650" t="s">
        <v>3644</v>
      </c>
      <c r="Q2927" s="564"/>
      <c r="R2927" s="564">
        <v>1</v>
      </c>
    </row>
    <row r="2928" spans="1:18" x14ac:dyDescent="0.25">
      <c r="A2928" s="553">
        <v>29</v>
      </c>
      <c r="B2928" s="553">
        <v>2</v>
      </c>
      <c r="C2928" s="553">
        <v>2</v>
      </c>
      <c r="D2928" s="553">
        <v>1</v>
      </c>
      <c r="E2928" s="553">
        <v>1</v>
      </c>
      <c r="F2928" s="553">
        <v>2</v>
      </c>
      <c r="G2928" s="502" t="s">
        <v>489</v>
      </c>
      <c r="H2928" s="553">
        <v>1320.8050000000001</v>
      </c>
      <c r="I2928" s="553">
        <v>89</v>
      </c>
      <c r="J2928" s="553">
        <v>48</v>
      </c>
      <c r="K2928" s="553">
        <v>53</v>
      </c>
      <c r="L2928" s="553">
        <v>4</v>
      </c>
      <c r="M2928" s="505" t="s">
        <v>137</v>
      </c>
      <c r="N2928" s="500">
        <v>43047556940000</v>
      </c>
      <c r="O2928" s="553" t="s">
        <v>3631</v>
      </c>
      <c r="P2928" s="650" t="s">
        <v>3645</v>
      </c>
      <c r="Q2928" s="564"/>
      <c r="R2928" s="564">
        <v>1</v>
      </c>
    </row>
    <row r="2929" spans="1:18" x14ac:dyDescent="0.25">
      <c r="A2929" s="553">
        <v>29</v>
      </c>
      <c r="B2929" s="553">
        <v>2</v>
      </c>
      <c r="C2929" s="553">
        <v>2</v>
      </c>
      <c r="D2929" s="553">
        <v>1</v>
      </c>
      <c r="E2929" s="553">
        <v>1</v>
      </c>
      <c r="F2929" s="553">
        <v>2</v>
      </c>
      <c r="G2929" s="553" t="s">
        <v>491</v>
      </c>
      <c r="H2929" s="553">
        <v>1320.8050000000001</v>
      </c>
      <c r="I2929" s="553">
        <v>89</v>
      </c>
      <c r="J2929" s="553">
        <v>48</v>
      </c>
      <c r="K2929" s="553">
        <v>53</v>
      </c>
      <c r="L2929" s="553">
        <v>4</v>
      </c>
      <c r="M2929" s="505" t="s">
        <v>137</v>
      </c>
      <c r="N2929" s="500">
        <v>43047556940000</v>
      </c>
      <c r="O2929" s="553" t="s">
        <v>3631</v>
      </c>
      <c r="P2929" s="650" t="s">
        <v>3646</v>
      </c>
      <c r="Q2929" s="564"/>
      <c r="R2929" s="564">
        <v>1</v>
      </c>
    </row>
    <row r="2930" spans="1:18" x14ac:dyDescent="0.25">
      <c r="A2930" s="553">
        <v>29</v>
      </c>
      <c r="B2930" s="553">
        <v>2</v>
      </c>
      <c r="C2930" s="553">
        <v>2</v>
      </c>
      <c r="D2930" s="553">
        <v>1</v>
      </c>
      <c r="E2930" s="553">
        <v>1</v>
      </c>
      <c r="F2930" s="553">
        <v>2</v>
      </c>
      <c r="G2930" s="553" t="s">
        <v>494</v>
      </c>
      <c r="H2930" s="553">
        <v>1320.8050000000001</v>
      </c>
      <c r="I2930" s="553">
        <v>89</v>
      </c>
      <c r="J2930" s="553">
        <v>48</v>
      </c>
      <c r="K2930" s="553">
        <v>53</v>
      </c>
      <c r="L2930" s="553">
        <v>4</v>
      </c>
      <c r="M2930" s="505" t="s">
        <v>137</v>
      </c>
      <c r="N2930" s="500">
        <v>43047556940000</v>
      </c>
      <c r="O2930" s="553" t="s">
        <v>3631</v>
      </c>
      <c r="P2930" s="650" t="s">
        <v>3647</v>
      </c>
      <c r="Q2930" s="564"/>
      <c r="R2930" s="564">
        <v>1</v>
      </c>
    </row>
    <row r="2931" spans="1:18" x14ac:dyDescent="0.25">
      <c r="A2931" s="553">
        <v>29</v>
      </c>
      <c r="B2931" s="553">
        <v>2</v>
      </c>
      <c r="C2931" s="553">
        <v>2</v>
      </c>
      <c r="D2931" s="553">
        <v>3</v>
      </c>
      <c r="E2931" s="553">
        <v>2</v>
      </c>
      <c r="F2931" s="553">
        <v>2</v>
      </c>
      <c r="G2931" s="553" t="s">
        <v>473</v>
      </c>
      <c r="H2931" s="553">
        <v>1303.1424999999999</v>
      </c>
      <c r="I2931" s="553">
        <v>0</v>
      </c>
      <c r="J2931" s="553">
        <v>12</v>
      </c>
      <c r="K2931" s="553">
        <v>50</v>
      </c>
      <c r="L2931" s="553">
        <v>4</v>
      </c>
      <c r="M2931" s="505" t="s">
        <v>137</v>
      </c>
      <c r="N2931" s="500">
        <v>43013533700000</v>
      </c>
      <c r="O2931" s="553" t="s">
        <v>3648</v>
      </c>
      <c r="P2931" s="650" t="s">
        <v>3649</v>
      </c>
      <c r="Q2931" s="564"/>
      <c r="R2931" s="564">
        <v>2</v>
      </c>
    </row>
    <row r="2932" spans="1:18" x14ac:dyDescent="0.25">
      <c r="A2932" s="553">
        <v>29</v>
      </c>
      <c r="B2932" s="553">
        <v>2</v>
      </c>
      <c r="C2932" s="553">
        <v>2</v>
      </c>
      <c r="D2932" s="553">
        <v>3</v>
      </c>
      <c r="E2932" s="553">
        <v>2</v>
      </c>
      <c r="F2932" s="553">
        <v>2</v>
      </c>
      <c r="G2932" s="502" t="s">
        <v>476</v>
      </c>
      <c r="H2932" s="553">
        <v>1303.1424999999999</v>
      </c>
      <c r="I2932" s="553">
        <v>0</v>
      </c>
      <c r="J2932" s="553">
        <v>12</v>
      </c>
      <c r="K2932" s="553">
        <v>50</v>
      </c>
      <c r="L2932" s="553">
        <v>4</v>
      </c>
      <c r="M2932" s="505" t="s">
        <v>137</v>
      </c>
      <c r="N2932" s="500">
        <v>43013533700000</v>
      </c>
      <c r="O2932" s="553" t="s">
        <v>3648</v>
      </c>
      <c r="P2932" s="650" t="s">
        <v>3650</v>
      </c>
      <c r="Q2932" s="564"/>
      <c r="R2932" s="564">
        <v>2</v>
      </c>
    </row>
    <row r="2933" spans="1:18" x14ac:dyDescent="0.25">
      <c r="A2933" s="553">
        <v>29</v>
      </c>
      <c r="B2933" s="553">
        <v>2</v>
      </c>
      <c r="C2933" s="553">
        <v>2</v>
      </c>
      <c r="D2933" s="553">
        <v>3</v>
      </c>
      <c r="E2933" s="553">
        <v>2</v>
      </c>
      <c r="F2933" s="553">
        <v>2</v>
      </c>
      <c r="G2933" s="553" t="s">
        <v>478</v>
      </c>
      <c r="H2933" s="553">
        <v>1303.1424999999999</v>
      </c>
      <c r="I2933" s="553">
        <v>0</v>
      </c>
      <c r="J2933" s="553">
        <v>12</v>
      </c>
      <c r="K2933" s="553">
        <v>50</v>
      </c>
      <c r="L2933" s="553">
        <v>4</v>
      </c>
      <c r="M2933" s="505" t="s">
        <v>137</v>
      </c>
      <c r="N2933" s="500">
        <v>43013533700000</v>
      </c>
      <c r="O2933" s="553" t="s">
        <v>3648</v>
      </c>
      <c r="P2933" s="650" t="s">
        <v>3651</v>
      </c>
      <c r="Q2933" s="564"/>
      <c r="R2933" s="564">
        <v>2</v>
      </c>
    </row>
    <row r="2934" spans="1:18" x14ac:dyDescent="0.25">
      <c r="A2934" s="553">
        <v>29</v>
      </c>
      <c r="B2934" s="553">
        <v>2</v>
      </c>
      <c r="C2934" s="553">
        <v>2</v>
      </c>
      <c r="D2934" s="553">
        <v>3</v>
      </c>
      <c r="E2934" s="553">
        <v>2</v>
      </c>
      <c r="F2934" s="553">
        <v>2</v>
      </c>
      <c r="G2934" s="553" t="s">
        <v>484</v>
      </c>
      <c r="H2934" s="553">
        <v>1303.1424999999999</v>
      </c>
      <c r="I2934" s="553">
        <v>0</v>
      </c>
      <c r="J2934" s="553">
        <v>12</v>
      </c>
      <c r="K2934" s="553">
        <v>50</v>
      </c>
      <c r="L2934" s="553">
        <v>4</v>
      </c>
      <c r="M2934" s="505" t="s">
        <v>137</v>
      </c>
      <c r="N2934" s="500">
        <v>43013533700000</v>
      </c>
      <c r="O2934" s="553" t="s">
        <v>3648</v>
      </c>
      <c r="P2934" s="650" t="s">
        <v>3652</v>
      </c>
      <c r="Q2934" s="564"/>
      <c r="R2934" s="564">
        <v>2</v>
      </c>
    </row>
    <row r="2935" spans="1:18" x14ac:dyDescent="0.25">
      <c r="A2935" s="553">
        <v>29</v>
      </c>
      <c r="B2935" s="553">
        <v>2</v>
      </c>
      <c r="C2935" s="553">
        <v>2</v>
      </c>
      <c r="D2935" s="553">
        <v>3</v>
      </c>
      <c r="E2935" s="553">
        <v>2</v>
      </c>
      <c r="F2935" s="553">
        <v>2</v>
      </c>
      <c r="G2935" s="553" t="s">
        <v>486</v>
      </c>
      <c r="H2935" s="553">
        <v>1325.5725</v>
      </c>
      <c r="I2935" s="553">
        <v>0</v>
      </c>
      <c r="J2935" s="553">
        <v>5</v>
      </c>
      <c r="K2935" s="553">
        <v>57</v>
      </c>
      <c r="L2935" s="553">
        <v>3</v>
      </c>
      <c r="M2935" s="505" t="s">
        <v>137</v>
      </c>
      <c r="N2935" s="500">
        <v>43013533700000</v>
      </c>
      <c r="O2935" s="553" t="s">
        <v>3648</v>
      </c>
      <c r="P2935" s="650" t="s">
        <v>3653</v>
      </c>
      <c r="Q2935" s="564"/>
      <c r="R2935" s="564">
        <v>2</v>
      </c>
    </row>
    <row r="2936" spans="1:18" x14ac:dyDescent="0.25">
      <c r="A2936" s="553">
        <v>29</v>
      </c>
      <c r="B2936" s="553">
        <v>2</v>
      </c>
      <c r="C2936" s="553">
        <v>2</v>
      </c>
      <c r="D2936" s="553">
        <v>3</v>
      </c>
      <c r="E2936" s="553">
        <v>2</v>
      </c>
      <c r="F2936" s="553">
        <v>2</v>
      </c>
      <c r="G2936" s="502" t="s">
        <v>488</v>
      </c>
      <c r="H2936" s="553">
        <v>1325.5725</v>
      </c>
      <c r="I2936" s="553">
        <v>0</v>
      </c>
      <c r="J2936" s="553">
        <v>5</v>
      </c>
      <c r="K2936" s="553">
        <v>57</v>
      </c>
      <c r="L2936" s="553">
        <v>3</v>
      </c>
      <c r="M2936" s="505" t="s">
        <v>137</v>
      </c>
      <c r="N2936" s="500">
        <v>43013533700000</v>
      </c>
      <c r="O2936" s="553" t="s">
        <v>3648</v>
      </c>
      <c r="P2936" s="650" t="s">
        <v>3654</v>
      </c>
      <c r="Q2936" s="564"/>
      <c r="R2936" s="564">
        <v>2</v>
      </c>
    </row>
    <row r="2937" spans="1:18" x14ac:dyDescent="0.25">
      <c r="A2937" s="553">
        <v>29</v>
      </c>
      <c r="B2937" s="553">
        <v>2</v>
      </c>
      <c r="C2937" s="553">
        <v>2</v>
      </c>
      <c r="D2937" s="553">
        <v>3</v>
      </c>
      <c r="E2937" s="553">
        <v>2</v>
      </c>
      <c r="F2937" s="553">
        <v>2</v>
      </c>
      <c r="G2937" s="553" t="s">
        <v>490</v>
      </c>
      <c r="H2937" s="553">
        <v>1325.5725</v>
      </c>
      <c r="I2937" s="553">
        <v>0</v>
      </c>
      <c r="J2937" s="553">
        <v>5</v>
      </c>
      <c r="K2937" s="553">
        <v>57</v>
      </c>
      <c r="L2937" s="553">
        <v>3</v>
      </c>
      <c r="M2937" s="505" t="s">
        <v>137</v>
      </c>
      <c r="N2937" s="500">
        <v>43013533700000</v>
      </c>
      <c r="O2937" s="553" t="s">
        <v>3648</v>
      </c>
      <c r="P2937" s="650" t="s">
        <v>3655</v>
      </c>
      <c r="Q2937" s="564"/>
      <c r="R2937" s="564">
        <v>2</v>
      </c>
    </row>
    <row r="2938" spans="1:18" x14ac:dyDescent="0.25">
      <c r="A2938" s="553">
        <v>29</v>
      </c>
      <c r="B2938" s="553">
        <v>2</v>
      </c>
      <c r="C2938" s="553">
        <v>2</v>
      </c>
      <c r="D2938" s="553">
        <v>3</v>
      </c>
      <c r="E2938" s="553">
        <v>2</v>
      </c>
      <c r="F2938" s="553">
        <v>2</v>
      </c>
      <c r="G2938" s="553" t="s">
        <v>493</v>
      </c>
      <c r="H2938" s="553">
        <v>1325.5725</v>
      </c>
      <c r="I2938" s="553">
        <v>0</v>
      </c>
      <c r="J2938" s="553">
        <v>5</v>
      </c>
      <c r="K2938" s="553">
        <v>57</v>
      </c>
      <c r="L2938" s="553">
        <v>3</v>
      </c>
      <c r="M2938" s="505" t="s">
        <v>137</v>
      </c>
      <c r="N2938" s="500">
        <v>43013533700000</v>
      </c>
      <c r="O2938" s="553" t="s">
        <v>3648</v>
      </c>
      <c r="P2938" s="650" t="s">
        <v>3656</v>
      </c>
      <c r="Q2938" s="564"/>
      <c r="R2938" s="564">
        <v>2</v>
      </c>
    </row>
    <row r="2939" spans="1:18" x14ac:dyDescent="0.25">
      <c r="A2939" s="553">
        <v>29</v>
      </c>
      <c r="B2939" s="553">
        <v>2</v>
      </c>
      <c r="C2939" s="553">
        <v>2</v>
      </c>
      <c r="D2939" s="553">
        <v>3</v>
      </c>
      <c r="E2939" s="553">
        <v>2</v>
      </c>
      <c r="F2939" s="553">
        <v>2</v>
      </c>
      <c r="G2939" s="553" t="s">
        <v>474</v>
      </c>
      <c r="H2939" s="553">
        <v>1325.66</v>
      </c>
      <c r="I2939" s="553">
        <v>88</v>
      </c>
      <c r="J2939" s="553">
        <v>57</v>
      </c>
      <c r="K2939" s="553">
        <v>0</v>
      </c>
      <c r="L2939" s="553">
        <v>2</v>
      </c>
      <c r="M2939" s="505" t="s">
        <v>137</v>
      </c>
      <c r="N2939" s="500">
        <v>43013533700000</v>
      </c>
      <c r="O2939" s="553" t="s">
        <v>3648</v>
      </c>
      <c r="P2939" s="650" t="s">
        <v>3657</v>
      </c>
      <c r="Q2939" s="564"/>
      <c r="R2939" s="564">
        <v>2</v>
      </c>
    </row>
    <row r="2940" spans="1:18" x14ac:dyDescent="0.25">
      <c r="A2940" s="553">
        <v>29</v>
      </c>
      <c r="B2940" s="553">
        <v>2</v>
      </c>
      <c r="C2940" s="553">
        <v>2</v>
      </c>
      <c r="D2940" s="553">
        <v>3</v>
      </c>
      <c r="E2940" s="553">
        <v>2</v>
      </c>
      <c r="F2940" s="553">
        <v>2</v>
      </c>
      <c r="G2940" s="502" t="s">
        <v>477</v>
      </c>
      <c r="H2940" s="553">
        <v>1325.666666666667</v>
      </c>
      <c r="I2940" s="553">
        <v>88</v>
      </c>
      <c r="J2940" s="553">
        <v>57</v>
      </c>
      <c r="K2940" s="553">
        <v>0</v>
      </c>
      <c r="L2940" s="553">
        <v>2</v>
      </c>
      <c r="M2940" s="505" t="s">
        <v>137</v>
      </c>
      <c r="N2940" s="500">
        <v>43013533700000</v>
      </c>
      <c r="O2940" s="553" t="s">
        <v>3648</v>
      </c>
      <c r="P2940" s="650" t="s">
        <v>3658</v>
      </c>
      <c r="Q2940" s="564"/>
      <c r="R2940" s="564">
        <v>2</v>
      </c>
    </row>
    <row r="2941" spans="1:18" x14ac:dyDescent="0.25">
      <c r="A2941" s="553">
        <v>29</v>
      </c>
      <c r="B2941" s="553">
        <v>2</v>
      </c>
      <c r="C2941" s="553">
        <v>2</v>
      </c>
      <c r="D2941" s="553">
        <v>3</v>
      </c>
      <c r="E2941" s="553">
        <v>2</v>
      </c>
      <c r="F2941" s="553">
        <v>2</v>
      </c>
      <c r="G2941" s="553" t="s">
        <v>479</v>
      </c>
      <c r="H2941" s="553">
        <v>1325.666666666667</v>
      </c>
      <c r="I2941" s="553">
        <v>88</v>
      </c>
      <c r="J2941" s="553">
        <v>57</v>
      </c>
      <c r="K2941" s="553">
        <v>0</v>
      </c>
      <c r="L2941" s="553">
        <v>2</v>
      </c>
      <c r="M2941" s="505" t="s">
        <v>137</v>
      </c>
      <c r="N2941" s="500">
        <v>43013533700000</v>
      </c>
      <c r="O2941" s="553" t="s">
        <v>3648</v>
      </c>
      <c r="P2941" s="650" t="s">
        <v>3659</v>
      </c>
      <c r="Q2941" s="564"/>
      <c r="R2941" s="564">
        <v>2</v>
      </c>
    </row>
    <row r="2942" spans="1:18" x14ac:dyDescent="0.25">
      <c r="A2942" s="553">
        <v>29</v>
      </c>
      <c r="B2942" s="553">
        <v>2</v>
      </c>
      <c r="C2942" s="553">
        <v>2</v>
      </c>
      <c r="D2942" s="553">
        <v>3</v>
      </c>
      <c r="E2942" s="553">
        <v>2</v>
      </c>
      <c r="F2942" s="553">
        <v>2</v>
      </c>
      <c r="G2942" s="553" t="s">
        <v>485</v>
      </c>
      <c r="H2942" s="553">
        <v>1325.666666666667</v>
      </c>
      <c r="I2942" s="553">
        <v>88</v>
      </c>
      <c r="J2942" s="553">
        <v>57</v>
      </c>
      <c r="K2942" s="553">
        <v>0</v>
      </c>
      <c r="L2942" s="553">
        <v>2</v>
      </c>
      <c r="M2942" s="505" t="s">
        <v>137</v>
      </c>
      <c r="N2942" s="500">
        <v>43013533700000</v>
      </c>
      <c r="O2942" s="553" t="s">
        <v>3648</v>
      </c>
      <c r="P2942" s="650" t="s">
        <v>3660</v>
      </c>
      <c r="Q2942" s="564"/>
      <c r="R2942" s="564">
        <v>2</v>
      </c>
    </row>
    <row r="2943" spans="1:18" x14ac:dyDescent="0.25">
      <c r="A2943" s="553">
        <v>29</v>
      </c>
      <c r="B2943" s="553">
        <v>2</v>
      </c>
      <c r="C2943" s="553">
        <v>2</v>
      </c>
      <c r="D2943" s="553">
        <v>3</v>
      </c>
      <c r="E2943" s="553">
        <v>2</v>
      </c>
      <c r="F2943" s="553">
        <v>2</v>
      </c>
      <c r="G2943" s="553" t="s">
        <v>487</v>
      </c>
      <c r="H2943" s="553">
        <v>1318.2874999999999</v>
      </c>
      <c r="I2943" s="553">
        <v>89</v>
      </c>
      <c r="J2943" s="553">
        <v>55</v>
      </c>
      <c r="K2943" s="553">
        <v>10</v>
      </c>
      <c r="L2943" s="553">
        <v>3</v>
      </c>
      <c r="M2943" s="505" t="s">
        <v>137</v>
      </c>
      <c r="N2943" s="500">
        <v>43013533700000</v>
      </c>
      <c r="O2943" s="553" t="s">
        <v>3648</v>
      </c>
      <c r="P2943" s="650" t="s">
        <v>3661</v>
      </c>
      <c r="Q2943" s="564"/>
      <c r="R2943" s="564">
        <v>2</v>
      </c>
    </row>
    <row r="2944" spans="1:18" x14ac:dyDescent="0.25">
      <c r="A2944" s="553">
        <v>29</v>
      </c>
      <c r="B2944" s="553">
        <v>2</v>
      </c>
      <c r="C2944" s="553">
        <v>2</v>
      </c>
      <c r="D2944" s="553">
        <v>3</v>
      </c>
      <c r="E2944" s="553">
        <v>2</v>
      </c>
      <c r="F2944" s="553">
        <v>2</v>
      </c>
      <c r="G2944" s="502" t="s">
        <v>489</v>
      </c>
      <c r="H2944" s="553">
        <v>1318.2874999999999</v>
      </c>
      <c r="I2944" s="553">
        <v>89</v>
      </c>
      <c r="J2944" s="553">
        <v>55</v>
      </c>
      <c r="K2944" s="553">
        <v>10</v>
      </c>
      <c r="L2944" s="553">
        <v>3</v>
      </c>
      <c r="M2944" s="505" t="s">
        <v>137</v>
      </c>
      <c r="N2944" s="500">
        <v>43013533700000</v>
      </c>
      <c r="O2944" s="553" t="s">
        <v>3648</v>
      </c>
      <c r="P2944" s="650" t="s">
        <v>3662</v>
      </c>
      <c r="Q2944" s="564"/>
      <c r="R2944" s="564">
        <v>2</v>
      </c>
    </row>
    <row r="2945" spans="1:18" x14ac:dyDescent="0.25">
      <c r="A2945" s="553">
        <v>29</v>
      </c>
      <c r="B2945" s="553">
        <v>2</v>
      </c>
      <c r="C2945" s="553">
        <v>2</v>
      </c>
      <c r="D2945" s="553">
        <v>3</v>
      </c>
      <c r="E2945" s="553">
        <v>2</v>
      </c>
      <c r="F2945" s="553">
        <v>2</v>
      </c>
      <c r="G2945" s="553" t="s">
        <v>491</v>
      </c>
      <c r="H2945" s="553">
        <v>1318.2874999999999</v>
      </c>
      <c r="I2945" s="553">
        <v>89</v>
      </c>
      <c r="J2945" s="553">
        <v>55</v>
      </c>
      <c r="K2945" s="553">
        <v>10</v>
      </c>
      <c r="L2945" s="553">
        <v>3</v>
      </c>
      <c r="M2945" s="505" t="s">
        <v>137</v>
      </c>
      <c r="N2945" s="500">
        <v>43013533700000</v>
      </c>
      <c r="O2945" s="553" t="s">
        <v>3648</v>
      </c>
      <c r="P2945" s="650" t="s">
        <v>3663</v>
      </c>
      <c r="Q2945" s="564"/>
      <c r="R2945" s="564">
        <v>2</v>
      </c>
    </row>
    <row r="2946" spans="1:18" x14ac:dyDescent="0.25">
      <c r="A2946" s="553">
        <v>29</v>
      </c>
      <c r="B2946" s="553">
        <v>2</v>
      </c>
      <c r="C2946" s="553">
        <v>2</v>
      </c>
      <c r="D2946" s="553">
        <v>3</v>
      </c>
      <c r="E2946" s="553">
        <v>2</v>
      </c>
      <c r="F2946" s="553">
        <v>2</v>
      </c>
      <c r="G2946" s="553" t="s">
        <v>494</v>
      </c>
      <c r="H2946" s="553">
        <v>1318.2874999999999</v>
      </c>
      <c r="I2946" s="553">
        <v>89</v>
      </c>
      <c r="J2946" s="553">
        <v>55</v>
      </c>
      <c r="K2946" s="553">
        <v>10</v>
      </c>
      <c r="L2946" s="553">
        <v>3</v>
      </c>
      <c r="M2946" s="505" t="s">
        <v>137</v>
      </c>
      <c r="N2946" s="500">
        <v>43013533700000</v>
      </c>
      <c r="O2946" s="553" t="s">
        <v>3648</v>
      </c>
      <c r="P2946" s="650" t="s">
        <v>3664</v>
      </c>
      <c r="Q2946" s="564"/>
      <c r="R2946" s="564">
        <v>2</v>
      </c>
    </row>
    <row r="2947" spans="1:18" s="498" customFormat="1" x14ac:dyDescent="0.25">
      <c r="A2947" s="553">
        <v>29</v>
      </c>
      <c r="B2947" s="553">
        <v>3</v>
      </c>
      <c r="C2947" s="553">
        <v>2</v>
      </c>
      <c r="D2947" s="553">
        <v>1</v>
      </c>
      <c r="E2947" s="553">
        <v>1</v>
      </c>
      <c r="F2947" s="553">
        <v>2</v>
      </c>
      <c r="G2947" s="553" t="s">
        <v>473</v>
      </c>
      <c r="H2947" s="553">
        <v>1314.5274999999999</v>
      </c>
      <c r="I2947" s="553">
        <v>0</v>
      </c>
      <c r="J2947" s="553">
        <v>50</v>
      </c>
      <c r="K2947" s="553">
        <v>14</v>
      </c>
      <c r="L2947" s="553">
        <v>4</v>
      </c>
      <c r="M2947" s="505" t="s">
        <v>312</v>
      </c>
      <c r="N2947" s="500">
        <v>43047560540000</v>
      </c>
      <c r="O2947" s="553" t="s">
        <v>3665</v>
      </c>
      <c r="P2947" s="650" t="s">
        <v>3666</v>
      </c>
      <c r="Q2947" s="564"/>
      <c r="R2947" s="564">
        <v>1</v>
      </c>
    </row>
    <row r="2948" spans="1:18" s="498" customFormat="1" x14ac:dyDescent="0.25">
      <c r="A2948" s="553">
        <v>29</v>
      </c>
      <c r="B2948" s="553">
        <v>3</v>
      </c>
      <c r="C2948" s="553">
        <v>2</v>
      </c>
      <c r="D2948" s="553">
        <v>1</v>
      </c>
      <c r="E2948" s="553">
        <v>1</v>
      </c>
      <c r="F2948" s="553">
        <v>2</v>
      </c>
      <c r="G2948" s="502" t="s">
        <v>476</v>
      </c>
      <c r="H2948" s="553">
        <v>1314.5274999999999</v>
      </c>
      <c r="I2948" s="553">
        <v>0</v>
      </c>
      <c r="J2948" s="553">
        <v>50</v>
      </c>
      <c r="K2948" s="553">
        <v>14</v>
      </c>
      <c r="L2948" s="553">
        <v>4</v>
      </c>
      <c r="M2948" s="505" t="s">
        <v>312</v>
      </c>
      <c r="N2948" s="500">
        <v>43047560540000</v>
      </c>
      <c r="O2948" s="553" t="s">
        <v>3665</v>
      </c>
      <c r="P2948" s="650" t="s">
        <v>3667</v>
      </c>
      <c r="Q2948" s="564"/>
      <c r="R2948" s="564">
        <v>1</v>
      </c>
    </row>
    <row r="2949" spans="1:18" s="498" customFormat="1" x14ac:dyDescent="0.25">
      <c r="A2949" s="553">
        <v>29</v>
      </c>
      <c r="B2949" s="553">
        <v>3</v>
      </c>
      <c r="C2949" s="553">
        <v>2</v>
      </c>
      <c r="D2949" s="553">
        <v>1</v>
      </c>
      <c r="E2949" s="553">
        <v>1</v>
      </c>
      <c r="F2949" s="553">
        <v>2</v>
      </c>
      <c r="G2949" s="553" t="s">
        <v>478</v>
      </c>
      <c r="H2949" s="553">
        <v>1314.5274999999999</v>
      </c>
      <c r="I2949" s="553">
        <v>0</v>
      </c>
      <c r="J2949" s="553">
        <v>50</v>
      </c>
      <c r="K2949" s="553">
        <v>14</v>
      </c>
      <c r="L2949" s="553">
        <v>4</v>
      </c>
      <c r="M2949" s="505" t="s">
        <v>312</v>
      </c>
      <c r="N2949" s="500">
        <v>43047560540000</v>
      </c>
      <c r="O2949" s="553" t="s">
        <v>3665</v>
      </c>
      <c r="P2949" s="650" t="s">
        <v>3668</v>
      </c>
      <c r="Q2949" s="564"/>
      <c r="R2949" s="564">
        <v>1</v>
      </c>
    </row>
    <row r="2950" spans="1:18" s="498" customFormat="1" x14ac:dyDescent="0.25">
      <c r="A2950" s="553">
        <v>29</v>
      </c>
      <c r="B2950" s="553">
        <v>3</v>
      </c>
      <c r="C2950" s="553">
        <v>2</v>
      </c>
      <c r="D2950" s="553">
        <v>1</v>
      </c>
      <c r="E2950" s="553">
        <v>1</v>
      </c>
      <c r="F2950" s="553">
        <v>2</v>
      </c>
      <c r="G2950" s="553" t="s">
        <v>484</v>
      </c>
      <c r="H2950" s="553">
        <v>1314.5274999999999</v>
      </c>
      <c r="I2950" s="553">
        <v>0</v>
      </c>
      <c r="J2950" s="553">
        <v>50</v>
      </c>
      <c r="K2950" s="553">
        <v>14</v>
      </c>
      <c r="L2950" s="553">
        <v>4</v>
      </c>
      <c r="M2950" s="505" t="s">
        <v>312</v>
      </c>
      <c r="N2950" s="500">
        <v>43047560540000</v>
      </c>
      <c r="O2950" s="553" t="s">
        <v>3665</v>
      </c>
      <c r="P2950" s="650" t="s">
        <v>3669</v>
      </c>
      <c r="Q2950" s="564"/>
      <c r="R2950" s="564">
        <v>1</v>
      </c>
    </row>
    <row r="2951" spans="1:18" s="498" customFormat="1" x14ac:dyDescent="0.25">
      <c r="A2951" s="553">
        <v>29</v>
      </c>
      <c r="B2951" s="553">
        <v>3</v>
      </c>
      <c r="C2951" s="553">
        <v>2</v>
      </c>
      <c r="D2951" s="553">
        <v>1</v>
      </c>
      <c r="E2951" s="553">
        <v>1</v>
      </c>
      <c r="F2951" s="553">
        <v>2</v>
      </c>
      <c r="G2951" s="553" t="s">
        <v>486</v>
      </c>
      <c r="H2951" s="553">
        <v>1318.4675</v>
      </c>
      <c r="I2951" s="553">
        <v>1</v>
      </c>
      <c r="J2951" s="553">
        <v>7</v>
      </c>
      <c r="K2951" s="553">
        <v>31</v>
      </c>
      <c r="L2951" s="553">
        <v>1</v>
      </c>
      <c r="M2951" s="505" t="s">
        <v>312</v>
      </c>
      <c r="N2951" s="500">
        <v>43047560540000</v>
      </c>
      <c r="O2951" s="553" t="s">
        <v>3665</v>
      </c>
      <c r="P2951" s="650" t="s">
        <v>3670</v>
      </c>
      <c r="Q2951" s="564"/>
      <c r="R2951" s="564">
        <v>1</v>
      </c>
    </row>
    <row r="2952" spans="1:18" s="498" customFormat="1" x14ac:dyDescent="0.25">
      <c r="A2952" s="553">
        <v>29</v>
      </c>
      <c r="B2952" s="553">
        <v>3</v>
      </c>
      <c r="C2952" s="553">
        <v>2</v>
      </c>
      <c r="D2952" s="553">
        <v>1</v>
      </c>
      <c r="E2952" s="553">
        <v>1</v>
      </c>
      <c r="F2952" s="553">
        <v>2</v>
      </c>
      <c r="G2952" s="502" t="s">
        <v>488</v>
      </c>
      <c r="H2952" s="553">
        <v>1318.4675</v>
      </c>
      <c r="I2952" s="553">
        <v>1</v>
      </c>
      <c r="J2952" s="553">
        <v>7</v>
      </c>
      <c r="K2952" s="553">
        <v>31</v>
      </c>
      <c r="L2952" s="553">
        <v>1</v>
      </c>
      <c r="M2952" s="505" t="s">
        <v>312</v>
      </c>
      <c r="N2952" s="500">
        <v>43047560540000</v>
      </c>
      <c r="O2952" s="553" t="s">
        <v>3665</v>
      </c>
      <c r="P2952" s="650" t="s">
        <v>3671</v>
      </c>
      <c r="Q2952" s="564"/>
      <c r="R2952" s="564">
        <v>1</v>
      </c>
    </row>
    <row r="2953" spans="1:18" s="498" customFormat="1" x14ac:dyDescent="0.25">
      <c r="A2953" s="553">
        <v>29</v>
      </c>
      <c r="B2953" s="553">
        <v>3</v>
      </c>
      <c r="C2953" s="553">
        <v>2</v>
      </c>
      <c r="D2953" s="553">
        <v>1</v>
      </c>
      <c r="E2953" s="553">
        <v>1</v>
      </c>
      <c r="F2953" s="553">
        <v>2</v>
      </c>
      <c r="G2953" s="553" t="s">
        <v>490</v>
      </c>
      <c r="H2953" s="553">
        <v>1318.4675</v>
      </c>
      <c r="I2953" s="553">
        <v>1</v>
      </c>
      <c r="J2953" s="553">
        <v>7</v>
      </c>
      <c r="K2953" s="553">
        <v>31</v>
      </c>
      <c r="L2953" s="553">
        <v>1</v>
      </c>
      <c r="M2953" s="505" t="s">
        <v>312</v>
      </c>
      <c r="N2953" s="500">
        <v>43047560540000</v>
      </c>
      <c r="O2953" s="553" t="s">
        <v>3665</v>
      </c>
      <c r="P2953" s="650" t="s">
        <v>3672</v>
      </c>
      <c r="Q2953" s="564"/>
      <c r="R2953" s="564">
        <v>1</v>
      </c>
    </row>
    <row r="2954" spans="1:18" s="498" customFormat="1" x14ac:dyDescent="0.25">
      <c r="A2954" s="553">
        <v>29</v>
      </c>
      <c r="B2954" s="553">
        <v>3</v>
      </c>
      <c r="C2954" s="553">
        <v>2</v>
      </c>
      <c r="D2954" s="553">
        <v>1</v>
      </c>
      <c r="E2954" s="553">
        <v>1</v>
      </c>
      <c r="F2954" s="553">
        <v>2</v>
      </c>
      <c r="G2954" s="553" t="s">
        <v>493</v>
      </c>
      <c r="H2954" s="553">
        <v>1318.4675</v>
      </c>
      <c r="I2954" s="553">
        <v>1</v>
      </c>
      <c r="J2954" s="553">
        <v>7</v>
      </c>
      <c r="K2954" s="553">
        <v>31</v>
      </c>
      <c r="L2954" s="553">
        <v>1</v>
      </c>
      <c r="M2954" s="505" t="s">
        <v>312</v>
      </c>
      <c r="N2954" s="500">
        <v>43047560540000</v>
      </c>
      <c r="O2954" s="553" t="s">
        <v>3665</v>
      </c>
      <c r="P2954" s="650" t="s">
        <v>3673</v>
      </c>
      <c r="Q2954" s="564"/>
      <c r="R2954" s="564">
        <v>1</v>
      </c>
    </row>
    <row r="2955" spans="1:18" s="498" customFormat="1" x14ac:dyDescent="0.25">
      <c r="A2955" s="553">
        <v>29</v>
      </c>
      <c r="B2955" s="553">
        <v>3</v>
      </c>
      <c r="C2955" s="553">
        <v>2</v>
      </c>
      <c r="D2955" s="553">
        <v>1</v>
      </c>
      <c r="E2955" s="553">
        <v>1</v>
      </c>
      <c r="F2955" s="553">
        <v>2</v>
      </c>
      <c r="G2955" s="553" t="s">
        <v>474</v>
      </c>
      <c r="H2955" s="553">
        <v>1307.25</v>
      </c>
      <c r="I2955" s="553">
        <v>88</v>
      </c>
      <c r="J2955" s="553">
        <v>53</v>
      </c>
      <c r="K2955" s="553">
        <v>13</v>
      </c>
      <c r="L2955" s="553">
        <v>2</v>
      </c>
      <c r="M2955" s="505" t="s">
        <v>312</v>
      </c>
      <c r="N2955" s="500">
        <v>43047560540000</v>
      </c>
      <c r="O2955" s="553" t="s">
        <v>3665</v>
      </c>
      <c r="P2955" s="650" t="s">
        <v>3674</v>
      </c>
      <c r="Q2955" s="564"/>
      <c r="R2955" s="564">
        <v>1</v>
      </c>
    </row>
    <row r="2956" spans="1:18" s="498" customFormat="1" x14ac:dyDescent="0.25">
      <c r="A2956" s="553">
        <v>29</v>
      </c>
      <c r="B2956" s="553">
        <v>3</v>
      </c>
      <c r="C2956" s="553">
        <v>2</v>
      </c>
      <c r="D2956" s="553">
        <v>1</v>
      </c>
      <c r="E2956" s="553">
        <v>1</v>
      </c>
      <c r="F2956" s="553">
        <v>2</v>
      </c>
      <c r="G2956" s="502" t="s">
        <v>477</v>
      </c>
      <c r="H2956" s="553">
        <v>1307.25</v>
      </c>
      <c r="I2956" s="553">
        <v>88</v>
      </c>
      <c r="J2956" s="553">
        <v>53</v>
      </c>
      <c r="K2956" s="553">
        <v>13</v>
      </c>
      <c r="L2956" s="553">
        <v>2</v>
      </c>
      <c r="M2956" s="505" t="s">
        <v>312</v>
      </c>
      <c r="N2956" s="500">
        <v>43047560540000</v>
      </c>
      <c r="O2956" s="553" t="s">
        <v>3665</v>
      </c>
      <c r="P2956" s="650" t="s">
        <v>3675</v>
      </c>
      <c r="Q2956" s="564"/>
      <c r="R2956" s="564">
        <v>1</v>
      </c>
    </row>
    <row r="2957" spans="1:18" s="498" customFormat="1" x14ac:dyDescent="0.25">
      <c r="A2957" s="553">
        <v>29</v>
      </c>
      <c r="B2957" s="553">
        <v>3</v>
      </c>
      <c r="C2957" s="553">
        <v>2</v>
      </c>
      <c r="D2957" s="553">
        <v>1</v>
      </c>
      <c r="E2957" s="553">
        <v>1</v>
      </c>
      <c r="F2957" s="553">
        <v>2</v>
      </c>
      <c r="G2957" s="553" t="s">
        <v>479</v>
      </c>
      <c r="H2957" s="553">
        <v>1307.25</v>
      </c>
      <c r="I2957" s="553">
        <v>88</v>
      </c>
      <c r="J2957" s="553">
        <v>53</v>
      </c>
      <c r="K2957" s="553">
        <v>13</v>
      </c>
      <c r="L2957" s="553">
        <v>2</v>
      </c>
      <c r="M2957" s="505" t="s">
        <v>312</v>
      </c>
      <c r="N2957" s="500">
        <v>43047560540000</v>
      </c>
      <c r="O2957" s="553" t="s">
        <v>3665</v>
      </c>
      <c r="P2957" s="650" t="s">
        <v>3676</v>
      </c>
      <c r="Q2957" s="564"/>
      <c r="R2957" s="564">
        <v>1</v>
      </c>
    </row>
    <row r="2958" spans="1:18" s="498" customFormat="1" x14ac:dyDescent="0.25">
      <c r="A2958" s="553">
        <v>29</v>
      </c>
      <c r="B2958" s="553">
        <v>3</v>
      </c>
      <c r="C2958" s="553">
        <v>2</v>
      </c>
      <c r="D2958" s="553">
        <v>1</v>
      </c>
      <c r="E2958" s="553">
        <v>1</v>
      </c>
      <c r="F2958" s="553">
        <v>2</v>
      </c>
      <c r="G2958" s="553" t="s">
        <v>485</v>
      </c>
      <c r="H2958" s="553">
        <v>1307.25</v>
      </c>
      <c r="I2958" s="553">
        <v>88</v>
      </c>
      <c r="J2958" s="553">
        <v>53</v>
      </c>
      <c r="K2958" s="553">
        <v>13</v>
      </c>
      <c r="L2958" s="553">
        <v>2</v>
      </c>
      <c r="M2958" s="505" t="s">
        <v>312</v>
      </c>
      <c r="N2958" s="500">
        <v>43047560540000</v>
      </c>
      <c r="O2958" s="553" t="s">
        <v>3665</v>
      </c>
      <c r="P2958" s="650" t="s">
        <v>3677</v>
      </c>
      <c r="Q2958" s="564"/>
      <c r="R2958" s="564">
        <v>1</v>
      </c>
    </row>
    <row r="2959" spans="1:18" s="498" customFormat="1" x14ac:dyDescent="0.25">
      <c r="A2959" s="553">
        <v>29</v>
      </c>
      <c r="B2959" s="553">
        <v>3</v>
      </c>
      <c r="C2959" s="553">
        <v>2</v>
      </c>
      <c r="D2959" s="553">
        <v>1</v>
      </c>
      <c r="E2959" s="553">
        <v>1</v>
      </c>
      <c r="F2959" s="553">
        <v>2</v>
      </c>
      <c r="G2959" s="553" t="s">
        <v>487</v>
      </c>
      <c r="H2959" s="553">
        <v>1313.95</v>
      </c>
      <c r="I2959" s="553">
        <v>89</v>
      </c>
      <c r="J2959" s="553">
        <v>3</v>
      </c>
      <c r="K2959" s="553">
        <v>34</v>
      </c>
      <c r="L2959" s="553">
        <v>2</v>
      </c>
      <c r="M2959" s="505" t="s">
        <v>312</v>
      </c>
      <c r="N2959" s="500">
        <v>43047560540000</v>
      </c>
      <c r="O2959" s="553" t="s">
        <v>3665</v>
      </c>
      <c r="P2959" s="650" t="s">
        <v>3678</v>
      </c>
      <c r="Q2959" s="564"/>
      <c r="R2959" s="564">
        <v>1</v>
      </c>
    </row>
    <row r="2960" spans="1:18" s="498" customFormat="1" x14ac:dyDescent="0.25">
      <c r="A2960" s="553">
        <v>29</v>
      </c>
      <c r="B2960" s="553">
        <v>3</v>
      </c>
      <c r="C2960" s="553">
        <v>2</v>
      </c>
      <c r="D2960" s="553">
        <v>1</v>
      </c>
      <c r="E2960" s="553">
        <v>1</v>
      </c>
      <c r="F2960" s="553">
        <v>2</v>
      </c>
      <c r="G2960" s="502" t="s">
        <v>489</v>
      </c>
      <c r="H2960" s="553">
        <v>1313.95</v>
      </c>
      <c r="I2960" s="553">
        <v>89</v>
      </c>
      <c r="J2960" s="553">
        <v>3</v>
      </c>
      <c r="K2960" s="553">
        <v>34</v>
      </c>
      <c r="L2960" s="553">
        <v>2</v>
      </c>
      <c r="M2960" s="505" t="s">
        <v>312</v>
      </c>
      <c r="N2960" s="500">
        <v>43047560540000</v>
      </c>
      <c r="O2960" s="553" t="s">
        <v>3665</v>
      </c>
      <c r="P2960" s="650" t="s">
        <v>3679</v>
      </c>
      <c r="Q2960" s="564"/>
      <c r="R2960" s="564">
        <v>1</v>
      </c>
    </row>
    <row r="2961" spans="1:18" s="498" customFormat="1" x14ac:dyDescent="0.25">
      <c r="A2961" s="553">
        <v>29</v>
      </c>
      <c r="B2961" s="553">
        <v>3</v>
      </c>
      <c r="C2961" s="553">
        <v>2</v>
      </c>
      <c r="D2961" s="553">
        <v>1</v>
      </c>
      <c r="E2961" s="553">
        <v>1</v>
      </c>
      <c r="F2961" s="553">
        <v>2</v>
      </c>
      <c r="G2961" s="553" t="s">
        <v>491</v>
      </c>
      <c r="H2961" s="553">
        <v>1313.95</v>
      </c>
      <c r="I2961" s="553">
        <v>89</v>
      </c>
      <c r="J2961" s="553">
        <v>3</v>
      </c>
      <c r="K2961" s="553">
        <v>34</v>
      </c>
      <c r="L2961" s="553">
        <v>2</v>
      </c>
      <c r="M2961" s="505" t="s">
        <v>312</v>
      </c>
      <c r="N2961" s="500">
        <v>43047560540000</v>
      </c>
      <c r="O2961" s="553" t="s">
        <v>3665</v>
      </c>
      <c r="P2961" s="650" t="s">
        <v>3680</v>
      </c>
      <c r="Q2961" s="564"/>
      <c r="R2961" s="564">
        <v>1</v>
      </c>
    </row>
    <row r="2962" spans="1:18" s="498" customFormat="1" x14ac:dyDescent="0.25">
      <c r="A2962" s="553">
        <v>29</v>
      </c>
      <c r="B2962" s="553">
        <v>3</v>
      </c>
      <c r="C2962" s="553">
        <v>2</v>
      </c>
      <c r="D2962" s="553">
        <v>1</v>
      </c>
      <c r="E2962" s="553">
        <v>1</v>
      </c>
      <c r="F2962" s="553">
        <v>2</v>
      </c>
      <c r="G2962" s="553" t="s">
        <v>494</v>
      </c>
      <c r="H2962" s="553">
        <v>1313.95</v>
      </c>
      <c r="I2962" s="553">
        <v>89</v>
      </c>
      <c r="J2962" s="553">
        <v>3</v>
      </c>
      <c r="K2962" s="553">
        <v>34</v>
      </c>
      <c r="L2962" s="553">
        <v>2</v>
      </c>
      <c r="M2962" s="505" t="s">
        <v>312</v>
      </c>
      <c r="N2962" s="500">
        <v>43047560540000</v>
      </c>
      <c r="O2962" s="553" t="s">
        <v>3665</v>
      </c>
      <c r="P2962" s="650" t="s">
        <v>3681</v>
      </c>
      <c r="Q2962" s="564"/>
      <c r="R2962" s="564">
        <v>1</v>
      </c>
    </row>
    <row r="2963" spans="1:18" s="484" customFormat="1" x14ac:dyDescent="0.25">
      <c r="A2963" s="564">
        <v>29</v>
      </c>
      <c r="B2963" s="564">
        <v>3</v>
      </c>
      <c r="C2963" s="564">
        <v>2</v>
      </c>
      <c r="D2963" s="564">
        <v>2</v>
      </c>
      <c r="E2963" s="564">
        <v>1</v>
      </c>
      <c r="F2963" s="564">
        <v>2</v>
      </c>
      <c r="G2963" s="564" t="s">
        <v>473</v>
      </c>
      <c r="H2963" s="564">
        <v>1282.3</v>
      </c>
      <c r="I2963" s="564">
        <v>0</v>
      </c>
      <c r="J2963" s="564">
        <v>7</v>
      </c>
      <c r="K2963" s="564">
        <v>28</v>
      </c>
      <c r="L2963" s="564">
        <v>2</v>
      </c>
      <c r="M2963" s="561" t="s">
        <v>137</v>
      </c>
      <c r="N2963" s="520">
        <v>43047565050000</v>
      </c>
      <c r="O2963" s="564" t="s">
        <v>3682</v>
      </c>
      <c r="P2963" s="564" t="s">
        <v>3683</v>
      </c>
      <c r="Q2963" s="564" t="s">
        <v>3684</v>
      </c>
      <c r="R2963" s="564">
        <v>2</v>
      </c>
    </row>
    <row r="2964" spans="1:18" s="484" customFormat="1" x14ac:dyDescent="0.25">
      <c r="A2964" s="564">
        <v>29</v>
      </c>
      <c r="B2964" s="564">
        <v>3</v>
      </c>
      <c r="C2964" s="564">
        <v>2</v>
      </c>
      <c r="D2964" s="564">
        <v>2</v>
      </c>
      <c r="E2964" s="564">
        <v>1</v>
      </c>
      <c r="F2964" s="564">
        <v>2</v>
      </c>
      <c r="G2964" s="521" t="s">
        <v>476</v>
      </c>
      <c r="H2964" s="564">
        <v>1318.45</v>
      </c>
      <c r="I2964" s="564">
        <v>0</v>
      </c>
      <c r="J2964" s="564">
        <v>3</v>
      </c>
      <c r="K2964" s="564">
        <v>21</v>
      </c>
      <c r="L2964" s="564">
        <v>4</v>
      </c>
      <c r="M2964" s="561" t="s">
        <v>137</v>
      </c>
      <c r="N2964" s="520">
        <v>43047565050000</v>
      </c>
      <c r="O2964" s="564" t="s">
        <v>3682</v>
      </c>
      <c r="P2964" s="564" t="s">
        <v>3685</v>
      </c>
      <c r="Q2964" s="564" t="s">
        <v>3684</v>
      </c>
      <c r="R2964" s="564">
        <v>2</v>
      </c>
    </row>
    <row r="2965" spans="1:18" s="484" customFormat="1" x14ac:dyDescent="0.25">
      <c r="A2965" s="564">
        <v>29</v>
      </c>
      <c r="B2965" s="564">
        <v>3</v>
      </c>
      <c r="C2965" s="564">
        <v>2</v>
      </c>
      <c r="D2965" s="564">
        <v>2</v>
      </c>
      <c r="E2965" s="564">
        <v>1</v>
      </c>
      <c r="F2965" s="564">
        <v>2</v>
      </c>
      <c r="G2965" s="564" t="s">
        <v>478</v>
      </c>
      <c r="H2965" s="564">
        <v>1295.9100000000001</v>
      </c>
      <c r="I2965" s="564">
        <v>0</v>
      </c>
      <c r="J2965" s="564">
        <v>42</v>
      </c>
      <c r="K2965" s="564">
        <v>35</v>
      </c>
      <c r="L2965" s="564">
        <v>3</v>
      </c>
      <c r="M2965" s="561" t="s">
        <v>137</v>
      </c>
      <c r="N2965" s="520">
        <v>43047565050000</v>
      </c>
      <c r="O2965" s="564" t="s">
        <v>3682</v>
      </c>
      <c r="P2965" s="564" t="s">
        <v>3686</v>
      </c>
      <c r="Q2965" s="564" t="s">
        <v>3684</v>
      </c>
      <c r="R2965" s="564">
        <v>2</v>
      </c>
    </row>
    <row r="2966" spans="1:18" s="484" customFormat="1" x14ac:dyDescent="0.25">
      <c r="A2966" s="564">
        <v>29</v>
      </c>
      <c r="B2966" s="564">
        <v>3</v>
      </c>
      <c r="C2966" s="564">
        <v>2</v>
      </c>
      <c r="D2966" s="564">
        <v>2</v>
      </c>
      <c r="E2966" s="564">
        <v>1</v>
      </c>
      <c r="F2966" s="564">
        <v>2</v>
      </c>
      <c r="G2966" s="564" t="s">
        <v>484</v>
      </c>
      <c r="H2966" s="564">
        <v>1348.91</v>
      </c>
      <c r="I2966" s="564">
        <v>0</v>
      </c>
      <c r="J2966" s="564">
        <v>43</v>
      </c>
      <c r="K2966" s="564">
        <v>34</v>
      </c>
      <c r="L2966" s="564">
        <v>1</v>
      </c>
      <c r="M2966" s="561" t="s">
        <v>137</v>
      </c>
      <c r="N2966" s="520">
        <v>43047565050000</v>
      </c>
      <c r="O2966" s="564" t="s">
        <v>3682</v>
      </c>
      <c r="P2966" s="564" t="s">
        <v>3687</v>
      </c>
      <c r="Q2966" s="564" t="s">
        <v>3684</v>
      </c>
      <c r="R2966" s="564">
        <v>2</v>
      </c>
    </row>
    <row r="2967" spans="1:18" s="484" customFormat="1" x14ac:dyDescent="0.25">
      <c r="A2967" s="564">
        <v>29</v>
      </c>
      <c r="B2967" s="564">
        <v>3</v>
      </c>
      <c r="C2967" s="564">
        <v>2</v>
      </c>
      <c r="D2967" s="564">
        <v>2</v>
      </c>
      <c r="E2967" s="564">
        <v>1</v>
      </c>
      <c r="F2967" s="564">
        <v>2</v>
      </c>
      <c r="G2967" s="564" t="s">
        <v>486</v>
      </c>
      <c r="H2967" s="564">
        <v>1318.92</v>
      </c>
      <c r="I2967" s="564">
        <v>0</v>
      </c>
      <c r="J2967" s="564">
        <v>8</v>
      </c>
      <c r="K2967" s="564">
        <v>1</v>
      </c>
      <c r="L2967" s="564">
        <v>1</v>
      </c>
      <c r="M2967" s="561" t="s">
        <v>137</v>
      </c>
      <c r="N2967" s="520">
        <v>43047565050000</v>
      </c>
      <c r="O2967" s="564" t="s">
        <v>3682</v>
      </c>
      <c r="P2967" s="564" t="s">
        <v>3688</v>
      </c>
      <c r="Q2967" s="564" t="s">
        <v>3684</v>
      </c>
      <c r="R2967" s="564">
        <v>2</v>
      </c>
    </row>
    <row r="2968" spans="1:18" s="484" customFormat="1" x14ac:dyDescent="0.25">
      <c r="A2968" s="564">
        <v>29</v>
      </c>
      <c r="B2968" s="564">
        <v>3</v>
      </c>
      <c r="C2968" s="564">
        <v>2</v>
      </c>
      <c r="D2968" s="564">
        <v>2</v>
      </c>
      <c r="E2968" s="564">
        <v>1</v>
      </c>
      <c r="F2968" s="564">
        <v>2</v>
      </c>
      <c r="G2968" s="521" t="s">
        <v>488</v>
      </c>
      <c r="H2968" s="564">
        <v>1278.24</v>
      </c>
      <c r="I2968" s="564">
        <v>0</v>
      </c>
      <c r="J2968" s="564">
        <v>37</v>
      </c>
      <c r="K2968" s="564">
        <v>45</v>
      </c>
      <c r="L2968" s="564">
        <v>3</v>
      </c>
      <c r="M2968" s="561" t="s">
        <v>137</v>
      </c>
      <c r="N2968" s="520">
        <v>43047565050000</v>
      </c>
      <c r="O2968" s="564" t="s">
        <v>3682</v>
      </c>
      <c r="P2968" s="564" t="s">
        <v>3689</v>
      </c>
      <c r="Q2968" s="564" t="s">
        <v>3684</v>
      </c>
      <c r="R2968" s="564">
        <v>2</v>
      </c>
    </row>
    <row r="2969" spans="1:18" s="484" customFormat="1" x14ac:dyDescent="0.25">
      <c r="A2969" s="564">
        <v>29</v>
      </c>
      <c r="B2969" s="564">
        <v>3</v>
      </c>
      <c r="C2969" s="564">
        <v>2</v>
      </c>
      <c r="D2969" s="564">
        <v>2</v>
      </c>
      <c r="E2969" s="564">
        <v>1</v>
      </c>
      <c r="F2969" s="564">
        <v>2</v>
      </c>
      <c r="G2969" s="564" t="s">
        <v>490</v>
      </c>
      <c r="H2969" s="564">
        <v>1315.01</v>
      </c>
      <c r="I2969" s="564">
        <v>0</v>
      </c>
      <c r="J2969" s="564">
        <v>25</v>
      </c>
      <c r="K2969" s="564">
        <v>26</v>
      </c>
      <c r="L2969" s="564">
        <v>3</v>
      </c>
      <c r="M2969" s="561" t="s">
        <v>137</v>
      </c>
      <c r="N2969" s="520">
        <v>43047565050000</v>
      </c>
      <c r="O2969" s="564" t="s">
        <v>3682</v>
      </c>
      <c r="P2969" s="564" t="s">
        <v>3690</v>
      </c>
      <c r="Q2969" s="564" t="s">
        <v>3684</v>
      </c>
      <c r="R2969" s="564">
        <v>2</v>
      </c>
    </row>
    <row r="2970" spans="1:18" s="484" customFormat="1" x14ac:dyDescent="0.25">
      <c r="A2970" s="564">
        <v>29</v>
      </c>
      <c r="B2970" s="564">
        <v>3</v>
      </c>
      <c r="C2970" s="564">
        <v>2</v>
      </c>
      <c r="D2970" s="564">
        <v>2</v>
      </c>
      <c r="E2970" s="564">
        <v>1</v>
      </c>
      <c r="F2970" s="564">
        <v>2</v>
      </c>
      <c r="G2970" s="564" t="s">
        <v>493</v>
      </c>
      <c r="H2970" s="564">
        <v>1315.01</v>
      </c>
      <c r="I2970" s="564">
        <v>0</v>
      </c>
      <c r="J2970" s="564">
        <v>25</v>
      </c>
      <c r="K2970" s="564">
        <v>26</v>
      </c>
      <c r="L2970" s="564">
        <v>3</v>
      </c>
      <c r="M2970" s="561" t="s">
        <v>137</v>
      </c>
      <c r="N2970" s="520">
        <v>43047565050000</v>
      </c>
      <c r="O2970" s="564" t="s">
        <v>3682</v>
      </c>
      <c r="P2970" s="564" t="s">
        <v>3691</v>
      </c>
      <c r="Q2970" s="564" t="s">
        <v>3684</v>
      </c>
      <c r="R2970" s="564">
        <v>2</v>
      </c>
    </row>
    <row r="2971" spans="1:18" s="484" customFormat="1" x14ac:dyDescent="0.25">
      <c r="A2971" s="564">
        <v>29</v>
      </c>
      <c r="B2971" s="564">
        <v>3</v>
      </c>
      <c r="C2971" s="564">
        <v>2</v>
      </c>
      <c r="D2971" s="564">
        <v>2</v>
      </c>
      <c r="E2971" s="564">
        <v>1</v>
      </c>
      <c r="F2971" s="564">
        <v>2</v>
      </c>
      <c r="G2971" s="564" t="s">
        <v>474</v>
      </c>
      <c r="H2971" s="564">
        <v>1324.13</v>
      </c>
      <c r="I2971" s="564">
        <v>88</v>
      </c>
      <c r="J2971" s="564">
        <v>17</v>
      </c>
      <c r="K2971" s="564">
        <v>35</v>
      </c>
      <c r="L2971" s="564">
        <v>3</v>
      </c>
      <c r="M2971" s="561" t="s">
        <v>137</v>
      </c>
      <c r="N2971" s="520">
        <v>43047565050000</v>
      </c>
      <c r="O2971" s="564" t="s">
        <v>3682</v>
      </c>
      <c r="P2971" s="564" t="s">
        <v>3692</v>
      </c>
      <c r="Q2971" s="564" t="s">
        <v>3684</v>
      </c>
      <c r="R2971" s="564">
        <v>2</v>
      </c>
    </row>
    <row r="2972" spans="1:18" s="484" customFormat="1" x14ac:dyDescent="0.25">
      <c r="A2972" s="564">
        <v>29</v>
      </c>
      <c r="B2972" s="564">
        <v>3</v>
      </c>
      <c r="C2972" s="564">
        <v>2</v>
      </c>
      <c r="D2972" s="564">
        <v>2</v>
      </c>
      <c r="E2972" s="564">
        <v>1</v>
      </c>
      <c r="F2972" s="564">
        <v>2</v>
      </c>
      <c r="G2972" s="521" t="s">
        <v>477</v>
      </c>
      <c r="H2972" s="564">
        <v>1325.42</v>
      </c>
      <c r="I2972" s="564">
        <v>89</v>
      </c>
      <c r="J2972" s="564">
        <v>47</v>
      </c>
      <c r="K2972" s="564">
        <v>40</v>
      </c>
      <c r="L2972" s="564">
        <v>4</v>
      </c>
      <c r="M2972" s="561" t="s">
        <v>137</v>
      </c>
      <c r="N2972" s="520">
        <v>43047565050000</v>
      </c>
      <c r="O2972" s="564" t="s">
        <v>3682</v>
      </c>
      <c r="P2972" s="564" t="s">
        <v>3693</v>
      </c>
      <c r="Q2972" s="564" t="s">
        <v>3684</v>
      </c>
      <c r="R2972" s="564">
        <v>2</v>
      </c>
    </row>
    <row r="2973" spans="1:18" s="484" customFormat="1" x14ac:dyDescent="0.25">
      <c r="A2973" s="564">
        <v>29</v>
      </c>
      <c r="B2973" s="564">
        <v>3</v>
      </c>
      <c r="C2973" s="564">
        <v>2</v>
      </c>
      <c r="D2973" s="564">
        <v>2</v>
      </c>
      <c r="E2973" s="564">
        <v>1</v>
      </c>
      <c r="F2973" s="564">
        <v>2</v>
      </c>
      <c r="G2973" s="564" t="s">
        <v>479</v>
      </c>
      <c r="H2973" s="564">
        <v>1323.58</v>
      </c>
      <c r="I2973" s="564">
        <v>89</v>
      </c>
      <c r="J2973" s="564">
        <v>52</v>
      </c>
      <c r="K2973" s="564">
        <v>47</v>
      </c>
      <c r="L2973" s="564">
        <v>3</v>
      </c>
      <c r="M2973" s="561" t="s">
        <v>137</v>
      </c>
      <c r="N2973" s="520">
        <v>43047565050000</v>
      </c>
      <c r="O2973" s="564" t="s">
        <v>3682</v>
      </c>
      <c r="P2973" s="564" t="s">
        <v>3694</v>
      </c>
      <c r="Q2973" s="564" t="s">
        <v>3684</v>
      </c>
      <c r="R2973" s="564">
        <v>2</v>
      </c>
    </row>
    <row r="2974" spans="1:18" s="484" customFormat="1" x14ac:dyDescent="0.25">
      <c r="A2974" s="564">
        <v>29</v>
      </c>
      <c r="B2974" s="564">
        <v>3</v>
      </c>
      <c r="C2974" s="564">
        <v>2</v>
      </c>
      <c r="D2974" s="564">
        <v>2</v>
      </c>
      <c r="E2974" s="564">
        <v>1</v>
      </c>
      <c r="F2974" s="564">
        <v>2</v>
      </c>
      <c r="G2974" s="564" t="s">
        <v>485</v>
      </c>
      <c r="H2974" s="564">
        <v>1308.8499999999999</v>
      </c>
      <c r="I2974" s="564">
        <v>89</v>
      </c>
      <c r="J2974" s="564">
        <v>19</v>
      </c>
      <c r="K2974" s="564">
        <v>57</v>
      </c>
      <c r="L2974" s="564">
        <v>3</v>
      </c>
      <c r="M2974" s="561" t="s">
        <v>137</v>
      </c>
      <c r="N2974" s="520">
        <v>43047565050000</v>
      </c>
      <c r="O2974" s="564" t="s">
        <v>3682</v>
      </c>
      <c r="P2974" s="564" t="s">
        <v>3695</v>
      </c>
      <c r="Q2974" s="564" t="s">
        <v>3684</v>
      </c>
      <c r="R2974" s="564">
        <v>2</v>
      </c>
    </row>
    <row r="2975" spans="1:18" s="484" customFormat="1" x14ac:dyDescent="0.25">
      <c r="A2975" s="564">
        <v>29</v>
      </c>
      <c r="B2975" s="564">
        <v>3</v>
      </c>
      <c r="C2975" s="564">
        <v>2</v>
      </c>
      <c r="D2975" s="564">
        <v>2</v>
      </c>
      <c r="E2975" s="564">
        <v>1</v>
      </c>
      <c r="F2975" s="564">
        <v>2</v>
      </c>
      <c r="G2975" s="564" t="s">
        <v>487</v>
      </c>
      <c r="H2975" s="564">
        <v>1318.54</v>
      </c>
      <c r="I2975" s="564">
        <v>89</v>
      </c>
      <c r="J2975" s="564">
        <v>39</v>
      </c>
      <c r="K2975" s="564">
        <v>4</v>
      </c>
      <c r="L2975" s="564">
        <v>4</v>
      </c>
      <c r="M2975" s="561" t="s">
        <v>137</v>
      </c>
      <c r="N2975" s="520">
        <v>43047565050000</v>
      </c>
      <c r="O2975" s="564" t="s">
        <v>3682</v>
      </c>
      <c r="P2975" s="564" t="s">
        <v>3696</v>
      </c>
      <c r="Q2975" s="564" t="s">
        <v>3684</v>
      </c>
      <c r="R2975" s="564">
        <v>2</v>
      </c>
    </row>
    <row r="2976" spans="1:18" s="484" customFormat="1" x14ac:dyDescent="0.25">
      <c r="A2976" s="564">
        <v>29</v>
      </c>
      <c r="B2976" s="564">
        <v>3</v>
      </c>
      <c r="C2976" s="564">
        <v>2</v>
      </c>
      <c r="D2976" s="564">
        <v>2</v>
      </c>
      <c r="E2976" s="564">
        <v>1</v>
      </c>
      <c r="F2976" s="564">
        <v>2</v>
      </c>
      <c r="G2976" s="521" t="s">
        <v>489</v>
      </c>
      <c r="H2976" s="564">
        <v>1288.8699999999999</v>
      </c>
      <c r="I2976" s="564">
        <v>88</v>
      </c>
      <c r="J2976" s="564">
        <v>30</v>
      </c>
      <c r="K2976" s="564">
        <v>46</v>
      </c>
      <c r="L2976" s="564">
        <v>3</v>
      </c>
      <c r="M2976" s="561" t="s">
        <v>137</v>
      </c>
      <c r="N2976" s="520">
        <v>43047565050000</v>
      </c>
      <c r="O2976" s="564" t="s">
        <v>3682</v>
      </c>
      <c r="P2976" s="564" t="s">
        <v>3697</v>
      </c>
      <c r="Q2976" s="564" t="s">
        <v>3684</v>
      </c>
      <c r="R2976" s="564">
        <v>2</v>
      </c>
    </row>
    <row r="2977" spans="1:18" s="484" customFormat="1" x14ac:dyDescent="0.25">
      <c r="A2977" s="564">
        <v>29</v>
      </c>
      <c r="B2977" s="564">
        <v>3</v>
      </c>
      <c r="C2977" s="564">
        <v>2</v>
      </c>
      <c r="D2977" s="564">
        <v>2</v>
      </c>
      <c r="E2977" s="564">
        <v>1</v>
      </c>
      <c r="F2977" s="564">
        <v>2</v>
      </c>
      <c r="G2977" s="564" t="s">
        <v>491</v>
      </c>
      <c r="H2977" s="564">
        <v>2644.65</v>
      </c>
      <c r="I2977" s="564">
        <v>89</v>
      </c>
      <c r="J2977" s="564">
        <v>4</v>
      </c>
      <c r="K2977" s="564">
        <v>18</v>
      </c>
      <c r="L2977" s="564">
        <v>2</v>
      </c>
      <c r="M2977" s="561" t="s">
        <v>137</v>
      </c>
      <c r="N2977" s="520">
        <v>43047565050000</v>
      </c>
      <c r="O2977" s="564" t="s">
        <v>3682</v>
      </c>
      <c r="P2977" s="564" t="s">
        <v>3698</v>
      </c>
      <c r="Q2977" s="564" t="s">
        <v>3684</v>
      </c>
      <c r="R2977" s="564">
        <v>2</v>
      </c>
    </row>
    <row r="2978" spans="1:18" s="484" customFormat="1" x14ac:dyDescent="0.25">
      <c r="A2978" s="564">
        <v>29</v>
      </c>
      <c r="B2978" s="564">
        <v>3</v>
      </c>
      <c r="C2978" s="564">
        <v>2</v>
      </c>
      <c r="D2978" s="564">
        <v>2</v>
      </c>
      <c r="E2978" s="564">
        <v>1</v>
      </c>
      <c r="F2978" s="564">
        <v>2</v>
      </c>
      <c r="G2978" s="564" t="s">
        <v>494</v>
      </c>
      <c r="H2978" s="564">
        <v>0</v>
      </c>
      <c r="I2978" s="564">
        <v>0</v>
      </c>
      <c r="J2978" s="564">
        <v>0</v>
      </c>
      <c r="K2978" s="564">
        <v>0</v>
      </c>
      <c r="L2978" s="564">
        <v>0</v>
      </c>
      <c r="M2978" s="561" t="s">
        <v>137</v>
      </c>
      <c r="N2978" s="520">
        <v>43047565050000</v>
      </c>
      <c r="O2978" s="564" t="s">
        <v>3682</v>
      </c>
      <c r="P2978" s="564" t="s">
        <v>3699</v>
      </c>
      <c r="Q2978" s="564" t="s">
        <v>3684</v>
      </c>
      <c r="R2978" s="564">
        <v>2</v>
      </c>
    </row>
    <row r="2979" spans="1:18" s="498" customFormat="1" x14ac:dyDescent="0.25">
      <c r="A2979" s="553">
        <v>30</v>
      </c>
      <c r="B2979" s="553">
        <v>2</v>
      </c>
      <c r="C2979" s="553">
        <v>2</v>
      </c>
      <c r="D2979" s="553">
        <v>1</v>
      </c>
      <c r="E2979" s="553">
        <v>1</v>
      </c>
      <c r="F2979" s="553">
        <v>2</v>
      </c>
      <c r="G2979" s="553" t="s">
        <v>473</v>
      </c>
      <c r="H2979" s="553">
        <v>1321.39</v>
      </c>
      <c r="I2979" s="553">
        <v>0</v>
      </c>
      <c r="J2979" s="553">
        <v>0</v>
      </c>
      <c r="K2979" s="553">
        <v>49</v>
      </c>
      <c r="L2979" s="553">
        <v>4</v>
      </c>
      <c r="M2979" s="505" t="s">
        <v>137</v>
      </c>
      <c r="N2979" s="500">
        <v>43047556720000</v>
      </c>
      <c r="O2979" s="553" t="s">
        <v>3700</v>
      </c>
      <c r="P2979" s="650" t="s">
        <v>3701</v>
      </c>
      <c r="Q2979" s="564"/>
      <c r="R2979" s="564">
        <v>1</v>
      </c>
    </row>
    <row r="2980" spans="1:18" s="498" customFormat="1" x14ac:dyDescent="0.25">
      <c r="A2980" s="553">
        <v>30</v>
      </c>
      <c r="B2980" s="553">
        <v>2</v>
      </c>
      <c r="C2980" s="553">
        <v>2</v>
      </c>
      <c r="D2980" s="553">
        <v>1</v>
      </c>
      <c r="E2980" s="553">
        <v>1</v>
      </c>
      <c r="F2980" s="553">
        <v>2</v>
      </c>
      <c r="G2980" s="502" t="s">
        <v>476</v>
      </c>
      <c r="H2980" s="553">
        <v>1321.39</v>
      </c>
      <c r="I2980" s="553">
        <v>0</v>
      </c>
      <c r="J2980" s="553">
        <v>0</v>
      </c>
      <c r="K2980" s="553">
        <v>49</v>
      </c>
      <c r="L2980" s="553">
        <v>4</v>
      </c>
      <c r="M2980" s="505" t="s">
        <v>137</v>
      </c>
      <c r="N2980" s="500">
        <v>43047556720000</v>
      </c>
      <c r="O2980" s="553" t="s">
        <v>3700</v>
      </c>
      <c r="P2980" s="650" t="s">
        <v>3702</v>
      </c>
      <c r="Q2980" s="564"/>
      <c r="R2980" s="564">
        <v>1</v>
      </c>
    </row>
    <row r="2981" spans="1:18" s="498" customFormat="1" x14ac:dyDescent="0.25">
      <c r="A2981" s="553">
        <v>30</v>
      </c>
      <c r="B2981" s="553">
        <v>2</v>
      </c>
      <c r="C2981" s="553">
        <v>2</v>
      </c>
      <c r="D2981" s="553">
        <v>1</v>
      </c>
      <c r="E2981" s="553">
        <v>1</v>
      </c>
      <c r="F2981" s="553">
        <v>2</v>
      </c>
      <c r="G2981" s="553" t="s">
        <v>478</v>
      </c>
      <c r="H2981" s="553">
        <v>1322.375</v>
      </c>
      <c r="I2981" s="553">
        <v>0</v>
      </c>
      <c r="J2981" s="553">
        <v>27</v>
      </c>
      <c r="K2981" s="553">
        <v>58</v>
      </c>
      <c r="L2981" s="553">
        <v>4</v>
      </c>
      <c r="M2981" s="505" t="s">
        <v>137</v>
      </c>
      <c r="N2981" s="500">
        <v>43047556720000</v>
      </c>
      <c r="O2981" s="553" t="s">
        <v>3700</v>
      </c>
      <c r="P2981" s="650" t="s">
        <v>3703</v>
      </c>
      <c r="Q2981" s="564"/>
      <c r="R2981" s="564">
        <v>1</v>
      </c>
    </row>
    <row r="2982" spans="1:18" s="498" customFormat="1" x14ac:dyDescent="0.25">
      <c r="A2982" s="553">
        <v>30</v>
      </c>
      <c r="B2982" s="553">
        <v>2</v>
      </c>
      <c r="C2982" s="553">
        <v>2</v>
      </c>
      <c r="D2982" s="553">
        <v>1</v>
      </c>
      <c r="E2982" s="553">
        <v>1</v>
      </c>
      <c r="F2982" s="553">
        <v>2</v>
      </c>
      <c r="G2982" s="553" t="s">
        <v>484</v>
      </c>
      <c r="H2982" s="553">
        <v>1322.375</v>
      </c>
      <c r="I2982" s="553">
        <v>0</v>
      </c>
      <c r="J2982" s="553">
        <v>27</v>
      </c>
      <c r="K2982" s="553">
        <v>58</v>
      </c>
      <c r="L2982" s="553">
        <v>4</v>
      </c>
      <c r="M2982" s="505" t="s">
        <v>137</v>
      </c>
      <c r="N2982" s="500">
        <v>43047556720000</v>
      </c>
      <c r="O2982" s="553" t="s">
        <v>3700</v>
      </c>
      <c r="P2982" s="650" t="s">
        <v>3704</v>
      </c>
      <c r="Q2982" s="564"/>
      <c r="R2982" s="564">
        <v>1</v>
      </c>
    </row>
    <row r="2983" spans="1:18" s="498" customFormat="1" x14ac:dyDescent="0.25">
      <c r="A2983" s="553">
        <v>30</v>
      </c>
      <c r="B2983" s="553">
        <v>2</v>
      </c>
      <c r="C2983" s="553">
        <v>2</v>
      </c>
      <c r="D2983" s="553">
        <v>1</v>
      </c>
      <c r="E2983" s="553">
        <v>1</v>
      </c>
      <c r="F2983" s="553">
        <v>2</v>
      </c>
      <c r="G2983" s="553" t="s">
        <v>486</v>
      </c>
      <c r="H2983" s="553">
        <v>1320.4349999999999</v>
      </c>
      <c r="I2983" s="553">
        <v>0</v>
      </c>
      <c r="J2983" s="553">
        <v>41</v>
      </c>
      <c r="K2983" s="553">
        <v>11</v>
      </c>
      <c r="L2983" s="553">
        <v>2</v>
      </c>
      <c r="M2983" s="505" t="s">
        <v>137</v>
      </c>
      <c r="N2983" s="500">
        <v>43047556720000</v>
      </c>
      <c r="O2983" s="553" t="s">
        <v>3700</v>
      </c>
      <c r="P2983" s="650" t="s">
        <v>3705</v>
      </c>
      <c r="Q2983" s="564"/>
      <c r="R2983" s="564">
        <v>1</v>
      </c>
    </row>
    <row r="2984" spans="1:18" s="498" customFormat="1" x14ac:dyDescent="0.25">
      <c r="A2984" s="553">
        <v>30</v>
      </c>
      <c r="B2984" s="553">
        <v>2</v>
      </c>
      <c r="C2984" s="553">
        <v>2</v>
      </c>
      <c r="D2984" s="553">
        <v>1</v>
      </c>
      <c r="E2984" s="553">
        <v>1</v>
      </c>
      <c r="F2984" s="553">
        <v>2</v>
      </c>
      <c r="G2984" s="502" t="s">
        <v>488</v>
      </c>
      <c r="H2984" s="553">
        <v>1320.4349999999999</v>
      </c>
      <c r="I2984" s="553">
        <v>0</v>
      </c>
      <c r="J2984" s="553">
        <v>41</v>
      </c>
      <c r="K2984" s="553">
        <v>11</v>
      </c>
      <c r="L2984" s="553">
        <v>2</v>
      </c>
      <c r="M2984" s="505" t="s">
        <v>137</v>
      </c>
      <c r="N2984" s="500">
        <v>43047556720000</v>
      </c>
      <c r="O2984" s="553" t="s">
        <v>3700</v>
      </c>
      <c r="P2984" s="650" t="s">
        <v>3706</v>
      </c>
      <c r="Q2984" s="564"/>
      <c r="R2984" s="564">
        <v>1</v>
      </c>
    </row>
    <row r="2985" spans="1:18" s="498" customFormat="1" x14ac:dyDescent="0.25">
      <c r="A2985" s="553">
        <v>30</v>
      </c>
      <c r="B2985" s="553">
        <v>2</v>
      </c>
      <c r="C2985" s="553">
        <v>2</v>
      </c>
      <c r="D2985" s="553">
        <v>1</v>
      </c>
      <c r="E2985" s="553">
        <v>1</v>
      </c>
      <c r="F2985" s="553">
        <v>2</v>
      </c>
      <c r="G2985" s="553" t="s">
        <v>490</v>
      </c>
      <c r="H2985" s="553">
        <v>1317.845</v>
      </c>
      <c r="I2985" s="553">
        <v>0</v>
      </c>
      <c r="J2985" s="553">
        <v>26</v>
      </c>
      <c r="K2985" s="553">
        <v>54</v>
      </c>
      <c r="L2985" s="553">
        <v>4</v>
      </c>
      <c r="M2985" s="505" t="s">
        <v>137</v>
      </c>
      <c r="N2985" s="500">
        <v>43047556720000</v>
      </c>
      <c r="O2985" s="553" t="s">
        <v>3700</v>
      </c>
      <c r="P2985" s="650" t="s">
        <v>3707</v>
      </c>
      <c r="Q2985" s="564"/>
      <c r="R2985" s="564">
        <v>1</v>
      </c>
    </row>
    <row r="2986" spans="1:18" s="498" customFormat="1" x14ac:dyDescent="0.25">
      <c r="A2986" s="553">
        <v>30</v>
      </c>
      <c r="B2986" s="553">
        <v>2</v>
      </c>
      <c r="C2986" s="553">
        <v>2</v>
      </c>
      <c r="D2986" s="553">
        <v>1</v>
      </c>
      <c r="E2986" s="553">
        <v>1</v>
      </c>
      <c r="F2986" s="553">
        <v>2</v>
      </c>
      <c r="G2986" s="553" t="s">
        <v>493</v>
      </c>
      <c r="H2986" s="553">
        <v>1317.845</v>
      </c>
      <c r="I2986" s="553">
        <v>0</v>
      </c>
      <c r="J2986" s="553">
        <v>26</v>
      </c>
      <c r="K2986" s="553">
        <v>54</v>
      </c>
      <c r="L2986" s="553">
        <v>4</v>
      </c>
      <c r="M2986" s="505" t="s">
        <v>137</v>
      </c>
      <c r="N2986" s="500">
        <v>43047556720000</v>
      </c>
      <c r="O2986" s="553" t="s">
        <v>3700</v>
      </c>
      <c r="P2986" s="650" t="s">
        <v>3708</v>
      </c>
      <c r="Q2986" s="564"/>
      <c r="R2986" s="564">
        <v>1</v>
      </c>
    </row>
    <row r="2987" spans="1:18" s="498" customFormat="1" x14ac:dyDescent="0.25">
      <c r="A2987" s="553">
        <v>30</v>
      </c>
      <c r="B2987" s="553">
        <v>2</v>
      </c>
      <c r="C2987" s="553">
        <v>2</v>
      </c>
      <c r="D2987" s="553">
        <v>1</v>
      </c>
      <c r="E2987" s="553">
        <v>1</v>
      </c>
      <c r="F2987" s="553">
        <v>2</v>
      </c>
      <c r="G2987" s="553" t="s">
        <v>474</v>
      </c>
      <c r="H2987" s="553">
        <v>1308.6099999999999</v>
      </c>
      <c r="I2987" s="553">
        <v>89</v>
      </c>
      <c r="J2987" s="553">
        <v>12</v>
      </c>
      <c r="K2987" s="553">
        <v>4</v>
      </c>
      <c r="L2987" s="553">
        <v>4</v>
      </c>
      <c r="M2987" s="505" t="s">
        <v>137</v>
      </c>
      <c r="N2987" s="500">
        <v>43047556720000</v>
      </c>
      <c r="O2987" s="553" t="s">
        <v>3700</v>
      </c>
      <c r="P2987" s="650" t="s">
        <v>3709</v>
      </c>
      <c r="Q2987" s="564"/>
      <c r="R2987" s="564">
        <v>1</v>
      </c>
    </row>
    <row r="2988" spans="1:18" s="498" customFormat="1" x14ac:dyDescent="0.25">
      <c r="A2988" s="553">
        <v>30</v>
      </c>
      <c r="B2988" s="553">
        <v>2</v>
      </c>
      <c r="C2988" s="553">
        <v>2</v>
      </c>
      <c r="D2988" s="553">
        <v>1</v>
      </c>
      <c r="E2988" s="553">
        <v>1</v>
      </c>
      <c r="F2988" s="553">
        <v>2</v>
      </c>
      <c r="G2988" s="502" t="s">
        <v>477</v>
      </c>
      <c r="H2988" s="553">
        <v>1308.6099999999999</v>
      </c>
      <c r="I2988" s="553">
        <v>89</v>
      </c>
      <c r="J2988" s="553">
        <v>12</v>
      </c>
      <c r="K2988" s="553">
        <v>4</v>
      </c>
      <c r="L2988" s="553">
        <v>4</v>
      </c>
      <c r="M2988" s="505" t="s">
        <v>137</v>
      </c>
      <c r="N2988" s="500">
        <v>43047556720000</v>
      </c>
      <c r="O2988" s="553" t="s">
        <v>3700</v>
      </c>
      <c r="P2988" s="650" t="s">
        <v>3710</v>
      </c>
      <c r="Q2988" s="564"/>
      <c r="R2988" s="564">
        <v>1</v>
      </c>
    </row>
    <row r="2989" spans="1:18" s="498" customFormat="1" x14ac:dyDescent="0.25">
      <c r="A2989" s="553">
        <v>30</v>
      </c>
      <c r="B2989" s="553">
        <v>2</v>
      </c>
      <c r="C2989" s="553">
        <v>2</v>
      </c>
      <c r="D2989" s="553">
        <v>1</v>
      </c>
      <c r="E2989" s="553">
        <v>1</v>
      </c>
      <c r="F2989" s="553">
        <v>2</v>
      </c>
      <c r="G2989" s="553" t="s">
        <v>479</v>
      </c>
      <c r="H2989" s="553">
        <v>1327.1</v>
      </c>
      <c r="I2989" s="553">
        <v>89</v>
      </c>
      <c r="J2989" s="553">
        <v>48</v>
      </c>
      <c r="K2989" s="553">
        <v>36</v>
      </c>
      <c r="L2989" s="553">
        <v>4</v>
      </c>
      <c r="M2989" s="505" t="s">
        <v>137</v>
      </c>
      <c r="N2989" s="500">
        <v>43047556720000</v>
      </c>
      <c r="O2989" s="553" t="s">
        <v>3700</v>
      </c>
      <c r="P2989" s="650" t="s">
        <v>3711</v>
      </c>
      <c r="Q2989" s="564"/>
      <c r="R2989" s="564">
        <v>1</v>
      </c>
    </row>
    <row r="2990" spans="1:18" s="498" customFormat="1" x14ac:dyDescent="0.25">
      <c r="A2990" s="553">
        <v>30</v>
      </c>
      <c r="B2990" s="553">
        <v>2</v>
      </c>
      <c r="C2990" s="553">
        <v>2</v>
      </c>
      <c r="D2990" s="553">
        <v>1</v>
      </c>
      <c r="E2990" s="553">
        <v>1</v>
      </c>
      <c r="F2990" s="553">
        <v>2</v>
      </c>
      <c r="G2990" s="553" t="s">
        <v>485</v>
      </c>
      <c r="H2990" s="553">
        <v>1324.29</v>
      </c>
      <c r="I2990" s="553">
        <v>89</v>
      </c>
      <c r="J2990" s="553">
        <v>48</v>
      </c>
      <c r="K2990" s="553">
        <v>36</v>
      </c>
      <c r="L2990" s="553">
        <v>4</v>
      </c>
      <c r="M2990" s="505" t="s">
        <v>137</v>
      </c>
      <c r="N2990" s="500">
        <v>43047556720000</v>
      </c>
      <c r="O2990" s="553" t="s">
        <v>3700</v>
      </c>
      <c r="P2990" s="650" t="s">
        <v>3712</v>
      </c>
      <c r="Q2990" s="564"/>
      <c r="R2990" s="564">
        <v>1</v>
      </c>
    </row>
    <row r="2991" spans="1:18" s="498" customFormat="1" x14ac:dyDescent="0.25">
      <c r="A2991" s="553">
        <v>30</v>
      </c>
      <c r="B2991" s="553">
        <v>2</v>
      </c>
      <c r="C2991" s="553">
        <v>2</v>
      </c>
      <c r="D2991" s="553">
        <v>1</v>
      </c>
      <c r="E2991" s="553">
        <v>1</v>
      </c>
      <c r="F2991" s="553">
        <v>2</v>
      </c>
      <c r="G2991" s="553" t="s">
        <v>487</v>
      </c>
      <c r="H2991" s="553">
        <v>1330.62</v>
      </c>
      <c r="I2991" s="553">
        <v>89</v>
      </c>
      <c r="J2991" s="553">
        <v>37</v>
      </c>
      <c r="K2991" s="553">
        <v>0</v>
      </c>
      <c r="L2991" s="553">
        <v>1</v>
      </c>
      <c r="M2991" s="505" t="s">
        <v>137</v>
      </c>
      <c r="N2991" s="500">
        <v>43047556720000</v>
      </c>
      <c r="O2991" s="553" t="s">
        <v>3700</v>
      </c>
      <c r="P2991" s="650" t="s">
        <v>3713</v>
      </c>
      <c r="Q2991" s="564"/>
      <c r="R2991" s="564">
        <v>1</v>
      </c>
    </row>
    <row r="2992" spans="1:18" s="498" customFormat="1" x14ac:dyDescent="0.25">
      <c r="A2992" s="553">
        <v>30</v>
      </c>
      <c r="B2992" s="553">
        <v>2</v>
      </c>
      <c r="C2992" s="553">
        <v>2</v>
      </c>
      <c r="D2992" s="553">
        <v>1</v>
      </c>
      <c r="E2992" s="553">
        <v>1</v>
      </c>
      <c r="F2992" s="553">
        <v>2</v>
      </c>
      <c r="G2992" s="502" t="s">
        <v>489</v>
      </c>
      <c r="H2992" s="553">
        <v>1330.62</v>
      </c>
      <c r="I2992" s="553">
        <v>89</v>
      </c>
      <c r="J2992" s="553">
        <v>37</v>
      </c>
      <c r="K2992" s="553">
        <v>0</v>
      </c>
      <c r="L2992" s="553">
        <v>1</v>
      </c>
      <c r="M2992" s="505" t="s">
        <v>137</v>
      </c>
      <c r="N2992" s="500">
        <v>43047556720000</v>
      </c>
      <c r="O2992" s="553" t="s">
        <v>3700</v>
      </c>
      <c r="P2992" s="650" t="s">
        <v>3714</v>
      </c>
      <c r="Q2992" s="564"/>
      <c r="R2992" s="564">
        <v>1</v>
      </c>
    </row>
    <row r="2993" spans="1:20" s="498" customFormat="1" x14ac:dyDescent="0.25">
      <c r="A2993" s="553">
        <v>30</v>
      </c>
      <c r="B2993" s="553">
        <v>2</v>
      </c>
      <c r="C2993" s="553">
        <v>2</v>
      </c>
      <c r="D2993" s="553">
        <v>1</v>
      </c>
      <c r="E2993" s="553">
        <v>1</v>
      </c>
      <c r="F2993" s="553">
        <v>2</v>
      </c>
      <c r="G2993" s="553" t="s">
        <v>491</v>
      </c>
      <c r="H2993" s="553">
        <v>1315.05</v>
      </c>
      <c r="I2993" s="553">
        <v>89</v>
      </c>
      <c r="J2993" s="553">
        <v>38</v>
      </c>
      <c r="K2993" s="553">
        <v>21</v>
      </c>
      <c r="L2993" s="553">
        <v>1</v>
      </c>
      <c r="M2993" s="505" t="s">
        <v>137</v>
      </c>
      <c r="N2993" s="500">
        <v>43047556720000</v>
      </c>
      <c r="O2993" s="553" t="s">
        <v>3700</v>
      </c>
      <c r="P2993" s="650" t="s">
        <v>3715</v>
      </c>
      <c r="Q2993" s="564"/>
      <c r="R2993" s="564">
        <v>1</v>
      </c>
    </row>
    <row r="2994" spans="1:20" s="498" customFormat="1" x14ac:dyDescent="0.25">
      <c r="A2994" s="553">
        <v>30</v>
      </c>
      <c r="B2994" s="553">
        <v>2</v>
      </c>
      <c r="C2994" s="553">
        <v>2</v>
      </c>
      <c r="D2994" s="553">
        <v>1</v>
      </c>
      <c r="E2994" s="553">
        <v>1</v>
      </c>
      <c r="F2994" s="553">
        <v>2</v>
      </c>
      <c r="G2994" s="553" t="s">
        <v>494</v>
      </c>
      <c r="H2994" s="553">
        <v>1315.05</v>
      </c>
      <c r="I2994" s="553">
        <v>89</v>
      </c>
      <c r="J2994" s="553">
        <v>38</v>
      </c>
      <c r="K2994" s="553">
        <v>21</v>
      </c>
      <c r="L2994" s="553">
        <v>1</v>
      </c>
      <c r="M2994" s="505" t="s">
        <v>137</v>
      </c>
      <c r="N2994" s="500">
        <v>43047556720000</v>
      </c>
      <c r="O2994" s="553" t="s">
        <v>3700</v>
      </c>
      <c r="P2994" s="650" t="s">
        <v>3716</v>
      </c>
      <c r="Q2994" s="564"/>
      <c r="R2994" s="564">
        <v>1</v>
      </c>
    </row>
    <row r="2995" spans="1:20" x14ac:dyDescent="0.25">
      <c r="A2995" s="553">
        <v>30</v>
      </c>
      <c r="B2995" s="553">
        <v>2</v>
      </c>
      <c r="C2995" s="553">
        <v>2</v>
      </c>
      <c r="D2995" s="553">
        <v>1</v>
      </c>
      <c r="E2995" s="553">
        <v>2</v>
      </c>
      <c r="F2995" s="553">
        <v>2</v>
      </c>
      <c r="G2995" s="553" t="s">
        <v>473</v>
      </c>
      <c r="H2995" s="553">
        <v>1321.3150000000001</v>
      </c>
      <c r="I2995" s="553">
        <v>0</v>
      </c>
      <c r="J2995" s="553">
        <v>3</v>
      </c>
      <c r="K2995" s="553">
        <v>32</v>
      </c>
      <c r="L2995" s="553">
        <v>2</v>
      </c>
      <c r="M2995" s="505" t="s">
        <v>137</v>
      </c>
      <c r="N2995" s="500">
        <v>43013534100000</v>
      </c>
      <c r="O2995" s="553" t="s">
        <v>3717</v>
      </c>
      <c r="P2995" s="650" t="s">
        <v>3718</v>
      </c>
      <c r="Q2995" s="564"/>
      <c r="R2995" s="564">
        <v>2</v>
      </c>
      <c r="S2995" s="484"/>
      <c r="T2995" s="484"/>
    </row>
    <row r="2996" spans="1:20" x14ac:dyDescent="0.25">
      <c r="A2996" s="553">
        <v>30</v>
      </c>
      <c r="B2996" s="553">
        <v>2</v>
      </c>
      <c r="C2996" s="553">
        <v>2</v>
      </c>
      <c r="D2996" s="553">
        <v>1</v>
      </c>
      <c r="E2996" s="553">
        <v>2</v>
      </c>
      <c r="F2996" s="553">
        <v>2</v>
      </c>
      <c r="G2996" s="502" t="s">
        <v>476</v>
      </c>
      <c r="H2996" s="553">
        <v>1321.3150000000001</v>
      </c>
      <c r="I2996" s="553">
        <v>0</v>
      </c>
      <c r="J2996" s="553">
        <v>3</v>
      </c>
      <c r="K2996" s="553">
        <v>32</v>
      </c>
      <c r="L2996" s="553">
        <v>2</v>
      </c>
      <c r="M2996" s="505" t="s">
        <v>137</v>
      </c>
      <c r="N2996" s="500">
        <v>43013534100000</v>
      </c>
      <c r="O2996" s="553" t="s">
        <v>3717</v>
      </c>
      <c r="P2996" s="650" t="s">
        <v>3719</v>
      </c>
      <c r="Q2996" s="564"/>
      <c r="R2996" s="564">
        <v>2</v>
      </c>
      <c r="S2996" s="484"/>
      <c r="T2996" s="484"/>
    </row>
    <row r="2997" spans="1:20" x14ac:dyDescent="0.25">
      <c r="A2997" s="553">
        <v>30</v>
      </c>
      <c r="B2997" s="553">
        <v>2</v>
      </c>
      <c r="C2997" s="553">
        <v>2</v>
      </c>
      <c r="D2997" s="553">
        <v>1</v>
      </c>
      <c r="E2997" s="553">
        <v>2</v>
      </c>
      <c r="F2997" s="553">
        <v>2</v>
      </c>
      <c r="G2997" s="553" t="s">
        <v>478</v>
      </c>
      <c r="H2997" s="553">
        <v>1321.51</v>
      </c>
      <c r="I2997" s="553">
        <v>0</v>
      </c>
      <c r="J2997" s="553">
        <v>3</v>
      </c>
      <c r="K2997" s="553">
        <v>47</v>
      </c>
      <c r="L2997" s="553">
        <v>2</v>
      </c>
      <c r="M2997" s="505" t="s">
        <v>137</v>
      </c>
      <c r="N2997" s="500">
        <v>43013534100000</v>
      </c>
      <c r="O2997" s="553" t="s">
        <v>3717</v>
      </c>
      <c r="P2997" s="650" t="s">
        <v>3720</v>
      </c>
      <c r="Q2997" s="564"/>
      <c r="R2997" s="564">
        <v>2</v>
      </c>
      <c r="S2997" s="484"/>
      <c r="T2997" s="484"/>
    </row>
    <row r="2998" spans="1:20" x14ac:dyDescent="0.25">
      <c r="A2998" s="553">
        <v>30</v>
      </c>
      <c r="B2998" s="553">
        <v>2</v>
      </c>
      <c r="C2998" s="553">
        <v>2</v>
      </c>
      <c r="D2998" s="553">
        <v>1</v>
      </c>
      <c r="E2998" s="553">
        <v>2</v>
      </c>
      <c r="F2998" s="553">
        <v>2</v>
      </c>
      <c r="G2998" s="553" t="s">
        <v>484</v>
      </c>
      <c r="H2998" s="553">
        <v>1321.51</v>
      </c>
      <c r="I2998" s="553">
        <v>0</v>
      </c>
      <c r="J2998" s="553">
        <v>3</v>
      </c>
      <c r="K2998" s="553">
        <v>47</v>
      </c>
      <c r="L2998" s="553">
        <v>2</v>
      </c>
      <c r="M2998" s="505" t="s">
        <v>137</v>
      </c>
      <c r="N2998" s="500">
        <v>43013534100000</v>
      </c>
      <c r="O2998" s="553" t="s">
        <v>3717</v>
      </c>
      <c r="P2998" s="650" t="s">
        <v>3721</v>
      </c>
      <c r="Q2998" s="564"/>
      <c r="R2998" s="564">
        <v>2</v>
      </c>
      <c r="S2998" s="484"/>
      <c r="T2998" s="484"/>
    </row>
    <row r="2999" spans="1:20" x14ac:dyDescent="0.25">
      <c r="A2999" s="553">
        <v>30</v>
      </c>
      <c r="B2999" s="553">
        <v>2</v>
      </c>
      <c r="C2999" s="553">
        <v>2</v>
      </c>
      <c r="D2999" s="553">
        <v>1</v>
      </c>
      <c r="E2999" s="553">
        <v>2</v>
      </c>
      <c r="F2999" s="553">
        <v>2</v>
      </c>
      <c r="G2999" s="553" t="s">
        <v>486</v>
      </c>
      <c r="H2999" s="553">
        <v>1320</v>
      </c>
      <c r="I2999" s="553">
        <v>0</v>
      </c>
      <c r="J2999" s="553">
        <v>0</v>
      </c>
      <c r="K2999" s="553">
        <v>0</v>
      </c>
      <c r="L2999" s="553">
        <v>4</v>
      </c>
      <c r="M2999" s="505" t="s">
        <v>137</v>
      </c>
      <c r="N2999" s="500">
        <v>43013534100000</v>
      </c>
      <c r="O2999" s="553" t="s">
        <v>3717</v>
      </c>
      <c r="P2999" s="650" t="s">
        <v>3722</v>
      </c>
      <c r="Q2999" s="564"/>
      <c r="R2999" s="564">
        <v>2</v>
      </c>
      <c r="S2999" s="484"/>
      <c r="T2999" s="484"/>
    </row>
    <row r="3000" spans="1:20" x14ac:dyDescent="0.25">
      <c r="A3000" s="553">
        <v>30</v>
      </c>
      <c r="B3000" s="553">
        <v>2</v>
      </c>
      <c r="C3000" s="553">
        <v>2</v>
      </c>
      <c r="D3000" s="553">
        <v>1</v>
      </c>
      <c r="E3000" s="553">
        <v>2</v>
      </c>
      <c r="F3000" s="553">
        <v>2</v>
      </c>
      <c r="G3000" s="502" t="s">
        <v>488</v>
      </c>
      <c r="H3000" s="553">
        <v>1320</v>
      </c>
      <c r="I3000" s="553">
        <v>0</v>
      </c>
      <c r="J3000" s="553">
        <v>0</v>
      </c>
      <c r="K3000" s="553">
        <v>0</v>
      </c>
      <c r="L3000" s="553">
        <v>4</v>
      </c>
      <c r="M3000" s="505" t="s">
        <v>137</v>
      </c>
      <c r="N3000" s="500">
        <v>43013534100000</v>
      </c>
      <c r="O3000" s="553" t="s">
        <v>3717</v>
      </c>
      <c r="P3000" s="650" t="s">
        <v>3723</v>
      </c>
      <c r="Q3000" s="564"/>
      <c r="R3000" s="564">
        <v>2</v>
      </c>
      <c r="S3000" s="484"/>
      <c r="T3000" s="484"/>
    </row>
    <row r="3001" spans="1:20" x14ac:dyDescent="0.25">
      <c r="A3001" s="553">
        <v>30</v>
      </c>
      <c r="B3001" s="553">
        <v>2</v>
      </c>
      <c r="C3001" s="553">
        <v>2</v>
      </c>
      <c r="D3001" s="553">
        <v>1</v>
      </c>
      <c r="E3001" s="553">
        <v>2</v>
      </c>
      <c r="F3001" s="553">
        <v>2</v>
      </c>
      <c r="G3001" s="553" t="s">
        <v>490</v>
      </c>
      <c r="H3001" s="553">
        <v>1319.25</v>
      </c>
      <c r="I3001" s="553">
        <v>0</v>
      </c>
      <c r="J3001" s="553">
        <v>1</v>
      </c>
      <c r="K3001" s="553">
        <v>22</v>
      </c>
      <c r="L3001" s="553">
        <v>4</v>
      </c>
      <c r="M3001" s="505" t="s">
        <v>137</v>
      </c>
      <c r="N3001" s="500">
        <v>43013534100000</v>
      </c>
      <c r="O3001" s="553" t="s">
        <v>3717</v>
      </c>
      <c r="P3001" s="650" t="s">
        <v>3724</v>
      </c>
      <c r="Q3001" s="564"/>
      <c r="R3001" s="564">
        <v>2</v>
      </c>
      <c r="S3001" s="484"/>
      <c r="T3001" s="484"/>
    </row>
    <row r="3002" spans="1:20" x14ac:dyDescent="0.25">
      <c r="A3002" s="553">
        <v>30</v>
      </c>
      <c r="B3002" s="553">
        <v>2</v>
      </c>
      <c r="C3002" s="553">
        <v>2</v>
      </c>
      <c r="D3002" s="553">
        <v>1</v>
      </c>
      <c r="E3002" s="553">
        <v>2</v>
      </c>
      <c r="F3002" s="553">
        <v>2</v>
      </c>
      <c r="G3002" s="553" t="s">
        <v>493</v>
      </c>
      <c r="H3002" s="553">
        <v>1319.25</v>
      </c>
      <c r="I3002" s="553">
        <v>0</v>
      </c>
      <c r="J3002" s="553">
        <v>1</v>
      </c>
      <c r="K3002" s="553">
        <v>22</v>
      </c>
      <c r="L3002" s="553">
        <v>4</v>
      </c>
      <c r="M3002" s="505" t="s">
        <v>137</v>
      </c>
      <c r="N3002" s="500">
        <v>43013534100000</v>
      </c>
      <c r="O3002" s="553" t="s">
        <v>3717</v>
      </c>
      <c r="P3002" s="650" t="s">
        <v>3725</v>
      </c>
      <c r="Q3002" s="564"/>
      <c r="R3002" s="564">
        <v>2</v>
      </c>
      <c r="S3002" s="484"/>
      <c r="T3002" s="484"/>
    </row>
    <row r="3003" spans="1:20" x14ac:dyDescent="0.25">
      <c r="A3003" s="553">
        <v>30</v>
      </c>
      <c r="B3003" s="553">
        <v>2</v>
      </c>
      <c r="C3003" s="553">
        <v>2</v>
      </c>
      <c r="D3003" s="553">
        <v>1</v>
      </c>
      <c r="E3003" s="553">
        <v>2</v>
      </c>
      <c r="F3003" s="553">
        <v>2</v>
      </c>
      <c r="G3003" s="553" t="s">
        <v>474</v>
      </c>
      <c r="H3003" s="553">
        <v>1320.23</v>
      </c>
      <c r="I3003" s="553">
        <v>89</v>
      </c>
      <c r="J3003" s="553">
        <v>40</v>
      </c>
      <c r="K3003" s="553">
        <v>52</v>
      </c>
      <c r="L3003" s="553">
        <v>3</v>
      </c>
      <c r="M3003" s="505" t="s">
        <v>137</v>
      </c>
      <c r="N3003" s="500">
        <v>43013534100000</v>
      </c>
      <c r="O3003" s="553" t="s">
        <v>3717</v>
      </c>
      <c r="P3003" s="650" t="s">
        <v>3726</v>
      </c>
      <c r="Q3003" s="564"/>
      <c r="R3003" s="564">
        <v>2</v>
      </c>
      <c r="S3003" s="484"/>
      <c r="T3003" s="484"/>
    </row>
    <row r="3004" spans="1:20" x14ac:dyDescent="0.25">
      <c r="A3004" s="553">
        <v>30</v>
      </c>
      <c r="B3004" s="553">
        <v>2</v>
      </c>
      <c r="C3004" s="553">
        <v>2</v>
      </c>
      <c r="D3004" s="553">
        <v>1</v>
      </c>
      <c r="E3004" s="553">
        <v>2</v>
      </c>
      <c r="F3004" s="553">
        <v>2</v>
      </c>
      <c r="G3004" s="502" t="s">
        <v>477</v>
      </c>
      <c r="H3004" s="553">
        <v>1325.89</v>
      </c>
      <c r="I3004" s="553">
        <v>89</v>
      </c>
      <c r="J3004" s="553">
        <v>55</v>
      </c>
      <c r="K3004" s="553">
        <v>50</v>
      </c>
      <c r="L3004" s="553">
        <v>3</v>
      </c>
      <c r="M3004" s="505" t="s">
        <v>137</v>
      </c>
      <c r="N3004" s="500">
        <v>43013534100000</v>
      </c>
      <c r="O3004" s="553" t="s">
        <v>3717</v>
      </c>
      <c r="P3004" s="650" t="s">
        <v>3727</v>
      </c>
      <c r="Q3004" s="564"/>
      <c r="R3004" s="564">
        <v>2</v>
      </c>
      <c r="S3004" s="484"/>
      <c r="T3004" s="484"/>
    </row>
    <row r="3005" spans="1:20" x14ac:dyDescent="0.25">
      <c r="A3005" s="553">
        <v>30</v>
      </c>
      <c r="B3005" s="553">
        <v>2</v>
      </c>
      <c r="C3005" s="553">
        <v>2</v>
      </c>
      <c r="D3005" s="553">
        <v>1</v>
      </c>
      <c r="E3005" s="553">
        <v>2</v>
      </c>
      <c r="F3005" s="553">
        <v>2</v>
      </c>
      <c r="G3005" s="553" t="s">
        <v>479</v>
      </c>
      <c r="H3005" s="553">
        <v>1313.32</v>
      </c>
      <c r="I3005" s="553">
        <v>89</v>
      </c>
      <c r="J3005" s="553">
        <v>54</v>
      </c>
      <c r="K3005" s="553">
        <v>11</v>
      </c>
      <c r="L3005" s="553">
        <v>3</v>
      </c>
      <c r="M3005" s="505" t="s">
        <v>137</v>
      </c>
      <c r="N3005" s="500">
        <v>43013534100000</v>
      </c>
      <c r="O3005" s="553" t="s">
        <v>3717</v>
      </c>
      <c r="P3005" s="650" t="s">
        <v>3728</v>
      </c>
      <c r="Q3005" s="564"/>
      <c r="R3005" s="564">
        <v>2</v>
      </c>
      <c r="S3005" s="484"/>
      <c r="T3005" s="484"/>
    </row>
    <row r="3006" spans="1:20" x14ac:dyDescent="0.25">
      <c r="A3006" s="553">
        <v>30</v>
      </c>
      <c r="B3006" s="553">
        <v>2</v>
      </c>
      <c r="C3006" s="553">
        <v>2</v>
      </c>
      <c r="D3006" s="553">
        <v>1</v>
      </c>
      <c r="E3006" s="553">
        <v>2</v>
      </c>
      <c r="F3006" s="553">
        <v>2</v>
      </c>
      <c r="G3006" s="553" t="s">
        <v>485</v>
      </c>
      <c r="H3006" s="553">
        <v>1313.32</v>
      </c>
      <c r="I3006" s="553">
        <v>89</v>
      </c>
      <c r="J3006" s="553">
        <v>54</v>
      </c>
      <c r="K3006" s="553">
        <v>11</v>
      </c>
      <c r="L3006" s="553">
        <v>3</v>
      </c>
      <c r="M3006" s="505" t="s">
        <v>137</v>
      </c>
      <c r="N3006" s="500">
        <v>43013534100000</v>
      </c>
      <c r="O3006" s="553" t="s">
        <v>3717</v>
      </c>
      <c r="P3006" s="650" t="s">
        <v>3729</v>
      </c>
      <c r="Q3006" s="564"/>
      <c r="R3006" s="564">
        <v>2</v>
      </c>
      <c r="S3006" s="484"/>
      <c r="T3006" s="484"/>
    </row>
    <row r="3007" spans="1:20" x14ac:dyDescent="0.25">
      <c r="A3007" s="553">
        <v>30</v>
      </c>
      <c r="B3007" s="553">
        <v>2</v>
      </c>
      <c r="C3007" s="553">
        <v>2</v>
      </c>
      <c r="D3007" s="553">
        <v>1</v>
      </c>
      <c r="E3007" s="553">
        <v>2</v>
      </c>
      <c r="F3007" s="553">
        <v>2</v>
      </c>
      <c r="G3007" s="553" t="s">
        <v>487</v>
      </c>
      <c r="H3007" s="553">
        <v>1323.27</v>
      </c>
      <c r="I3007" s="553">
        <v>89</v>
      </c>
      <c r="J3007" s="553">
        <v>54</v>
      </c>
      <c r="K3007" s="553">
        <v>35</v>
      </c>
      <c r="L3007" s="553">
        <v>3</v>
      </c>
      <c r="M3007" s="505" t="s">
        <v>137</v>
      </c>
      <c r="N3007" s="500">
        <v>43013534100000</v>
      </c>
      <c r="O3007" s="553" t="s">
        <v>3717</v>
      </c>
      <c r="P3007" s="650" t="s">
        <v>3730</v>
      </c>
      <c r="Q3007" s="564"/>
      <c r="R3007" s="564">
        <v>2</v>
      </c>
      <c r="S3007" s="484"/>
      <c r="T3007" s="484"/>
    </row>
    <row r="3008" spans="1:20" x14ac:dyDescent="0.25">
      <c r="A3008" s="553">
        <v>30</v>
      </c>
      <c r="B3008" s="553">
        <v>2</v>
      </c>
      <c r="C3008" s="553">
        <v>2</v>
      </c>
      <c r="D3008" s="553">
        <v>1</v>
      </c>
      <c r="E3008" s="553">
        <v>2</v>
      </c>
      <c r="F3008" s="553">
        <v>2</v>
      </c>
      <c r="G3008" s="502" t="s">
        <v>489</v>
      </c>
      <c r="H3008" s="553">
        <v>1319.36</v>
      </c>
      <c r="I3008" s="553">
        <v>89</v>
      </c>
      <c r="J3008" s="553">
        <v>54</v>
      </c>
      <c r="K3008" s="553">
        <v>6</v>
      </c>
      <c r="L3008" s="553">
        <v>3</v>
      </c>
      <c r="M3008" s="505" t="s">
        <v>137</v>
      </c>
      <c r="N3008" s="500">
        <v>43013534100000</v>
      </c>
      <c r="O3008" s="553" t="s">
        <v>3717</v>
      </c>
      <c r="P3008" s="650" t="s">
        <v>3731</v>
      </c>
      <c r="Q3008" s="564"/>
      <c r="R3008" s="564">
        <v>2</v>
      </c>
      <c r="S3008" s="484"/>
      <c r="T3008" s="484"/>
    </row>
    <row r="3009" spans="1:20" x14ac:dyDescent="0.25">
      <c r="A3009" s="553">
        <v>30</v>
      </c>
      <c r="B3009" s="553">
        <v>2</v>
      </c>
      <c r="C3009" s="553">
        <v>2</v>
      </c>
      <c r="D3009" s="553">
        <v>1</v>
      </c>
      <c r="E3009" s="553">
        <v>2</v>
      </c>
      <c r="F3009" s="553">
        <v>2</v>
      </c>
      <c r="G3009" s="553" t="s">
        <v>491</v>
      </c>
      <c r="H3009" s="553">
        <v>1321.94</v>
      </c>
      <c r="I3009" s="553">
        <v>89</v>
      </c>
      <c r="J3009" s="553">
        <v>54</v>
      </c>
      <c r="K3009" s="553">
        <v>3</v>
      </c>
      <c r="L3009" s="553">
        <v>3</v>
      </c>
      <c r="M3009" s="505" t="s">
        <v>137</v>
      </c>
      <c r="N3009" s="500">
        <v>43013534100000</v>
      </c>
      <c r="O3009" s="553" t="s">
        <v>3717</v>
      </c>
      <c r="P3009" s="650" t="s">
        <v>3732</v>
      </c>
      <c r="Q3009" s="564"/>
      <c r="R3009" s="564">
        <v>2</v>
      </c>
      <c r="S3009" s="484"/>
      <c r="T3009" s="484"/>
    </row>
    <row r="3010" spans="1:20" x14ac:dyDescent="0.25">
      <c r="A3010" s="553">
        <v>30</v>
      </c>
      <c r="B3010" s="553">
        <v>2</v>
      </c>
      <c r="C3010" s="553">
        <v>2</v>
      </c>
      <c r="D3010" s="553">
        <v>1</v>
      </c>
      <c r="E3010" s="553">
        <v>2</v>
      </c>
      <c r="F3010" s="553">
        <v>2</v>
      </c>
      <c r="G3010" s="553" t="s">
        <v>494</v>
      </c>
      <c r="H3010" s="553">
        <v>1321.94</v>
      </c>
      <c r="I3010" s="553">
        <v>89</v>
      </c>
      <c r="J3010" s="553">
        <v>54</v>
      </c>
      <c r="K3010" s="553">
        <v>3</v>
      </c>
      <c r="L3010" s="553">
        <v>3</v>
      </c>
      <c r="M3010" s="505" t="s">
        <v>137</v>
      </c>
      <c r="N3010" s="500">
        <v>43013534100000</v>
      </c>
      <c r="O3010" s="553" t="s">
        <v>3717</v>
      </c>
      <c r="P3010" s="650" t="s">
        <v>3733</v>
      </c>
      <c r="Q3010" s="564"/>
      <c r="R3010" s="564">
        <v>2</v>
      </c>
      <c r="S3010" s="484"/>
      <c r="T3010" s="484"/>
    </row>
    <row r="3011" spans="1:20" s="498" customFormat="1" x14ac:dyDescent="0.25">
      <c r="A3011" s="553">
        <v>30</v>
      </c>
      <c r="B3011" s="553">
        <v>2</v>
      </c>
      <c r="C3011" s="553">
        <v>2</v>
      </c>
      <c r="D3011" s="553">
        <v>3</v>
      </c>
      <c r="E3011" s="553">
        <v>2</v>
      </c>
      <c r="F3011" s="553">
        <v>2</v>
      </c>
      <c r="G3011" s="553" t="s">
        <v>473</v>
      </c>
      <c r="H3011" s="553">
        <v>1272.74</v>
      </c>
      <c r="I3011" s="553">
        <v>0</v>
      </c>
      <c r="J3011" s="553">
        <v>2</v>
      </c>
      <c r="K3011" s="553">
        <v>5</v>
      </c>
      <c r="L3011" s="553">
        <v>4</v>
      </c>
      <c r="M3011" s="505" t="s">
        <v>137</v>
      </c>
      <c r="N3011" s="500">
        <v>43013535220000</v>
      </c>
      <c r="O3011" s="553" t="s">
        <v>3734</v>
      </c>
      <c r="P3011" s="650" t="s">
        <v>3735</v>
      </c>
      <c r="Q3011" s="564"/>
      <c r="R3011" s="564">
        <v>1</v>
      </c>
    </row>
    <row r="3012" spans="1:20" s="498" customFormat="1" x14ac:dyDescent="0.25">
      <c r="A3012" s="553">
        <v>30</v>
      </c>
      <c r="B3012" s="553">
        <v>2</v>
      </c>
      <c r="C3012" s="553">
        <v>2</v>
      </c>
      <c r="D3012" s="553">
        <v>3</v>
      </c>
      <c r="E3012" s="553">
        <v>2</v>
      </c>
      <c r="F3012" s="553">
        <v>2</v>
      </c>
      <c r="G3012" s="502" t="s">
        <v>476</v>
      </c>
      <c r="H3012" s="553">
        <v>1272.74</v>
      </c>
      <c r="I3012" s="553">
        <v>0</v>
      </c>
      <c r="J3012" s="553">
        <v>2</v>
      </c>
      <c r="K3012" s="553">
        <v>5</v>
      </c>
      <c r="L3012" s="553">
        <v>4</v>
      </c>
      <c r="M3012" s="505" t="s">
        <v>137</v>
      </c>
      <c r="N3012" s="500">
        <v>43013535220000</v>
      </c>
      <c r="O3012" s="553" t="s">
        <v>3734</v>
      </c>
      <c r="P3012" s="650" t="s">
        <v>3736</v>
      </c>
      <c r="Q3012" s="564"/>
      <c r="R3012" s="564">
        <v>1</v>
      </c>
    </row>
    <row r="3013" spans="1:20" s="498" customFormat="1" x14ac:dyDescent="0.25">
      <c r="A3013" s="553">
        <v>30</v>
      </c>
      <c r="B3013" s="553">
        <v>2</v>
      </c>
      <c r="C3013" s="553">
        <v>2</v>
      </c>
      <c r="D3013" s="553">
        <v>3</v>
      </c>
      <c r="E3013" s="553">
        <v>2</v>
      </c>
      <c r="F3013" s="553">
        <v>2</v>
      </c>
      <c r="G3013" s="553" t="s">
        <v>478</v>
      </c>
      <c r="H3013" s="553">
        <v>1322.1949999999999</v>
      </c>
      <c r="I3013" s="553">
        <v>0</v>
      </c>
      <c r="J3013" s="553">
        <v>0</v>
      </c>
      <c r="K3013" s="553">
        <v>17</v>
      </c>
      <c r="L3013" s="553">
        <v>4</v>
      </c>
      <c r="M3013" s="505" t="s">
        <v>137</v>
      </c>
      <c r="N3013" s="500">
        <v>43013535220000</v>
      </c>
      <c r="O3013" s="553" t="s">
        <v>3734</v>
      </c>
      <c r="P3013" s="650" t="s">
        <v>3737</v>
      </c>
      <c r="Q3013" s="564"/>
      <c r="R3013" s="564">
        <v>1</v>
      </c>
    </row>
    <row r="3014" spans="1:20" s="498" customFormat="1" x14ac:dyDescent="0.25">
      <c r="A3014" s="553">
        <v>30</v>
      </c>
      <c r="B3014" s="553">
        <v>2</v>
      </c>
      <c r="C3014" s="553">
        <v>2</v>
      </c>
      <c r="D3014" s="553">
        <v>3</v>
      </c>
      <c r="E3014" s="553">
        <v>2</v>
      </c>
      <c r="F3014" s="553">
        <v>2</v>
      </c>
      <c r="G3014" s="553" t="s">
        <v>484</v>
      </c>
      <c r="H3014" s="553">
        <v>1322.1949999999999</v>
      </c>
      <c r="I3014" s="553">
        <v>0</v>
      </c>
      <c r="J3014" s="553">
        <v>0</v>
      </c>
      <c r="K3014" s="553">
        <v>17</v>
      </c>
      <c r="L3014" s="553">
        <v>4</v>
      </c>
      <c r="M3014" s="505" t="s">
        <v>137</v>
      </c>
      <c r="N3014" s="500">
        <v>43013535220000</v>
      </c>
      <c r="O3014" s="553" t="s">
        <v>3734</v>
      </c>
      <c r="P3014" s="650" t="s">
        <v>3738</v>
      </c>
      <c r="Q3014" s="564"/>
      <c r="R3014" s="564">
        <v>1</v>
      </c>
    </row>
    <row r="3015" spans="1:20" s="498" customFormat="1" x14ac:dyDescent="0.25">
      <c r="A3015" s="553">
        <v>30</v>
      </c>
      <c r="B3015" s="553">
        <v>2</v>
      </c>
      <c r="C3015" s="553">
        <v>2</v>
      </c>
      <c r="D3015" s="553">
        <v>3</v>
      </c>
      <c r="E3015" s="553">
        <v>2</v>
      </c>
      <c r="F3015" s="553">
        <v>2</v>
      </c>
      <c r="G3015" s="553" t="s">
        <v>486</v>
      </c>
      <c r="H3015" s="553">
        <v>1327.35</v>
      </c>
      <c r="I3015" s="553">
        <v>0</v>
      </c>
      <c r="J3015" s="553">
        <v>17</v>
      </c>
      <c r="K3015" s="553">
        <v>32</v>
      </c>
      <c r="L3015" s="553">
        <v>3</v>
      </c>
      <c r="M3015" s="505" t="s">
        <v>137</v>
      </c>
      <c r="N3015" s="500">
        <v>43013535220000</v>
      </c>
      <c r="O3015" s="553" t="s">
        <v>3734</v>
      </c>
      <c r="P3015" s="650" t="s">
        <v>3739</v>
      </c>
      <c r="Q3015" s="564"/>
      <c r="R3015" s="564">
        <v>1</v>
      </c>
    </row>
    <row r="3016" spans="1:20" s="498" customFormat="1" x14ac:dyDescent="0.25">
      <c r="A3016" s="553">
        <v>30</v>
      </c>
      <c r="B3016" s="553">
        <v>2</v>
      </c>
      <c r="C3016" s="553">
        <v>2</v>
      </c>
      <c r="D3016" s="553">
        <v>3</v>
      </c>
      <c r="E3016" s="553">
        <v>2</v>
      </c>
      <c r="F3016" s="553">
        <v>2</v>
      </c>
      <c r="G3016" s="502" t="s">
        <v>488</v>
      </c>
      <c r="H3016" s="553">
        <v>1327.35</v>
      </c>
      <c r="I3016" s="553">
        <v>0</v>
      </c>
      <c r="J3016" s="553">
        <v>17</v>
      </c>
      <c r="K3016" s="553">
        <v>32</v>
      </c>
      <c r="L3016" s="553">
        <v>3</v>
      </c>
      <c r="M3016" s="505" t="s">
        <v>137</v>
      </c>
      <c r="N3016" s="500">
        <v>43013535220000</v>
      </c>
      <c r="O3016" s="553" t="s">
        <v>3734</v>
      </c>
      <c r="P3016" s="650" t="s">
        <v>3740</v>
      </c>
      <c r="Q3016" s="564"/>
      <c r="R3016" s="564">
        <v>1</v>
      </c>
    </row>
    <row r="3017" spans="1:20" s="498" customFormat="1" x14ac:dyDescent="0.25">
      <c r="A3017" s="553">
        <v>30</v>
      </c>
      <c r="B3017" s="553">
        <v>2</v>
      </c>
      <c r="C3017" s="553">
        <v>2</v>
      </c>
      <c r="D3017" s="553">
        <v>3</v>
      </c>
      <c r="E3017" s="553">
        <v>2</v>
      </c>
      <c r="F3017" s="553">
        <v>2</v>
      </c>
      <c r="G3017" s="553" t="s">
        <v>490</v>
      </c>
      <c r="H3017" s="553">
        <v>1327.35</v>
      </c>
      <c r="I3017" s="553">
        <v>0</v>
      </c>
      <c r="J3017" s="553">
        <v>17</v>
      </c>
      <c r="K3017" s="553">
        <v>32</v>
      </c>
      <c r="L3017" s="553">
        <v>3</v>
      </c>
      <c r="M3017" s="505" t="s">
        <v>137</v>
      </c>
      <c r="N3017" s="500">
        <v>43013535220000</v>
      </c>
      <c r="O3017" s="553" t="s">
        <v>3734</v>
      </c>
      <c r="P3017" s="650" t="s">
        <v>3741</v>
      </c>
      <c r="Q3017" s="564"/>
      <c r="R3017" s="564">
        <v>1</v>
      </c>
    </row>
    <row r="3018" spans="1:20" s="498" customFormat="1" x14ac:dyDescent="0.25">
      <c r="A3018" s="553">
        <v>30</v>
      </c>
      <c r="B3018" s="553">
        <v>2</v>
      </c>
      <c r="C3018" s="553">
        <v>2</v>
      </c>
      <c r="D3018" s="553">
        <v>3</v>
      </c>
      <c r="E3018" s="553">
        <v>2</v>
      </c>
      <c r="F3018" s="553">
        <v>2</v>
      </c>
      <c r="G3018" s="553" t="s">
        <v>493</v>
      </c>
      <c r="H3018" s="553">
        <v>1327.35</v>
      </c>
      <c r="I3018" s="553">
        <v>0</v>
      </c>
      <c r="J3018" s="553">
        <v>17</v>
      </c>
      <c r="K3018" s="553">
        <v>32</v>
      </c>
      <c r="L3018" s="553">
        <v>3</v>
      </c>
      <c r="M3018" s="505" t="s">
        <v>137</v>
      </c>
      <c r="N3018" s="500">
        <v>43013535220000</v>
      </c>
      <c r="O3018" s="553" t="s">
        <v>3734</v>
      </c>
      <c r="P3018" s="650" t="s">
        <v>3742</v>
      </c>
      <c r="Q3018" s="564"/>
      <c r="R3018" s="564">
        <v>1</v>
      </c>
    </row>
    <row r="3019" spans="1:20" s="498" customFormat="1" x14ac:dyDescent="0.25">
      <c r="A3019" s="553">
        <v>30</v>
      </c>
      <c r="B3019" s="553">
        <v>2</v>
      </c>
      <c r="C3019" s="553">
        <v>2</v>
      </c>
      <c r="D3019" s="553">
        <v>3</v>
      </c>
      <c r="E3019" s="553">
        <v>2</v>
      </c>
      <c r="F3019" s="553">
        <v>2</v>
      </c>
      <c r="G3019" s="553" t="s">
        <v>474</v>
      </c>
      <c r="H3019" s="553">
        <v>1301.855</v>
      </c>
      <c r="I3019" s="553">
        <v>87</v>
      </c>
      <c r="J3019" s="553">
        <v>15</v>
      </c>
      <c r="K3019" s="553">
        <v>39</v>
      </c>
      <c r="L3019" s="553">
        <v>2</v>
      </c>
      <c r="M3019" s="505" t="s">
        <v>137</v>
      </c>
      <c r="N3019" s="500">
        <v>43013535220000</v>
      </c>
      <c r="O3019" s="553" t="s">
        <v>3734</v>
      </c>
      <c r="P3019" s="650" t="s">
        <v>3743</v>
      </c>
      <c r="Q3019" s="564"/>
      <c r="R3019" s="564">
        <v>1</v>
      </c>
    </row>
    <row r="3020" spans="1:20" s="498" customFormat="1" x14ac:dyDescent="0.25">
      <c r="A3020" s="553">
        <v>30</v>
      </c>
      <c r="B3020" s="553">
        <v>2</v>
      </c>
      <c r="C3020" s="553">
        <v>2</v>
      </c>
      <c r="D3020" s="553">
        <v>3</v>
      </c>
      <c r="E3020" s="553">
        <v>2</v>
      </c>
      <c r="F3020" s="553">
        <v>2</v>
      </c>
      <c r="G3020" s="502" t="s">
        <v>477</v>
      </c>
      <c r="H3020" s="553">
        <v>1301.855</v>
      </c>
      <c r="I3020" s="553">
        <v>87</v>
      </c>
      <c r="J3020" s="553">
        <v>15</v>
      </c>
      <c r="K3020" s="553">
        <v>39</v>
      </c>
      <c r="L3020" s="553">
        <v>2</v>
      </c>
      <c r="M3020" s="505" t="s">
        <v>137</v>
      </c>
      <c r="N3020" s="500">
        <v>43013535220000</v>
      </c>
      <c r="O3020" s="553" t="s">
        <v>3734</v>
      </c>
      <c r="P3020" s="650" t="s">
        <v>3744</v>
      </c>
      <c r="Q3020" s="564"/>
      <c r="R3020" s="564">
        <v>1</v>
      </c>
    </row>
    <row r="3021" spans="1:20" s="498" customFormat="1" x14ac:dyDescent="0.25">
      <c r="A3021" s="553">
        <v>30</v>
      </c>
      <c r="B3021" s="553">
        <v>2</v>
      </c>
      <c r="C3021" s="553">
        <v>2</v>
      </c>
      <c r="D3021" s="553">
        <v>3</v>
      </c>
      <c r="E3021" s="553">
        <v>2</v>
      </c>
      <c r="F3021" s="553">
        <v>2</v>
      </c>
      <c r="G3021" s="553" t="s">
        <v>479</v>
      </c>
      <c r="H3021" s="553">
        <v>1301.855</v>
      </c>
      <c r="I3021" s="553">
        <v>87</v>
      </c>
      <c r="J3021" s="553">
        <v>15</v>
      </c>
      <c r="K3021" s="553">
        <v>39</v>
      </c>
      <c r="L3021" s="553">
        <v>2</v>
      </c>
      <c r="M3021" s="505" t="s">
        <v>137</v>
      </c>
      <c r="N3021" s="500">
        <v>43013535220000</v>
      </c>
      <c r="O3021" s="553" t="s">
        <v>3734</v>
      </c>
      <c r="P3021" s="650" t="s">
        <v>3745</v>
      </c>
      <c r="Q3021" s="564"/>
      <c r="R3021" s="564">
        <v>1</v>
      </c>
    </row>
    <row r="3022" spans="1:20" s="498" customFormat="1" x14ac:dyDescent="0.25">
      <c r="A3022" s="553">
        <v>30</v>
      </c>
      <c r="B3022" s="553">
        <v>2</v>
      </c>
      <c r="C3022" s="553">
        <v>2</v>
      </c>
      <c r="D3022" s="553">
        <v>3</v>
      </c>
      <c r="E3022" s="553">
        <v>2</v>
      </c>
      <c r="F3022" s="553">
        <v>2</v>
      </c>
      <c r="G3022" s="553" t="s">
        <v>485</v>
      </c>
      <c r="H3022" s="553">
        <v>1301.855</v>
      </c>
      <c r="I3022" s="553">
        <v>87</v>
      </c>
      <c r="J3022" s="553">
        <v>15</v>
      </c>
      <c r="K3022" s="553">
        <v>39</v>
      </c>
      <c r="L3022" s="553">
        <v>2</v>
      </c>
      <c r="M3022" s="505" t="s">
        <v>137</v>
      </c>
      <c r="N3022" s="500">
        <v>43013535220000</v>
      </c>
      <c r="O3022" s="553" t="s">
        <v>3734</v>
      </c>
      <c r="P3022" s="650" t="s">
        <v>3746</v>
      </c>
      <c r="Q3022" s="564"/>
      <c r="R3022" s="564">
        <v>1</v>
      </c>
    </row>
    <row r="3023" spans="1:20" s="498" customFormat="1" x14ac:dyDescent="0.25">
      <c r="A3023" s="553">
        <v>30</v>
      </c>
      <c r="B3023" s="553">
        <v>2</v>
      </c>
      <c r="C3023" s="553">
        <v>2</v>
      </c>
      <c r="D3023" s="553">
        <v>3</v>
      </c>
      <c r="E3023" s="553">
        <v>2</v>
      </c>
      <c r="F3023" s="553">
        <v>2</v>
      </c>
      <c r="G3023" s="553" t="s">
        <v>487</v>
      </c>
      <c r="H3023" s="553">
        <v>1294.8125</v>
      </c>
      <c r="I3023" s="553">
        <v>86</v>
      </c>
      <c r="J3023" s="553">
        <v>39</v>
      </c>
      <c r="K3023" s="553">
        <v>33</v>
      </c>
      <c r="L3023" s="553">
        <v>3</v>
      </c>
      <c r="M3023" s="505" t="s">
        <v>137</v>
      </c>
      <c r="N3023" s="500">
        <v>43013535220000</v>
      </c>
      <c r="O3023" s="553" t="s">
        <v>3734</v>
      </c>
      <c r="P3023" s="650" t="s">
        <v>3747</v>
      </c>
      <c r="Q3023" s="564"/>
      <c r="R3023" s="564">
        <v>1</v>
      </c>
    </row>
    <row r="3024" spans="1:20" s="498" customFormat="1" x14ac:dyDescent="0.25">
      <c r="A3024" s="553">
        <v>30</v>
      </c>
      <c r="B3024" s="553">
        <v>2</v>
      </c>
      <c r="C3024" s="553">
        <v>2</v>
      </c>
      <c r="D3024" s="553">
        <v>3</v>
      </c>
      <c r="E3024" s="553">
        <v>2</v>
      </c>
      <c r="F3024" s="553">
        <v>2</v>
      </c>
      <c r="G3024" s="502" t="s">
        <v>489</v>
      </c>
      <c r="H3024" s="553">
        <v>1294.8125</v>
      </c>
      <c r="I3024" s="553">
        <v>86</v>
      </c>
      <c r="J3024" s="553">
        <v>39</v>
      </c>
      <c r="K3024" s="553">
        <v>33</v>
      </c>
      <c r="L3024" s="553">
        <v>3</v>
      </c>
      <c r="M3024" s="554" t="s">
        <v>137</v>
      </c>
      <c r="N3024" s="500">
        <v>43013535220000</v>
      </c>
      <c r="O3024" s="553" t="s">
        <v>3734</v>
      </c>
      <c r="P3024" s="650" t="s">
        <v>3748</v>
      </c>
      <c r="Q3024" s="564"/>
      <c r="R3024" s="564">
        <v>1</v>
      </c>
    </row>
    <row r="3025" spans="1:18" s="498" customFormat="1" x14ac:dyDescent="0.25">
      <c r="A3025" s="553">
        <v>30</v>
      </c>
      <c r="B3025" s="553">
        <v>2</v>
      </c>
      <c r="C3025" s="553">
        <v>2</v>
      </c>
      <c r="D3025" s="553">
        <v>3</v>
      </c>
      <c r="E3025" s="553">
        <v>2</v>
      </c>
      <c r="F3025" s="553">
        <v>2</v>
      </c>
      <c r="G3025" s="553" t="s">
        <v>491</v>
      </c>
      <c r="H3025" s="553">
        <v>1294.8125</v>
      </c>
      <c r="I3025" s="553">
        <v>86</v>
      </c>
      <c r="J3025" s="553">
        <v>39</v>
      </c>
      <c r="K3025" s="553">
        <v>33</v>
      </c>
      <c r="L3025" s="553">
        <v>3</v>
      </c>
      <c r="M3025" s="554" t="s">
        <v>137</v>
      </c>
      <c r="N3025" s="500">
        <v>43013535220000</v>
      </c>
      <c r="O3025" s="553" t="s">
        <v>3734</v>
      </c>
      <c r="P3025" s="650" t="s">
        <v>3749</v>
      </c>
      <c r="Q3025" s="564"/>
      <c r="R3025" s="564">
        <v>1</v>
      </c>
    </row>
    <row r="3026" spans="1:18" s="498" customFormat="1" x14ac:dyDescent="0.25">
      <c r="A3026" s="553">
        <v>30</v>
      </c>
      <c r="B3026" s="553">
        <v>2</v>
      </c>
      <c r="C3026" s="553">
        <v>2</v>
      </c>
      <c r="D3026" s="553">
        <v>3</v>
      </c>
      <c r="E3026" s="553">
        <v>2</v>
      </c>
      <c r="F3026" s="553">
        <v>2</v>
      </c>
      <c r="G3026" s="553" t="s">
        <v>494</v>
      </c>
      <c r="H3026" s="553">
        <v>1294.8125</v>
      </c>
      <c r="I3026" s="553">
        <v>86</v>
      </c>
      <c r="J3026" s="553">
        <v>39</v>
      </c>
      <c r="K3026" s="553">
        <v>33</v>
      </c>
      <c r="L3026" s="553">
        <v>3</v>
      </c>
      <c r="M3026" s="554" t="s">
        <v>137</v>
      </c>
      <c r="N3026" s="500">
        <v>43013535220000</v>
      </c>
      <c r="O3026" s="553" t="s">
        <v>3734</v>
      </c>
      <c r="P3026" s="650" t="s">
        <v>3750</v>
      </c>
      <c r="Q3026" s="564"/>
      <c r="R3026" s="564">
        <v>1</v>
      </c>
    </row>
    <row r="3027" spans="1:18" x14ac:dyDescent="0.25">
      <c r="A3027" s="553">
        <v>30</v>
      </c>
      <c r="B3027" s="553">
        <v>3</v>
      </c>
      <c r="C3027" s="553">
        <v>2</v>
      </c>
      <c r="D3027" s="553">
        <v>1</v>
      </c>
      <c r="E3027" s="553">
        <v>1</v>
      </c>
      <c r="F3027" s="553">
        <v>2</v>
      </c>
      <c r="G3027" s="553" t="s">
        <v>473</v>
      </c>
      <c r="H3027" s="553">
        <v>1409.7750000000001</v>
      </c>
      <c r="I3027" s="553">
        <v>0</v>
      </c>
      <c r="J3027" s="553">
        <v>3</v>
      </c>
      <c r="K3027" s="553">
        <v>49</v>
      </c>
      <c r="L3027" s="553">
        <v>3</v>
      </c>
      <c r="M3027" s="554" t="s">
        <v>137</v>
      </c>
      <c r="N3027" s="500">
        <v>43047560280000</v>
      </c>
      <c r="O3027" s="553" t="s">
        <v>3751</v>
      </c>
      <c r="P3027" s="650" t="s">
        <v>3752</v>
      </c>
      <c r="Q3027" s="564"/>
      <c r="R3027" s="564">
        <v>2</v>
      </c>
    </row>
    <row r="3028" spans="1:18" x14ac:dyDescent="0.25">
      <c r="A3028" s="553">
        <v>30</v>
      </c>
      <c r="B3028" s="553">
        <v>3</v>
      </c>
      <c r="C3028" s="553">
        <v>2</v>
      </c>
      <c r="D3028" s="553">
        <v>1</v>
      </c>
      <c r="E3028" s="553">
        <v>1</v>
      </c>
      <c r="F3028" s="553">
        <v>2</v>
      </c>
      <c r="G3028" s="502" t="s">
        <v>476</v>
      </c>
      <c r="H3028" s="553">
        <v>1409.7750000000001</v>
      </c>
      <c r="I3028" s="553">
        <v>0</v>
      </c>
      <c r="J3028" s="553">
        <v>3</v>
      </c>
      <c r="K3028" s="553">
        <v>49</v>
      </c>
      <c r="L3028" s="553">
        <v>3</v>
      </c>
      <c r="M3028" s="554" t="s">
        <v>137</v>
      </c>
      <c r="N3028" s="500">
        <v>43047560280000</v>
      </c>
      <c r="O3028" s="553" t="s">
        <v>3751</v>
      </c>
      <c r="P3028" s="650" t="s">
        <v>3753</v>
      </c>
      <c r="Q3028" s="564"/>
      <c r="R3028" s="564">
        <v>2</v>
      </c>
    </row>
    <row r="3029" spans="1:18" x14ac:dyDescent="0.25">
      <c r="A3029" s="553">
        <v>30</v>
      </c>
      <c r="B3029" s="553">
        <v>3</v>
      </c>
      <c r="C3029" s="553">
        <v>2</v>
      </c>
      <c r="D3029" s="553">
        <v>1</v>
      </c>
      <c r="E3029" s="553">
        <v>1</v>
      </c>
      <c r="F3029" s="553">
        <v>2</v>
      </c>
      <c r="G3029" s="553" t="s">
        <v>478</v>
      </c>
      <c r="H3029" s="553">
        <v>1319.5650000000001</v>
      </c>
      <c r="I3029" s="553">
        <v>0</v>
      </c>
      <c r="J3029" s="553">
        <v>2</v>
      </c>
      <c r="K3029" s="553">
        <v>4</v>
      </c>
      <c r="L3029" s="553">
        <v>3</v>
      </c>
      <c r="M3029" s="554" t="s">
        <v>137</v>
      </c>
      <c r="N3029" s="500">
        <v>43047560280000</v>
      </c>
      <c r="O3029" s="553" t="s">
        <v>3751</v>
      </c>
      <c r="P3029" s="650" t="s">
        <v>3754</v>
      </c>
      <c r="Q3029" s="564"/>
      <c r="R3029" s="564">
        <v>2</v>
      </c>
    </row>
    <row r="3030" spans="1:18" x14ac:dyDescent="0.25">
      <c r="A3030" s="553">
        <v>30</v>
      </c>
      <c r="B3030" s="553">
        <v>3</v>
      </c>
      <c r="C3030" s="553">
        <v>2</v>
      </c>
      <c r="D3030" s="553">
        <v>1</v>
      </c>
      <c r="E3030" s="553">
        <v>1</v>
      </c>
      <c r="F3030" s="553">
        <v>2</v>
      </c>
      <c r="G3030" s="553" t="s">
        <v>484</v>
      </c>
      <c r="H3030" s="553">
        <v>1319.5650000000001</v>
      </c>
      <c r="I3030" s="553">
        <v>0</v>
      </c>
      <c r="J3030" s="553">
        <v>2</v>
      </c>
      <c r="K3030" s="553">
        <v>4</v>
      </c>
      <c r="L3030" s="553">
        <v>3</v>
      </c>
      <c r="M3030" s="554" t="s">
        <v>137</v>
      </c>
      <c r="N3030" s="500">
        <v>43047560280000</v>
      </c>
      <c r="O3030" s="553" t="s">
        <v>3751</v>
      </c>
      <c r="P3030" s="650" t="s">
        <v>3755</v>
      </c>
      <c r="Q3030" s="564"/>
      <c r="R3030" s="564">
        <v>2</v>
      </c>
    </row>
    <row r="3031" spans="1:18" x14ac:dyDescent="0.25">
      <c r="A3031" s="553">
        <v>30</v>
      </c>
      <c r="B3031" s="553">
        <v>3</v>
      </c>
      <c r="C3031" s="553">
        <v>2</v>
      </c>
      <c r="D3031" s="553">
        <v>1</v>
      </c>
      <c r="E3031" s="553">
        <v>1</v>
      </c>
      <c r="F3031" s="553">
        <v>2</v>
      </c>
      <c r="G3031" s="553" t="s">
        <v>486</v>
      </c>
      <c r="H3031" s="553">
        <v>1317.58</v>
      </c>
      <c r="I3031" s="553">
        <v>0</v>
      </c>
      <c r="J3031" s="553">
        <v>48</v>
      </c>
      <c r="K3031" s="553">
        <v>59</v>
      </c>
      <c r="L3031" s="553">
        <v>3</v>
      </c>
      <c r="M3031" s="554" t="s">
        <v>137</v>
      </c>
      <c r="N3031" s="500">
        <v>43047560280000</v>
      </c>
      <c r="O3031" s="553" t="s">
        <v>3751</v>
      </c>
      <c r="P3031" s="650" t="s">
        <v>3756</v>
      </c>
      <c r="Q3031" s="564"/>
      <c r="R3031" s="564">
        <v>2</v>
      </c>
    </row>
    <row r="3032" spans="1:18" x14ac:dyDescent="0.25">
      <c r="A3032" s="553">
        <v>30</v>
      </c>
      <c r="B3032" s="553">
        <v>3</v>
      </c>
      <c r="C3032" s="553">
        <v>2</v>
      </c>
      <c r="D3032" s="553">
        <v>1</v>
      </c>
      <c r="E3032" s="553">
        <v>1</v>
      </c>
      <c r="F3032" s="553">
        <v>2</v>
      </c>
      <c r="G3032" s="502" t="s">
        <v>488</v>
      </c>
      <c r="H3032" s="553">
        <v>1317.58</v>
      </c>
      <c r="I3032" s="553">
        <v>0</v>
      </c>
      <c r="J3032" s="553">
        <v>48</v>
      </c>
      <c r="K3032" s="553">
        <v>59</v>
      </c>
      <c r="L3032" s="553">
        <v>3</v>
      </c>
      <c r="M3032" s="554" t="s">
        <v>137</v>
      </c>
      <c r="N3032" s="500">
        <v>43047560280000</v>
      </c>
      <c r="O3032" s="553" t="s">
        <v>3751</v>
      </c>
      <c r="P3032" s="650" t="s">
        <v>3757</v>
      </c>
      <c r="Q3032" s="564"/>
      <c r="R3032" s="564">
        <v>2</v>
      </c>
    </row>
    <row r="3033" spans="1:18" x14ac:dyDescent="0.25">
      <c r="A3033" s="553">
        <v>30</v>
      </c>
      <c r="B3033" s="553">
        <v>3</v>
      </c>
      <c r="C3033" s="553">
        <v>2</v>
      </c>
      <c r="D3033" s="553">
        <v>1</v>
      </c>
      <c r="E3033" s="553">
        <v>1</v>
      </c>
      <c r="F3033" s="553">
        <v>2</v>
      </c>
      <c r="G3033" s="553" t="s">
        <v>490</v>
      </c>
      <c r="H3033" s="553">
        <v>1316.91</v>
      </c>
      <c r="I3033" s="553">
        <v>0</v>
      </c>
      <c r="J3033" s="553">
        <v>18</v>
      </c>
      <c r="K3033" s="553">
        <v>59</v>
      </c>
      <c r="L3033" s="553">
        <v>3</v>
      </c>
      <c r="M3033" s="554" t="s">
        <v>137</v>
      </c>
      <c r="N3033" s="500">
        <v>43047560280000</v>
      </c>
      <c r="O3033" s="553" t="s">
        <v>3751</v>
      </c>
      <c r="P3033" s="650" t="s">
        <v>3758</v>
      </c>
      <c r="Q3033" s="564"/>
      <c r="R3033" s="564">
        <v>2</v>
      </c>
    </row>
    <row r="3034" spans="1:18" x14ac:dyDescent="0.25">
      <c r="A3034" s="553">
        <v>30</v>
      </c>
      <c r="B3034" s="553">
        <v>3</v>
      </c>
      <c r="C3034" s="553">
        <v>2</v>
      </c>
      <c r="D3034" s="553">
        <v>1</v>
      </c>
      <c r="E3034" s="553">
        <v>1</v>
      </c>
      <c r="F3034" s="553">
        <v>2</v>
      </c>
      <c r="G3034" s="553" t="s">
        <v>493</v>
      </c>
      <c r="H3034" s="553">
        <v>1316.91</v>
      </c>
      <c r="I3034" s="553">
        <v>0</v>
      </c>
      <c r="J3034" s="553">
        <v>18</v>
      </c>
      <c r="K3034" s="553">
        <v>59</v>
      </c>
      <c r="L3034" s="553">
        <v>3</v>
      </c>
      <c r="M3034" s="554" t="s">
        <v>137</v>
      </c>
      <c r="N3034" s="500">
        <v>43047560280000</v>
      </c>
      <c r="O3034" s="553" t="s">
        <v>3751</v>
      </c>
      <c r="P3034" s="650" t="s">
        <v>3759</v>
      </c>
      <c r="Q3034" s="564"/>
      <c r="R3034" s="564">
        <v>2</v>
      </c>
    </row>
    <row r="3035" spans="1:18" x14ac:dyDescent="0.25">
      <c r="A3035" s="553">
        <v>30</v>
      </c>
      <c r="B3035" s="553">
        <v>3</v>
      </c>
      <c r="C3035" s="553">
        <v>2</v>
      </c>
      <c r="D3035" s="553">
        <v>1</v>
      </c>
      <c r="E3035" s="553">
        <v>1</v>
      </c>
      <c r="F3035" s="553">
        <v>2</v>
      </c>
      <c r="G3035" s="553" t="s">
        <v>474</v>
      </c>
      <c r="H3035" s="553">
        <v>1321.075</v>
      </c>
      <c r="I3035" s="553">
        <v>89</v>
      </c>
      <c r="J3035" s="553">
        <v>51</v>
      </c>
      <c r="K3035" s="553">
        <v>15</v>
      </c>
      <c r="L3035" s="553">
        <v>2</v>
      </c>
      <c r="M3035" s="554" t="s">
        <v>137</v>
      </c>
      <c r="N3035" s="500">
        <v>43047560280000</v>
      </c>
      <c r="O3035" s="553" t="s">
        <v>3751</v>
      </c>
      <c r="P3035" s="650" t="s">
        <v>3760</v>
      </c>
      <c r="Q3035" s="564"/>
      <c r="R3035" s="564">
        <v>2</v>
      </c>
    </row>
    <row r="3036" spans="1:18" x14ac:dyDescent="0.25">
      <c r="A3036" s="553">
        <v>30</v>
      </c>
      <c r="B3036" s="553">
        <v>3</v>
      </c>
      <c r="C3036" s="553">
        <v>2</v>
      </c>
      <c r="D3036" s="553">
        <v>1</v>
      </c>
      <c r="E3036" s="553">
        <v>1</v>
      </c>
      <c r="F3036" s="553">
        <v>2</v>
      </c>
      <c r="G3036" s="502" t="s">
        <v>477</v>
      </c>
      <c r="H3036" s="553">
        <v>1321.075</v>
      </c>
      <c r="I3036" s="553">
        <v>89</v>
      </c>
      <c r="J3036" s="553">
        <v>51</v>
      </c>
      <c r="K3036" s="553">
        <v>15</v>
      </c>
      <c r="L3036" s="553">
        <v>2</v>
      </c>
      <c r="M3036" s="554" t="s">
        <v>137</v>
      </c>
      <c r="N3036" s="500">
        <v>43047560280000</v>
      </c>
      <c r="O3036" s="553" t="s">
        <v>3751</v>
      </c>
      <c r="P3036" s="650" t="s">
        <v>3761</v>
      </c>
      <c r="Q3036" s="564"/>
      <c r="R3036" s="564">
        <v>2</v>
      </c>
    </row>
    <row r="3037" spans="1:18" x14ac:dyDescent="0.25">
      <c r="A3037" s="553">
        <v>30</v>
      </c>
      <c r="B3037" s="553">
        <v>3</v>
      </c>
      <c r="C3037" s="553">
        <v>2</v>
      </c>
      <c r="D3037" s="553">
        <v>1</v>
      </c>
      <c r="E3037" s="553">
        <v>1</v>
      </c>
      <c r="F3037" s="553">
        <v>2</v>
      </c>
      <c r="G3037" s="553" t="s">
        <v>479</v>
      </c>
      <c r="H3037" s="553">
        <v>1298.58</v>
      </c>
      <c r="I3037" s="553">
        <v>89</v>
      </c>
      <c r="J3037" s="553">
        <v>58</v>
      </c>
      <c r="K3037" s="553">
        <v>37</v>
      </c>
      <c r="L3037" s="553">
        <v>3</v>
      </c>
      <c r="M3037" s="554" t="s">
        <v>137</v>
      </c>
      <c r="N3037" s="500">
        <v>43047560280000</v>
      </c>
      <c r="O3037" s="553" t="s">
        <v>3751</v>
      </c>
      <c r="P3037" s="650" t="s">
        <v>3762</v>
      </c>
      <c r="Q3037" s="564"/>
      <c r="R3037" s="564">
        <v>2</v>
      </c>
    </row>
    <row r="3038" spans="1:18" x14ac:dyDescent="0.25">
      <c r="A3038" s="553">
        <v>30</v>
      </c>
      <c r="B3038" s="553">
        <v>3</v>
      </c>
      <c r="C3038" s="553">
        <v>2</v>
      </c>
      <c r="D3038" s="553">
        <v>1</v>
      </c>
      <c r="E3038" s="553">
        <v>1</v>
      </c>
      <c r="F3038" s="553">
        <v>2</v>
      </c>
      <c r="G3038" s="553" t="s">
        <v>485</v>
      </c>
      <c r="H3038" s="553">
        <v>1324.86</v>
      </c>
      <c r="I3038" s="553">
        <v>89</v>
      </c>
      <c r="J3038" s="553">
        <v>58</v>
      </c>
      <c r="K3038" s="553">
        <v>37</v>
      </c>
      <c r="L3038" s="553">
        <v>3</v>
      </c>
      <c r="M3038" s="554" t="s">
        <v>137</v>
      </c>
      <c r="N3038" s="500">
        <v>43047560280000</v>
      </c>
      <c r="O3038" s="553" t="s">
        <v>3751</v>
      </c>
      <c r="P3038" s="650" t="s">
        <v>3763</v>
      </c>
      <c r="Q3038" s="564"/>
      <c r="R3038" s="564">
        <v>2</v>
      </c>
    </row>
    <row r="3039" spans="1:18" x14ac:dyDescent="0.25">
      <c r="A3039" s="553">
        <v>30</v>
      </c>
      <c r="B3039" s="553">
        <v>3</v>
      </c>
      <c r="C3039" s="553">
        <v>2</v>
      </c>
      <c r="D3039" s="553">
        <v>1</v>
      </c>
      <c r="E3039" s="553">
        <v>1</v>
      </c>
      <c r="F3039" s="553">
        <v>2</v>
      </c>
      <c r="G3039" s="553" t="s">
        <v>487</v>
      </c>
      <c r="H3039" s="553">
        <v>1319.67</v>
      </c>
      <c r="I3039" s="553">
        <v>89</v>
      </c>
      <c r="J3039" s="553">
        <v>25</v>
      </c>
      <c r="K3039" s="553">
        <v>4</v>
      </c>
      <c r="L3039" s="553">
        <v>4</v>
      </c>
      <c r="M3039" s="554" t="s">
        <v>137</v>
      </c>
      <c r="N3039" s="500">
        <v>43047560280000</v>
      </c>
      <c r="O3039" s="553" t="s">
        <v>3751</v>
      </c>
      <c r="P3039" s="650" t="s">
        <v>3764</v>
      </c>
      <c r="Q3039" s="564"/>
      <c r="R3039" s="564">
        <v>2</v>
      </c>
    </row>
    <row r="3040" spans="1:18" x14ac:dyDescent="0.25">
      <c r="A3040" s="553">
        <v>30</v>
      </c>
      <c r="B3040" s="553">
        <v>3</v>
      </c>
      <c r="C3040" s="553">
        <v>2</v>
      </c>
      <c r="D3040" s="553">
        <v>1</v>
      </c>
      <c r="E3040" s="553">
        <v>1</v>
      </c>
      <c r="F3040" s="553">
        <v>2</v>
      </c>
      <c r="G3040" s="502" t="s">
        <v>489</v>
      </c>
      <c r="H3040" s="553">
        <v>1319.7</v>
      </c>
      <c r="I3040" s="553">
        <v>89</v>
      </c>
      <c r="J3040" s="553">
        <v>24</v>
      </c>
      <c r="K3040" s="553">
        <v>36</v>
      </c>
      <c r="L3040" s="553">
        <v>4</v>
      </c>
      <c r="M3040" s="505" t="s">
        <v>137</v>
      </c>
      <c r="N3040" s="500">
        <v>43047560280000</v>
      </c>
      <c r="O3040" s="553" t="s">
        <v>3751</v>
      </c>
      <c r="P3040" s="650" t="s">
        <v>3765</v>
      </c>
      <c r="Q3040" s="564"/>
      <c r="R3040" s="564">
        <v>2</v>
      </c>
    </row>
    <row r="3041" spans="1:18" x14ac:dyDescent="0.25">
      <c r="A3041" s="553">
        <v>30</v>
      </c>
      <c r="B3041" s="553">
        <v>3</v>
      </c>
      <c r="C3041" s="553">
        <v>2</v>
      </c>
      <c r="D3041" s="553">
        <v>1</v>
      </c>
      <c r="E3041" s="553">
        <v>1</v>
      </c>
      <c r="F3041" s="553">
        <v>2</v>
      </c>
      <c r="G3041" s="553" t="s">
        <v>491</v>
      </c>
      <c r="H3041" s="553">
        <v>1331.72</v>
      </c>
      <c r="I3041" s="553">
        <v>89</v>
      </c>
      <c r="J3041" s="553">
        <v>49</v>
      </c>
      <c r="K3041" s="553">
        <v>53</v>
      </c>
      <c r="L3041" s="553">
        <v>4</v>
      </c>
      <c r="M3041" s="505" t="s">
        <v>137</v>
      </c>
      <c r="N3041" s="500">
        <v>43047560280000</v>
      </c>
      <c r="O3041" s="553" t="s">
        <v>3751</v>
      </c>
      <c r="P3041" s="650" t="s">
        <v>3766</v>
      </c>
      <c r="Q3041" s="564"/>
      <c r="R3041" s="564">
        <v>2</v>
      </c>
    </row>
    <row r="3042" spans="1:18" x14ac:dyDescent="0.25">
      <c r="A3042" s="553">
        <v>30</v>
      </c>
      <c r="B3042" s="553">
        <v>3</v>
      </c>
      <c r="C3042" s="553">
        <v>2</v>
      </c>
      <c r="D3042" s="553">
        <v>1</v>
      </c>
      <c r="E3042" s="553">
        <v>1</v>
      </c>
      <c r="F3042" s="553">
        <v>2</v>
      </c>
      <c r="G3042" s="553" t="s">
        <v>494</v>
      </c>
      <c r="H3042" s="553">
        <v>1305.76</v>
      </c>
      <c r="I3042" s="553">
        <v>89</v>
      </c>
      <c r="J3042" s="553">
        <v>51</v>
      </c>
      <c r="K3042" s="553">
        <v>46</v>
      </c>
      <c r="L3042" s="553">
        <v>4</v>
      </c>
      <c r="M3042" s="505" t="s">
        <v>137</v>
      </c>
      <c r="N3042" s="500">
        <v>43047560280000</v>
      </c>
      <c r="O3042" s="553" t="s">
        <v>3751</v>
      </c>
      <c r="P3042" s="650" t="s">
        <v>3767</v>
      </c>
      <c r="Q3042" s="564"/>
      <c r="R3042" s="564">
        <v>2</v>
      </c>
    </row>
    <row r="3043" spans="1:18" s="484" customFormat="1" x14ac:dyDescent="0.25">
      <c r="A3043" s="553">
        <v>30</v>
      </c>
      <c r="B3043" s="553">
        <v>7</v>
      </c>
      <c r="C3043" s="553">
        <v>2</v>
      </c>
      <c r="D3043" s="553">
        <v>20</v>
      </c>
      <c r="E3043" s="553">
        <v>1</v>
      </c>
      <c r="F3043" s="553">
        <v>1</v>
      </c>
      <c r="G3043" s="553" t="s">
        <v>473</v>
      </c>
      <c r="H3043" s="553">
        <v>1282.03</v>
      </c>
      <c r="I3043" s="553">
        <v>0</v>
      </c>
      <c r="J3043" s="553">
        <v>7</v>
      </c>
      <c r="K3043" s="553">
        <v>28</v>
      </c>
      <c r="L3043" s="553">
        <v>2</v>
      </c>
      <c r="M3043" s="505" t="s">
        <v>137</v>
      </c>
      <c r="N3043" s="500">
        <v>4304756505</v>
      </c>
      <c r="O3043" s="553" t="s">
        <v>3682</v>
      </c>
      <c r="P3043" s="650" t="s">
        <v>3768</v>
      </c>
      <c r="Q3043" s="564"/>
      <c r="R3043" s="564">
        <v>1</v>
      </c>
    </row>
    <row r="3044" spans="1:18" s="484" customFormat="1" x14ac:dyDescent="0.25">
      <c r="A3044" s="553">
        <v>30</v>
      </c>
      <c r="B3044" s="553">
        <v>7</v>
      </c>
      <c r="C3044" s="553">
        <v>2</v>
      </c>
      <c r="D3044" s="553">
        <v>20</v>
      </c>
      <c r="E3044" s="553">
        <v>1</v>
      </c>
      <c r="F3044" s="553">
        <v>1</v>
      </c>
      <c r="G3044" s="502" t="s">
        <v>476</v>
      </c>
      <c r="H3044" s="553">
        <v>1318.45</v>
      </c>
      <c r="I3044" s="553">
        <v>0</v>
      </c>
      <c r="J3044" s="553">
        <v>3</v>
      </c>
      <c r="K3044" s="553">
        <v>21</v>
      </c>
      <c r="L3044" s="553">
        <v>4</v>
      </c>
      <c r="M3044" s="505" t="s">
        <v>137</v>
      </c>
      <c r="N3044" s="500">
        <v>4304756505</v>
      </c>
      <c r="O3044" s="553" t="s">
        <v>3682</v>
      </c>
      <c r="P3044" s="650" t="s">
        <v>3769</v>
      </c>
      <c r="Q3044" s="564"/>
      <c r="R3044" s="564">
        <v>1</v>
      </c>
    </row>
    <row r="3045" spans="1:18" s="484" customFormat="1" x14ac:dyDescent="0.25">
      <c r="A3045" s="553">
        <v>30</v>
      </c>
      <c r="B3045" s="553">
        <v>7</v>
      </c>
      <c r="C3045" s="553">
        <v>2</v>
      </c>
      <c r="D3045" s="553">
        <v>20</v>
      </c>
      <c r="E3045" s="553">
        <v>1</v>
      </c>
      <c r="F3045" s="553">
        <v>1</v>
      </c>
      <c r="G3045" s="553" t="s">
        <v>478</v>
      </c>
      <c r="H3045" s="553">
        <v>1295.9100000000001</v>
      </c>
      <c r="I3045" s="553">
        <v>0</v>
      </c>
      <c r="J3045" s="553">
        <v>42</v>
      </c>
      <c r="K3045" s="553">
        <v>35</v>
      </c>
      <c r="L3045" s="553">
        <v>3</v>
      </c>
      <c r="M3045" s="505" t="s">
        <v>137</v>
      </c>
      <c r="N3045" s="500">
        <v>4304756505</v>
      </c>
      <c r="O3045" s="553" t="s">
        <v>3682</v>
      </c>
      <c r="P3045" s="650" t="s">
        <v>3770</v>
      </c>
      <c r="Q3045" s="564"/>
      <c r="R3045" s="564">
        <v>1</v>
      </c>
    </row>
    <row r="3046" spans="1:18" s="484" customFormat="1" x14ac:dyDescent="0.25">
      <c r="A3046" s="553">
        <v>30</v>
      </c>
      <c r="B3046" s="553">
        <v>7</v>
      </c>
      <c r="C3046" s="553">
        <v>2</v>
      </c>
      <c r="D3046" s="553">
        <v>20</v>
      </c>
      <c r="E3046" s="553">
        <v>1</v>
      </c>
      <c r="F3046" s="553">
        <v>1</v>
      </c>
      <c r="G3046" s="553" t="s">
        <v>484</v>
      </c>
      <c r="H3046" s="553">
        <v>1348.91</v>
      </c>
      <c r="I3046" s="553">
        <v>0</v>
      </c>
      <c r="J3046" s="553">
        <v>43</v>
      </c>
      <c r="K3046" s="553">
        <v>34</v>
      </c>
      <c r="L3046" s="553">
        <v>1</v>
      </c>
      <c r="M3046" s="505" t="s">
        <v>137</v>
      </c>
      <c r="N3046" s="500">
        <v>4304756505</v>
      </c>
      <c r="O3046" s="553" t="s">
        <v>3682</v>
      </c>
      <c r="P3046" s="650" t="s">
        <v>3771</v>
      </c>
      <c r="Q3046" s="564"/>
      <c r="R3046" s="564">
        <v>1</v>
      </c>
    </row>
    <row r="3047" spans="1:18" s="484" customFormat="1" x14ac:dyDescent="0.25">
      <c r="A3047" s="553">
        <v>30</v>
      </c>
      <c r="B3047" s="553">
        <v>7</v>
      </c>
      <c r="C3047" s="553">
        <v>2</v>
      </c>
      <c r="D3047" s="553">
        <v>20</v>
      </c>
      <c r="E3047" s="553">
        <v>1</v>
      </c>
      <c r="F3047" s="553">
        <v>1</v>
      </c>
      <c r="G3047" s="553" t="s">
        <v>486</v>
      </c>
      <c r="H3047" s="553">
        <v>1318.92</v>
      </c>
      <c r="I3047" s="553">
        <v>0</v>
      </c>
      <c r="J3047" s="553">
        <v>8</v>
      </c>
      <c r="K3047" s="553">
        <v>1</v>
      </c>
      <c r="L3047" s="553">
        <v>1</v>
      </c>
      <c r="M3047" s="505" t="s">
        <v>137</v>
      </c>
      <c r="N3047" s="500">
        <v>4304756505</v>
      </c>
      <c r="O3047" s="553" t="s">
        <v>3682</v>
      </c>
      <c r="P3047" s="650" t="s">
        <v>3772</v>
      </c>
      <c r="Q3047" s="564"/>
      <c r="R3047" s="564">
        <v>1</v>
      </c>
    </row>
    <row r="3048" spans="1:18" s="484" customFormat="1" x14ac:dyDescent="0.25">
      <c r="A3048" s="553">
        <v>30</v>
      </c>
      <c r="B3048" s="553">
        <v>7</v>
      </c>
      <c r="C3048" s="553">
        <v>2</v>
      </c>
      <c r="D3048" s="553">
        <v>20</v>
      </c>
      <c r="E3048" s="553">
        <v>1</v>
      </c>
      <c r="F3048" s="553">
        <v>1</v>
      </c>
      <c r="G3048" s="502" t="s">
        <v>488</v>
      </c>
      <c r="H3048" s="553">
        <v>1278.24</v>
      </c>
      <c r="I3048" s="553">
        <v>0</v>
      </c>
      <c r="J3048" s="553">
        <v>37</v>
      </c>
      <c r="K3048" s="553">
        <v>45</v>
      </c>
      <c r="L3048" s="553">
        <v>3</v>
      </c>
      <c r="M3048" s="505" t="s">
        <v>137</v>
      </c>
      <c r="N3048" s="500">
        <v>4304756505</v>
      </c>
      <c r="O3048" s="553" t="s">
        <v>3682</v>
      </c>
      <c r="P3048" s="650" t="s">
        <v>3773</v>
      </c>
      <c r="Q3048" s="564"/>
      <c r="R3048" s="564">
        <v>1</v>
      </c>
    </row>
    <row r="3049" spans="1:18" s="484" customFormat="1" x14ac:dyDescent="0.25">
      <c r="A3049" s="553">
        <v>30</v>
      </c>
      <c r="B3049" s="553">
        <v>7</v>
      </c>
      <c r="C3049" s="553">
        <v>2</v>
      </c>
      <c r="D3049" s="553">
        <v>20</v>
      </c>
      <c r="E3049" s="553">
        <v>1</v>
      </c>
      <c r="F3049" s="553">
        <v>1</v>
      </c>
      <c r="G3049" s="553" t="s">
        <v>490</v>
      </c>
      <c r="H3049" s="553">
        <v>1315.01</v>
      </c>
      <c r="I3049" s="553">
        <v>0</v>
      </c>
      <c r="J3049" s="553">
        <v>25</v>
      </c>
      <c r="K3049" s="553">
        <v>26</v>
      </c>
      <c r="L3049" s="553">
        <v>3</v>
      </c>
      <c r="M3049" s="505" t="s">
        <v>137</v>
      </c>
      <c r="N3049" s="500">
        <v>4304756505</v>
      </c>
      <c r="O3049" s="553" t="s">
        <v>3682</v>
      </c>
      <c r="P3049" s="650" t="s">
        <v>3774</v>
      </c>
      <c r="Q3049" s="564"/>
      <c r="R3049" s="564">
        <v>1</v>
      </c>
    </row>
    <row r="3050" spans="1:18" s="484" customFormat="1" x14ac:dyDescent="0.25">
      <c r="A3050" s="553">
        <v>30</v>
      </c>
      <c r="B3050" s="553">
        <v>7</v>
      </c>
      <c r="C3050" s="553">
        <v>2</v>
      </c>
      <c r="D3050" s="553">
        <v>20</v>
      </c>
      <c r="E3050" s="553">
        <v>1</v>
      </c>
      <c r="F3050" s="553">
        <v>1</v>
      </c>
      <c r="G3050" s="553" t="s">
        <v>493</v>
      </c>
      <c r="H3050" s="553">
        <v>1315.01</v>
      </c>
      <c r="I3050" s="553">
        <v>0</v>
      </c>
      <c r="J3050" s="553">
        <v>25</v>
      </c>
      <c r="K3050" s="553">
        <v>26</v>
      </c>
      <c r="L3050" s="553">
        <v>3</v>
      </c>
      <c r="M3050" s="505" t="s">
        <v>137</v>
      </c>
      <c r="N3050" s="500">
        <v>4304756505</v>
      </c>
      <c r="O3050" s="553" t="s">
        <v>3682</v>
      </c>
      <c r="P3050" s="650" t="s">
        <v>3775</v>
      </c>
      <c r="Q3050" s="564"/>
      <c r="R3050" s="564">
        <v>1</v>
      </c>
    </row>
    <row r="3051" spans="1:18" s="484" customFormat="1" x14ac:dyDescent="0.25">
      <c r="A3051" s="553">
        <v>30</v>
      </c>
      <c r="B3051" s="553">
        <v>7</v>
      </c>
      <c r="C3051" s="553">
        <v>2</v>
      </c>
      <c r="D3051" s="553">
        <v>20</v>
      </c>
      <c r="E3051" s="553">
        <v>1</v>
      </c>
      <c r="F3051" s="553">
        <v>1</v>
      </c>
      <c r="G3051" s="553" t="s">
        <v>474</v>
      </c>
      <c r="H3051" s="553">
        <v>1324.13</v>
      </c>
      <c r="I3051" s="553">
        <v>88</v>
      </c>
      <c r="J3051" s="553">
        <v>17</v>
      </c>
      <c r="K3051" s="553">
        <v>35</v>
      </c>
      <c r="L3051" s="553">
        <v>3</v>
      </c>
      <c r="M3051" s="505" t="s">
        <v>137</v>
      </c>
      <c r="N3051" s="500">
        <v>4304756505</v>
      </c>
      <c r="O3051" s="553" t="s">
        <v>3682</v>
      </c>
      <c r="P3051" s="650" t="s">
        <v>3776</v>
      </c>
      <c r="Q3051" s="564"/>
      <c r="R3051" s="564">
        <v>1</v>
      </c>
    </row>
    <row r="3052" spans="1:18" s="484" customFormat="1" x14ac:dyDescent="0.25">
      <c r="A3052" s="553">
        <v>30</v>
      </c>
      <c r="B3052" s="553">
        <v>7</v>
      </c>
      <c r="C3052" s="553">
        <v>2</v>
      </c>
      <c r="D3052" s="553">
        <v>20</v>
      </c>
      <c r="E3052" s="553">
        <v>1</v>
      </c>
      <c r="F3052" s="553">
        <v>1</v>
      </c>
      <c r="G3052" s="502" t="s">
        <v>477</v>
      </c>
      <c r="H3052" s="553">
        <v>1325.42</v>
      </c>
      <c r="I3052" s="553">
        <v>89</v>
      </c>
      <c r="J3052" s="553">
        <v>47</v>
      </c>
      <c r="K3052" s="553">
        <v>40</v>
      </c>
      <c r="L3052" s="553">
        <v>3</v>
      </c>
      <c r="M3052" s="505" t="s">
        <v>137</v>
      </c>
      <c r="N3052" s="500">
        <v>4304756505</v>
      </c>
      <c r="O3052" s="553" t="s">
        <v>3682</v>
      </c>
      <c r="P3052" s="650" t="s">
        <v>3777</v>
      </c>
      <c r="Q3052" s="564"/>
      <c r="R3052" s="564">
        <v>1</v>
      </c>
    </row>
    <row r="3053" spans="1:18" s="484" customFormat="1" x14ac:dyDescent="0.25">
      <c r="A3053" s="553">
        <v>30</v>
      </c>
      <c r="B3053" s="553">
        <v>7</v>
      </c>
      <c r="C3053" s="553">
        <v>2</v>
      </c>
      <c r="D3053" s="553">
        <v>20</v>
      </c>
      <c r="E3053" s="553">
        <v>1</v>
      </c>
      <c r="F3053" s="553">
        <v>1</v>
      </c>
      <c r="G3053" s="553" t="s">
        <v>479</v>
      </c>
      <c r="H3053" s="553">
        <v>1323.58</v>
      </c>
      <c r="I3053" s="553">
        <v>89</v>
      </c>
      <c r="J3053" s="553">
        <v>52</v>
      </c>
      <c r="K3053" s="553">
        <v>47</v>
      </c>
      <c r="L3053" s="553">
        <v>3</v>
      </c>
      <c r="M3053" s="505" t="s">
        <v>137</v>
      </c>
      <c r="N3053" s="500">
        <v>4304756505</v>
      </c>
      <c r="O3053" s="553" t="s">
        <v>3682</v>
      </c>
      <c r="P3053" s="650" t="s">
        <v>3778</v>
      </c>
      <c r="Q3053" s="564"/>
      <c r="R3053" s="564">
        <v>1</v>
      </c>
    </row>
    <row r="3054" spans="1:18" s="484" customFormat="1" x14ac:dyDescent="0.25">
      <c r="A3054" s="553">
        <v>30</v>
      </c>
      <c r="B3054" s="553">
        <v>7</v>
      </c>
      <c r="C3054" s="553">
        <v>2</v>
      </c>
      <c r="D3054" s="553">
        <v>20</v>
      </c>
      <c r="E3054" s="553">
        <v>1</v>
      </c>
      <c r="F3054" s="553">
        <v>1</v>
      </c>
      <c r="G3054" s="553" t="s">
        <v>485</v>
      </c>
      <c r="H3054" s="553">
        <v>1308.8499999999999</v>
      </c>
      <c r="I3054" s="553">
        <v>89</v>
      </c>
      <c r="J3054" s="553">
        <v>19</v>
      </c>
      <c r="K3054" s="553">
        <v>59</v>
      </c>
      <c r="L3054" s="553">
        <v>3</v>
      </c>
      <c r="M3054" s="505" t="s">
        <v>137</v>
      </c>
      <c r="N3054" s="500">
        <v>4304756505</v>
      </c>
      <c r="O3054" s="553" t="s">
        <v>3682</v>
      </c>
      <c r="P3054" s="650" t="s">
        <v>3779</v>
      </c>
      <c r="Q3054" s="564"/>
      <c r="R3054" s="564">
        <v>1</v>
      </c>
    </row>
    <row r="3055" spans="1:18" s="484" customFormat="1" x14ac:dyDescent="0.25">
      <c r="A3055" s="553">
        <v>30</v>
      </c>
      <c r="B3055" s="553">
        <v>7</v>
      </c>
      <c r="C3055" s="553">
        <v>2</v>
      </c>
      <c r="D3055" s="553">
        <v>20</v>
      </c>
      <c r="E3055" s="553">
        <v>1</v>
      </c>
      <c r="F3055" s="553">
        <v>1</v>
      </c>
      <c r="G3055" s="553" t="s">
        <v>487</v>
      </c>
      <c r="H3055" s="553">
        <v>1318.54</v>
      </c>
      <c r="I3055" s="553">
        <v>89</v>
      </c>
      <c r="J3055" s="553">
        <v>39</v>
      </c>
      <c r="K3055" s="553">
        <v>4</v>
      </c>
      <c r="L3055" s="553">
        <v>4</v>
      </c>
      <c r="M3055" s="505" t="s">
        <v>137</v>
      </c>
      <c r="N3055" s="500">
        <v>4304756505</v>
      </c>
      <c r="O3055" s="553" t="s">
        <v>3682</v>
      </c>
      <c r="P3055" s="650" t="s">
        <v>3780</v>
      </c>
      <c r="Q3055" s="564"/>
      <c r="R3055" s="564">
        <v>1</v>
      </c>
    </row>
    <row r="3056" spans="1:18" s="484" customFormat="1" x14ac:dyDescent="0.25">
      <c r="A3056" s="553">
        <v>30</v>
      </c>
      <c r="B3056" s="553">
        <v>7</v>
      </c>
      <c r="C3056" s="553">
        <v>2</v>
      </c>
      <c r="D3056" s="553">
        <v>20</v>
      </c>
      <c r="E3056" s="553">
        <v>1</v>
      </c>
      <c r="F3056" s="553">
        <v>1</v>
      </c>
      <c r="G3056" s="502" t="s">
        <v>489</v>
      </c>
      <c r="H3056" s="553">
        <v>1288.8699999999999</v>
      </c>
      <c r="I3056" s="553">
        <v>88</v>
      </c>
      <c r="J3056" s="553">
        <v>30</v>
      </c>
      <c r="K3056" s="553">
        <v>46</v>
      </c>
      <c r="L3056" s="553">
        <v>3</v>
      </c>
      <c r="M3056" s="505" t="s">
        <v>137</v>
      </c>
      <c r="N3056" s="500">
        <v>4304756505</v>
      </c>
      <c r="O3056" s="553" t="s">
        <v>3682</v>
      </c>
      <c r="P3056" s="650" t="s">
        <v>3781</v>
      </c>
      <c r="Q3056" s="564"/>
      <c r="R3056" s="564">
        <v>1</v>
      </c>
    </row>
    <row r="3057" spans="1:18" s="484" customFormat="1" x14ac:dyDescent="0.25">
      <c r="A3057" s="553">
        <v>30</v>
      </c>
      <c r="B3057" s="553">
        <v>7</v>
      </c>
      <c r="C3057" s="553">
        <v>2</v>
      </c>
      <c r="D3057" s="553">
        <v>20</v>
      </c>
      <c r="E3057" s="553">
        <v>1</v>
      </c>
      <c r="F3057" s="553">
        <v>1</v>
      </c>
      <c r="G3057" s="553" t="s">
        <v>491</v>
      </c>
      <c r="H3057" s="553">
        <v>1322.325</v>
      </c>
      <c r="I3057" s="553">
        <v>89</v>
      </c>
      <c r="J3057" s="553">
        <v>4</v>
      </c>
      <c r="K3057" s="553">
        <v>18</v>
      </c>
      <c r="L3057" s="553">
        <v>2</v>
      </c>
      <c r="M3057" s="505" t="s">
        <v>137</v>
      </c>
      <c r="N3057" s="500">
        <v>4304756505</v>
      </c>
      <c r="O3057" s="553" t="s">
        <v>3682</v>
      </c>
      <c r="P3057" s="650" t="s">
        <v>3782</v>
      </c>
      <c r="Q3057" s="564"/>
      <c r="R3057" s="564">
        <v>1</v>
      </c>
    </row>
    <row r="3058" spans="1:18" s="484" customFormat="1" x14ac:dyDescent="0.25">
      <c r="A3058" s="553">
        <v>30</v>
      </c>
      <c r="B3058" s="553">
        <v>7</v>
      </c>
      <c r="C3058" s="553">
        <v>2</v>
      </c>
      <c r="D3058" s="553">
        <v>20</v>
      </c>
      <c r="E3058" s="553">
        <v>1</v>
      </c>
      <c r="F3058" s="553">
        <v>1</v>
      </c>
      <c r="G3058" s="553" t="s">
        <v>494</v>
      </c>
      <c r="H3058" s="553">
        <v>1322.325</v>
      </c>
      <c r="I3058" s="553">
        <v>89</v>
      </c>
      <c r="J3058" s="553">
        <v>4</v>
      </c>
      <c r="K3058" s="553">
        <v>18</v>
      </c>
      <c r="L3058" s="553">
        <v>2</v>
      </c>
      <c r="M3058" s="505" t="s">
        <v>137</v>
      </c>
      <c r="N3058" s="500">
        <v>4304756505</v>
      </c>
      <c r="O3058" s="553" t="s">
        <v>3682</v>
      </c>
      <c r="P3058" s="650" t="s">
        <v>3783</v>
      </c>
      <c r="Q3058" s="564"/>
      <c r="R3058" s="564">
        <v>1</v>
      </c>
    </row>
    <row r="3059" spans="1:18" x14ac:dyDescent="0.25">
      <c r="A3059" s="564">
        <v>30</v>
      </c>
      <c r="B3059" s="564">
        <v>2</v>
      </c>
      <c r="C3059" s="564">
        <v>2</v>
      </c>
      <c r="D3059" s="564">
        <v>2</v>
      </c>
      <c r="E3059" s="564">
        <v>2</v>
      </c>
      <c r="F3059" s="564">
        <v>2</v>
      </c>
      <c r="G3059" s="553" t="s">
        <v>473</v>
      </c>
      <c r="H3059" s="564">
        <v>0</v>
      </c>
      <c r="I3059" s="564">
        <v>0</v>
      </c>
      <c r="J3059" s="564">
        <v>0</v>
      </c>
      <c r="K3059" s="564">
        <v>0</v>
      </c>
      <c r="L3059" s="564">
        <v>0</v>
      </c>
      <c r="M3059" s="561" t="s">
        <v>137</v>
      </c>
      <c r="N3059" s="520">
        <v>43013540790000</v>
      </c>
      <c r="O3059" s="564" t="s">
        <v>3784</v>
      </c>
      <c r="P3059" s="522" t="s">
        <v>3785</v>
      </c>
      <c r="Q3059" s="564" t="s">
        <v>3786</v>
      </c>
      <c r="R3059" s="564">
        <v>2</v>
      </c>
    </row>
    <row r="3060" spans="1:18" x14ac:dyDescent="0.25">
      <c r="A3060" s="564">
        <v>30</v>
      </c>
      <c r="B3060" s="564">
        <v>2</v>
      </c>
      <c r="C3060" s="564">
        <v>2</v>
      </c>
      <c r="D3060" s="564">
        <v>2</v>
      </c>
      <c r="E3060" s="564">
        <v>2</v>
      </c>
      <c r="F3060" s="564">
        <v>2</v>
      </c>
      <c r="G3060" s="502" t="s">
        <v>476</v>
      </c>
      <c r="H3060" s="564">
        <v>2593</v>
      </c>
      <c r="I3060" s="564">
        <v>0</v>
      </c>
      <c r="J3060" s="564">
        <v>7</v>
      </c>
      <c r="K3060" s="564">
        <v>9</v>
      </c>
      <c r="L3060" s="564">
        <v>2</v>
      </c>
      <c r="M3060" s="561" t="s">
        <v>137</v>
      </c>
      <c r="N3060" s="520">
        <v>43013540790000</v>
      </c>
      <c r="O3060" s="564" t="s">
        <v>3784</v>
      </c>
      <c r="P3060" s="522" t="s">
        <v>3787</v>
      </c>
      <c r="Q3060" s="564" t="s">
        <v>3786</v>
      </c>
      <c r="R3060" s="564">
        <v>2</v>
      </c>
    </row>
    <row r="3061" spans="1:18" x14ac:dyDescent="0.25">
      <c r="A3061" s="564">
        <v>30</v>
      </c>
      <c r="B3061" s="564">
        <v>2</v>
      </c>
      <c r="C3061" s="564">
        <v>2</v>
      </c>
      <c r="D3061" s="564">
        <v>2</v>
      </c>
      <c r="E3061" s="564">
        <v>2</v>
      </c>
      <c r="F3061" s="564">
        <v>2</v>
      </c>
      <c r="G3061" s="553" t="s">
        <v>478</v>
      </c>
      <c r="H3061" s="564">
        <v>1369.29</v>
      </c>
      <c r="I3061" s="564">
        <v>0</v>
      </c>
      <c r="J3061" s="564">
        <v>34</v>
      </c>
      <c r="K3061" s="564">
        <v>46</v>
      </c>
      <c r="L3061" s="564">
        <v>2</v>
      </c>
      <c r="M3061" s="561" t="s">
        <v>137</v>
      </c>
      <c r="N3061" s="520">
        <v>43013540790000</v>
      </c>
      <c r="O3061" s="564" t="s">
        <v>3784</v>
      </c>
      <c r="P3061" s="522" t="s">
        <v>3788</v>
      </c>
      <c r="Q3061" s="564" t="s">
        <v>3786</v>
      </c>
      <c r="R3061" s="564">
        <v>2</v>
      </c>
    </row>
    <row r="3062" spans="1:18" x14ac:dyDescent="0.25">
      <c r="A3062" s="564">
        <v>30</v>
      </c>
      <c r="B3062" s="564">
        <v>2</v>
      </c>
      <c r="C3062" s="564">
        <v>2</v>
      </c>
      <c r="D3062" s="564">
        <v>2</v>
      </c>
      <c r="E3062" s="564">
        <v>2</v>
      </c>
      <c r="F3062" s="564">
        <v>2</v>
      </c>
      <c r="G3062" s="553" t="s">
        <v>484</v>
      </c>
      <c r="H3062" s="564">
        <v>1322.15</v>
      </c>
      <c r="I3062" s="564">
        <v>0</v>
      </c>
      <c r="J3062" s="564">
        <v>5</v>
      </c>
      <c r="K3062" s="564">
        <v>32</v>
      </c>
      <c r="L3062" s="564">
        <v>2</v>
      </c>
      <c r="M3062" s="561" t="s">
        <v>137</v>
      </c>
      <c r="N3062" s="520">
        <v>43013540790000</v>
      </c>
      <c r="O3062" s="564" t="s">
        <v>3784</v>
      </c>
      <c r="P3062" s="522" t="s">
        <v>3789</v>
      </c>
      <c r="Q3062" s="564" t="s">
        <v>3786</v>
      </c>
      <c r="R3062" s="564">
        <v>2</v>
      </c>
    </row>
    <row r="3063" spans="1:18" x14ac:dyDescent="0.25">
      <c r="A3063" s="564">
        <v>30</v>
      </c>
      <c r="B3063" s="564">
        <v>2</v>
      </c>
      <c r="C3063" s="564">
        <v>2</v>
      </c>
      <c r="D3063" s="564">
        <v>2</v>
      </c>
      <c r="E3063" s="564">
        <v>2</v>
      </c>
      <c r="F3063" s="564">
        <v>2</v>
      </c>
      <c r="G3063" s="553" t="s">
        <v>486</v>
      </c>
      <c r="H3063" s="564">
        <v>0</v>
      </c>
      <c r="I3063" s="564">
        <v>0</v>
      </c>
      <c r="J3063" s="564">
        <v>0</v>
      </c>
      <c r="K3063" s="564">
        <v>0</v>
      </c>
      <c r="L3063" s="564">
        <v>0</v>
      </c>
      <c r="M3063" s="561" t="s">
        <v>137</v>
      </c>
      <c r="N3063" s="520">
        <v>43013540790000</v>
      </c>
      <c r="O3063" s="564" t="s">
        <v>3784</v>
      </c>
      <c r="P3063" s="522" t="s">
        <v>3790</v>
      </c>
      <c r="Q3063" s="564" t="s">
        <v>3786</v>
      </c>
      <c r="R3063" s="564">
        <v>2</v>
      </c>
    </row>
    <row r="3064" spans="1:18" x14ac:dyDescent="0.25">
      <c r="A3064" s="564">
        <v>30</v>
      </c>
      <c r="B3064" s="564">
        <v>2</v>
      </c>
      <c r="C3064" s="564">
        <v>2</v>
      </c>
      <c r="D3064" s="564">
        <v>2</v>
      </c>
      <c r="E3064" s="564">
        <v>2</v>
      </c>
      <c r="F3064" s="564">
        <v>2</v>
      </c>
      <c r="G3064" s="502" t="s">
        <v>488</v>
      </c>
      <c r="H3064" s="564">
        <v>5291.53</v>
      </c>
      <c r="I3064" s="564">
        <v>0</v>
      </c>
      <c r="J3064" s="564">
        <v>7</v>
      </c>
      <c r="K3064" s="564">
        <v>16</v>
      </c>
      <c r="L3064" s="564">
        <v>2</v>
      </c>
      <c r="M3064" s="561" t="s">
        <v>137</v>
      </c>
      <c r="N3064" s="520">
        <v>43013540790000</v>
      </c>
      <c r="O3064" s="564" t="s">
        <v>3784</v>
      </c>
      <c r="P3064" s="522" t="s">
        <v>3791</v>
      </c>
      <c r="Q3064" s="564" t="s">
        <v>3786</v>
      </c>
      <c r="R3064" s="564">
        <v>2</v>
      </c>
    </row>
    <row r="3065" spans="1:18" x14ac:dyDescent="0.25">
      <c r="A3065" s="564">
        <v>30</v>
      </c>
      <c r="B3065" s="564">
        <v>2</v>
      </c>
      <c r="C3065" s="564">
        <v>2</v>
      </c>
      <c r="D3065" s="564">
        <v>2</v>
      </c>
      <c r="E3065" s="564">
        <v>2</v>
      </c>
      <c r="F3065" s="564">
        <v>2</v>
      </c>
      <c r="G3065" s="553" t="s">
        <v>490</v>
      </c>
      <c r="H3065" s="564">
        <v>0</v>
      </c>
      <c r="I3065" s="564">
        <v>0</v>
      </c>
      <c r="J3065" s="564">
        <v>0</v>
      </c>
      <c r="K3065" s="564">
        <v>0</v>
      </c>
      <c r="L3065" s="564">
        <v>0</v>
      </c>
      <c r="M3065" s="561" t="s">
        <v>137</v>
      </c>
      <c r="N3065" s="520">
        <v>43013540790000</v>
      </c>
      <c r="O3065" s="564" t="s">
        <v>3784</v>
      </c>
      <c r="P3065" s="522" t="s">
        <v>3792</v>
      </c>
      <c r="Q3065" s="564" t="s">
        <v>3786</v>
      </c>
      <c r="R3065" s="564">
        <v>2</v>
      </c>
    </row>
    <row r="3066" spans="1:18" x14ac:dyDescent="0.25">
      <c r="A3066" s="564">
        <v>30</v>
      </c>
      <c r="B3066" s="564">
        <v>2</v>
      </c>
      <c r="C3066" s="564">
        <v>2</v>
      </c>
      <c r="D3066" s="564">
        <v>2</v>
      </c>
      <c r="E3066" s="564">
        <v>2</v>
      </c>
      <c r="F3066" s="564">
        <v>2</v>
      </c>
      <c r="G3066" s="553" t="s">
        <v>493</v>
      </c>
      <c r="H3066" s="564">
        <v>0</v>
      </c>
      <c r="I3066" s="564">
        <v>0</v>
      </c>
      <c r="J3066" s="564">
        <v>0</v>
      </c>
      <c r="K3066" s="564">
        <v>0</v>
      </c>
      <c r="L3066" s="564">
        <v>0</v>
      </c>
      <c r="M3066" s="561" t="s">
        <v>137</v>
      </c>
      <c r="N3066" s="520">
        <v>43013540790000</v>
      </c>
      <c r="O3066" s="564" t="s">
        <v>3784</v>
      </c>
      <c r="P3066" s="522" t="s">
        <v>3793</v>
      </c>
      <c r="Q3066" s="564" t="s">
        <v>3786</v>
      </c>
      <c r="R3066" s="564">
        <v>2</v>
      </c>
    </row>
    <row r="3067" spans="1:18" x14ac:dyDescent="0.25">
      <c r="A3067" s="564">
        <v>30</v>
      </c>
      <c r="B3067" s="564">
        <v>2</v>
      </c>
      <c r="C3067" s="564">
        <v>2</v>
      </c>
      <c r="D3067" s="564">
        <v>2</v>
      </c>
      <c r="E3067" s="564">
        <v>2</v>
      </c>
      <c r="F3067" s="564">
        <v>2</v>
      </c>
      <c r="G3067" s="553" t="s">
        <v>474</v>
      </c>
      <c r="H3067" s="564">
        <v>0</v>
      </c>
      <c r="I3067" s="564">
        <v>0</v>
      </c>
      <c r="J3067" s="564">
        <v>0</v>
      </c>
      <c r="K3067" s="564">
        <v>0</v>
      </c>
      <c r="L3067" s="564">
        <v>0</v>
      </c>
      <c r="M3067" s="561" t="s">
        <v>137</v>
      </c>
      <c r="N3067" s="520">
        <v>43013540790000</v>
      </c>
      <c r="O3067" s="564" t="s">
        <v>3784</v>
      </c>
      <c r="P3067" s="522" t="s">
        <v>3794</v>
      </c>
      <c r="Q3067" s="564" t="s">
        <v>3786</v>
      </c>
      <c r="R3067" s="564">
        <v>2</v>
      </c>
    </row>
    <row r="3068" spans="1:18" x14ac:dyDescent="0.25">
      <c r="A3068" s="564">
        <v>30</v>
      </c>
      <c r="B3068" s="564">
        <v>2</v>
      </c>
      <c r="C3068" s="564">
        <v>2</v>
      </c>
      <c r="D3068" s="564">
        <v>2</v>
      </c>
      <c r="E3068" s="564">
        <v>2</v>
      </c>
      <c r="F3068" s="564">
        <v>2</v>
      </c>
      <c r="G3068" s="502" t="s">
        <v>477</v>
      </c>
      <c r="H3068" s="564">
        <v>5185.43</v>
      </c>
      <c r="I3068" s="564">
        <v>89</v>
      </c>
      <c r="J3068" s="564">
        <v>43</v>
      </c>
      <c r="K3068" s="564">
        <v>13</v>
      </c>
      <c r="L3068" s="564">
        <v>3</v>
      </c>
      <c r="M3068" s="561" t="s">
        <v>137</v>
      </c>
      <c r="N3068" s="520">
        <v>43013540790000</v>
      </c>
      <c r="O3068" s="564" t="s">
        <v>3784</v>
      </c>
      <c r="P3068" s="522" t="s">
        <v>3795</v>
      </c>
      <c r="Q3068" s="564" t="s">
        <v>3786</v>
      </c>
      <c r="R3068" s="564">
        <v>2</v>
      </c>
    </row>
    <row r="3069" spans="1:18" x14ac:dyDescent="0.25">
      <c r="A3069" s="564">
        <v>30</v>
      </c>
      <c r="B3069" s="564">
        <v>2</v>
      </c>
      <c r="C3069" s="564">
        <v>2</v>
      </c>
      <c r="D3069" s="564">
        <v>2</v>
      </c>
      <c r="E3069" s="564">
        <v>2</v>
      </c>
      <c r="F3069" s="564">
        <v>2</v>
      </c>
      <c r="G3069" s="553" t="s">
        <v>479</v>
      </c>
      <c r="H3069" s="564">
        <v>0</v>
      </c>
      <c r="I3069" s="564">
        <v>0</v>
      </c>
      <c r="J3069" s="564">
        <v>0</v>
      </c>
      <c r="K3069" s="564">
        <v>0</v>
      </c>
      <c r="L3069" s="564">
        <v>0</v>
      </c>
      <c r="M3069" s="561" t="s">
        <v>137</v>
      </c>
      <c r="N3069" s="520">
        <v>43013540790000</v>
      </c>
      <c r="O3069" s="564" t="s">
        <v>3784</v>
      </c>
      <c r="P3069" s="522" t="s">
        <v>3796</v>
      </c>
      <c r="Q3069" s="564" t="s">
        <v>3786</v>
      </c>
      <c r="R3069" s="564">
        <v>2</v>
      </c>
    </row>
    <row r="3070" spans="1:18" x14ac:dyDescent="0.25">
      <c r="A3070" s="564">
        <v>30</v>
      </c>
      <c r="B3070" s="564">
        <v>2</v>
      </c>
      <c r="C3070" s="564">
        <v>2</v>
      </c>
      <c r="D3070" s="564">
        <v>2</v>
      </c>
      <c r="E3070" s="564">
        <v>2</v>
      </c>
      <c r="F3070" s="564">
        <v>2</v>
      </c>
      <c r="G3070" s="553" t="s">
        <v>485</v>
      </c>
      <c r="H3070" s="564">
        <v>0</v>
      </c>
      <c r="I3070" s="564">
        <v>0</v>
      </c>
      <c r="J3070" s="564">
        <v>0</v>
      </c>
      <c r="K3070" s="564">
        <v>0</v>
      </c>
      <c r="L3070" s="564">
        <v>0</v>
      </c>
      <c r="M3070" s="561" t="s">
        <v>137</v>
      </c>
      <c r="N3070" s="520">
        <v>43013540790000</v>
      </c>
      <c r="O3070" s="564" t="s">
        <v>3784</v>
      </c>
      <c r="P3070" s="522" t="s">
        <v>3797</v>
      </c>
      <c r="Q3070" s="564" t="s">
        <v>3786</v>
      </c>
      <c r="R3070" s="564">
        <v>2</v>
      </c>
    </row>
    <row r="3071" spans="1:18" x14ac:dyDescent="0.25">
      <c r="A3071" s="564">
        <v>30</v>
      </c>
      <c r="B3071" s="564">
        <v>2</v>
      </c>
      <c r="C3071" s="564">
        <v>2</v>
      </c>
      <c r="D3071" s="564">
        <v>2</v>
      </c>
      <c r="E3071" s="564">
        <v>2</v>
      </c>
      <c r="F3071" s="564">
        <v>2</v>
      </c>
      <c r="G3071" s="553" t="s">
        <v>487</v>
      </c>
      <c r="H3071" s="564">
        <v>0</v>
      </c>
      <c r="I3071" s="564">
        <v>0</v>
      </c>
      <c r="J3071" s="564">
        <v>0</v>
      </c>
      <c r="K3071" s="564">
        <v>0</v>
      </c>
      <c r="L3071" s="564">
        <v>0</v>
      </c>
      <c r="M3071" s="561" t="s">
        <v>137</v>
      </c>
      <c r="N3071" s="520">
        <v>43013540790000</v>
      </c>
      <c r="O3071" s="564" t="s">
        <v>3784</v>
      </c>
      <c r="P3071" s="522" t="s">
        <v>3798</v>
      </c>
      <c r="Q3071" s="564" t="s">
        <v>3786</v>
      </c>
      <c r="R3071" s="564">
        <v>2</v>
      </c>
    </row>
    <row r="3072" spans="1:18" x14ac:dyDescent="0.25">
      <c r="A3072" s="564">
        <v>30</v>
      </c>
      <c r="B3072" s="564">
        <v>2</v>
      </c>
      <c r="C3072" s="564">
        <v>2</v>
      </c>
      <c r="D3072" s="564">
        <v>2</v>
      </c>
      <c r="E3072" s="564">
        <v>2</v>
      </c>
      <c r="F3072" s="564">
        <v>2</v>
      </c>
      <c r="G3072" s="502" t="s">
        <v>489</v>
      </c>
      <c r="H3072" s="564">
        <v>5195.57</v>
      </c>
      <c r="I3072" s="564">
        <v>89</v>
      </c>
      <c r="J3072" s="564">
        <v>47</v>
      </c>
      <c r="K3072" s="564">
        <v>59</v>
      </c>
      <c r="L3072" s="564">
        <v>3</v>
      </c>
      <c r="M3072" s="561" t="s">
        <v>137</v>
      </c>
      <c r="N3072" s="520">
        <v>43013540790000</v>
      </c>
      <c r="O3072" s="564" t="s">
        <v>3784</v>
      </c>
      <c r="P3072" s="522" t="s">
        <v>3799</v>
      </c>
      <c r="Q3072" s="564" t="s">
        <v>3786</v>
      </c>
      <c r="R3072" s="564">
        <v>2</v>
      </c>
    </row>
    <row r="3073" spans="1:18" x14ac:dyDescent="0.25">
      <c r="A3073" s="564">
        <v>30</v>
      </c>
      <c r="B3073" s="564">
        <v>2</v>
      </c>
      <c r="C3073" s="564">
        <v>2</v>
      </c>
      <c r="D3073" s="564">
        <v>2</v>
      </c>
      <c r="E3073" s="564">
        <v>2</v>
      </c>
      <c r="F3073" s="564">
        <v>2</v>
      </c>
      <c r="G3073" s="553" t="s">
        <v>491</v>
      </c>
      <c r="H3073" s="564">
        <v>0</v>
      </c>
      <c r="I3073" s="564">
        <v>0</v>
      </c>
      <c r="J3073" s="564">
        <v>0</v>
      </c>
      <c r="K3073" s="564">
        <v>0</v>
      </c>
      <c r="L3073" s="564">
        <v>0</v>
      </c>
      <c r="M3073" s="561" t="s">
        <v>137</v>
      </c>
      <c r="N3073" s="520">
        <v>43013540790000</v>
      </c>
      <c r="O3073" s="564" t="s">
        <v>3784</v>
      </c>
      <c r="P3073" s="522" t="s">
        <v>3800</v>
      </c>
      <c r="Q3073" s="564" t="s">
        <v>3786</v>
      </c>
      <c r="R3073" s="564">
        <v>2</v>
      </c>
    </row>
    <row r="3074" spans="1:18" x14ac:dyDescent="0.25">
      <c r="A3074" s="564">
        <v>30</v>
      </c>
      <c r="B3074" s="564">
        <v>2</v>
      </c>
      <c r="C3074" s="564">
        <v>2</v>
      </c>
      <c r="D3074" s="564">
        <v>2</v>
      </c>
      <c r="E3074" s="564">
        <v>2</v>
      </c>
      <c r="F3074" s="564">
        <v>2</v>
      </c>
      <c r="G3074" s="553" t="s">
        <v>494</v>
      </c>
      <c r="H3074" s="564">
        <v>0</v>
      </c>
      <c r="I3074" s="564">
        <v>0</v>
      </c>
      <c r="J3074" s="564">
        <v>0</v>
      </c>
      <c r="K3074" s="564">
        <v>0</v>
      </c>
      <c r="L3074" s="564">
        <v>0</v>
      </c>
      <c r="M3074" s="561" t="s">
        <v>137</v>
      </c>
      <c r="N3074" s="520">
        <v>43013540790000</v>
      </c>
      <c r="O3074" s="564" t="s">
        <v>3784</v>
      </c>
      <c r="P3074" s="522" t="s">
        <v>3801</v>
      </c>
      <c r="Q3074" s="564" t="s">
        <v>3786</v>
      </c>
      <c r="R3074" s="564">
        <v>2</v>
      </c>
    </row>
    <row r="3075" spans="1:18" s="484" customFormat="1" x14ac:dyDescent="0.25">
      <c r="A3075" s="564">
        <v>30</v>
      </c>
      <c r="B3075" s="564">
        <v>3</v>
      </c>
      <c r="C3075" s="564">
        <v>2</v>
      </c>
      <c r="D3075" s="564">
        <v>2</v>
      </c>
      <c r="E3075" s="564">
        <v>1</v>
      </c>
      <c r="F3075" s="564">
        <v>2</v>
      </c>
      <c r="G3075" s="564" t="s">
        <v>473</v>
      </c>
      <c r="H3075" s="564">
        <v>1320.5</v>
      </c>
      <c r="I3075" s="564">
        <v>0</v>
      </c>
      <c r="J3075" s="564">
        <v>15</v>
      </c>
      <c r="K3075" s="564">
        <v>21</v>
      </c>
      <c r="L3075" s="564">
        <v>2</v>
      </c>
      <c r="M3075" s="561" t="s">
        <v>137</v>
      </c>
      <c r="N3075" s="651">
        <v>43047565050000</v>
      </c>
      <c r="O3075" s="564" t="s">
        <v>3682</v>
      </c>
      <c r="P3075" s="564" t="s">
        <v>3802</v>
      </c>
      <c r="Q3075" s="564" t="s">
        <v>3684</v>
      </c>
      <c r="R3075" s="564">
        <v>1</v>
      </c>
    </row>
    <row r="3076" spans="1:18" s="484" customFormat="1" x14ac:dyDescent="0.25">
      <c r="A3076" s="564">
        <v>30</v>
      </c>
      <c r="B3076" s="564">
        <v>3</v>
      </c>
      <c r="C3076" s="564">
        <v>2</v>
      </c>
      <c r="D3076" s="564">
        <v>2</v>
      </c>
      <c r="E3076" s="564">
        <v>1</v>
      </c>
      <c r="F3076" s="564">
        <v>2</v>
      </c>
      <c r="G3076" s="521" t="s">
        <v>476</v>
      </c>
      <c r="H3076" s="564">
        <v>1321.44</v>
      </c>
      <c r="I3076" s="564">
        <v>0</v>
      </c>
      <c r="J3076" s="564">
        <v>5</v>
      </c>
      <c r="K3076" s="564">
        <v>5</v>
      </c>
      <c r="L3076" s="564">
        <v>2</v>
      </c>
      <c r="M3076" s="561" t="s">
        <v>137</v>
      </c>
      <c r="N3076" s="651">
        <v>43047565050000</v>
      </c>
      <c r="O3076" s="564" t="s">
        <v>3682</v>
      </c>
      <c r="P3076" s="564" t="s">
        <v>3803</v>
      </c>
      <c r="Q3076" s="564" t="s">
        <v>3684</v>
      </c>
      <c r="R3076" s="564">
        <v>1</v>
      </c>
    </row>
    <row r="3077" spans="1:18" s="484" customFormat="1" x14ac:dyDescent="0.25">
      <c r="A3077" s="564">
        <v>30</v>
      </c>
      <c r="B3077" s="564">
        <v>3</v>
      </c>
      <c r="C3077" s="564">
        <v>2</v>
      </c>
      <c r="D3077" s="564">
        <v>2</v>
      </c>
      <c r="E3077" s="564">
        <v>1</v>
      </c>
      <c r="F3077" s="564">
        <v>2</v>
      </c>
      <c r="G3077" s="564" t="s">
        <v>478</v>
      </c>
      <c r="H3077" s="564">
        <v>1321.88</v>
      </c>
      <c r="I3077" s="564">
        <v>0</v>
      </c>
      <c r="J3077" s="564">
        <v>19</v>
      </c>
      <c r="K3077" s="564">
        <v>59</v>
      </c>
      <c r="L3077" s="564">
        <v>2</v>
      </c>
      <c r="M3077" s="561" t="s">
        <v>137</v>
      </c>
      <c r="N3077" s="651">
        <v>43047565050000</v>
      </c>
      <c r="O3077" s="564" t="s">
        <v>3682</v>
      </c>
      <c r="P3077" s="564" t="s">
        <v>3804</v>
      </c>
      <c r="Q3077" s="564" t="s">
        <v>3684</v>
      </c>
      <c r="R3077" s="564">
        <v>1</v>
      </c>
    </row>
    <row r="3078" spans="1:18" s="484" customFormat="1" x14ac:dyDescent="0.25">
      <c r="A3078" s="564">
        <v>30</v>
      </c>
      <c r="B3078" s="564">
        <v>3</v>
      </c>
      <c r="C3078" s="564">
        <v>2</v>
      </c>
      <c r="D3078" s="564">
        <v>2</v>
      </c>
      <c r="E3078" s="564">
        <v>1</v>
      </c>
      <c r="F3078" s="564">
        <v>2</v>
      </c>
      <c r="G3078" s="564" t="s">
        <v>484</v>
      </c>
      <c r="H3078" s="564">
        <v>1307.26</v>
      </c>
      <c r="I3078" s="564">
        <v>0</v>
      </c>
      <c r="J3078" s="564">
        <v>42</v>
      </c>
      <c r="K3078" s="564">
        <v>7</v>
      </c>
      <c r="L3078" s="564">
        <v>4</v>
      </c>
      <c r="M3078" s="561" t="s">
        <v>137</v>
      </c>
      <c r="N3078" s="651">
        <v>43047565050000</v>
      </c>
      <c r="O3078" s="564" t="s">
        <v>3682</v>
      </c>
      <c r="P3078" s="564" t="s">
        <v>3805</v>
      </c>
      <c r="Q3078" s="564" t="s">
        <v>3684</v>
      </c>
      <c r="R3078" s="564">
        <v>1</v>
      </c>
    </row>
    <row r="3079" spans="1:18" s="484" customFormat="1" x14ac:dyDescent="0.25">
      <c r="A3079" s="564">
        <v>30</v>
      </c>
      <c r="B3079" s="564">
        <v>3</v>
      </c>
      <c r="C3079" s="564">
        <v>2</v>
      </c>
      <c r="D3079" s="564">
        <v>2</v>
      </c>
      <c r="E3079" s="564">
        <v>1</v>
      </c>
      <c r="F3079" s="564">
        <v>2</v>
      </c>
      <c r="G3079" s="564" t="s">
        <v>486</v>
      </c>
      <c r="H3079" s="564">
        <v>1282.03</v>
      </c>
      <c r="I3079" s="564">
        <v>0</v>
      </c>
      <c r="J3079" s="564">
        <v>7</v>
      </c>
      <c r="K3079" s="564">
        <v>28</v>
      </c>
      <c r="L3079" s="564">
        <v>2</v>
      </c>
      <c r="M3079" s="561" t="s">
        <v>137</v>
      </c>
      <c r="N3079" s="651">
        <v>43047565050000</v>
      </c>
      <c r="O3079" s="564" t="s">
        <v>3682</v>
      </c>
      <c r="P3079" s="564" t="s">
        <v>3806</v>
      </c>
      <c r="Q3079" s="564" t="s">
        <v>3684</v>
      </c>
      <c r="R3079" s="564">
        <v>1</v>
      </c>
    </row>
    <row r="3080" spans="1:18" s="484" customFormat="1" x14ac:dyDescent="0.25">
      <c r="A3080" s="564">
        <v>30</v>
      </c>
      <c r="B3080" s="564">
        <v>3</v>
      </c>
      <c r="C3080" s="564">
        <v>2</v>
      </c>
      <c r="D3080" s="564">
        <v>2</v>
      </c>
      <c r="E3080" s="564">
        <v>1</v>
      </c>
      <c r="F3080" s="564">
        <v>2</v>
      </c>
      <c r="G3080" s="521" t="s">
        <v>488</v>
      </c>
      <c r="H3080" s="564">
        <v>1318.45</v>
      </c>
      <c r="I3080" s="564">
        <v>0</v>
      </c>
      <c r="J3080" s="564">
        <v>3</v>
      </c>
      <c r="K3080" s="564">
        <v>21</v>
      </c>
      <c r="L3080" s="564">
        <v>4</v>
      </c>
      <c r="M3080" s="561" t="s">
        <v>137</v>
      </c>
      <c r="N3080" s="651">
        <v>43047565050000</v>
      </c>
      <c r="O3080" s="564" t="s">
        <v>3682</v>
      </c>
      <c r="P3080" s="564" t="s">
        <v>3807</v>
      </c>
      <c r="Q3080" s="564" t="s">
        <v>3684</v>
      </c>
      <c r="R3080" s="564">
        <v>1</v>
      </c>
    </row>
    <row r="3081" spans="1:18" s="484" customFormat="1" x14ac:dyDescent="0.25">
      <c r="A3081" s="564">
        <v>30</v>
      </c>
      <c r="B3081" s="564">
        <v>3</v>
      </c>
      <c r="C3081" s="564">
        <v>2</v>
      </c>
      <c r="D3081" s="564">
        <v>2</v>
      </c>
      <c r="E3081" s="564">
        <v>1</v>
      </c>
      <c r="F3081" s="564">
        <v>2</v>
      </c>
      <c r="G3081" s="564" t="s">
        <v>490</v>
      </c>
      <c r="H3081" s="564">
        <v>1295.9100000000001</v>
      </c>
      <c r="I3081" s="564">
        <v>0</v>
      </c>
      <c r="J3081" s="564">
        <v>42</v>
      </c>
      <c r="K3081" s="564">
        <v>35</v>
      </c>
      <c r="L3081" s="564">
        <v>3</v>
      </c>
      <c r="M3081" s="561" t="s">
        <v>137</v>
      </c>
      <c r="N3081" s="651">
        <v>43047565050000</v>
      </c>
      <c r="O3081" s="564" t="s">
        <v>3682</v>
      </c>
      <c r="P3081" s="564" t="s">
        <v>3808</v>
      </c>
      <c r="Q3081" s="564" t="s">
        <v>3684</v>
      </c>
      <c r="R3081" s="564">
        <v>1</v>
      </c>
    </row>
    <row r="3082" spans="1:18" s="484" customFormat="1" x14ac:dyDescent="0.25">
      <c r="A3082" s="564">
        <v>30</v>
      </c>
      <c r="B3082" s="564">
        <v>3</v>
      </c>
      <c r="C3082" s="564">
        <v>2</v>
      </c>
      <c r="D3082" s="564">
        <v>2</v>
      </c>
      <c r="E3082" s="564">
        <v>1</v>
      </c>
      <c r="F3082" s="564">
        <v>2</v>
      </c>
      <c r="G3082" s="564" t="s">
        <v>493</v>
      </c>
      <c r="H3082" s="564">
        <v>1348.91</v>
      </c>
      <c r="I3082" s="564">
        <v>0</v>
      </c>
      <c r="J3082" s="564">
        <v>43</v>
      </c>
      <c r="K3082" s="564">
        <v>34</v>
      </c>
      <c r="L3082" s="564">
        <v>1</v>
      </c>
      <c r="M3082" s="561" t="s">
        <v>137</v>
      </c>
      <c r="N3082" s="651">
        <v>43047565050000</v>
      </c>
      <c r="O3082" s="564" t="s">
        <v>3682</v>
      </c>
      <c r="P3082" s="564" t="s">
        <v>3809</v>
      </c>
      <c r="Q3082" s="564" t="s">
        <v>3684</v>
      </c>
      <c r="R3082" s="564">
        <v>1</v>
      </c>
    </row>
    <row r="3083" spans="1:18" s="484" customFormat="1" x14ac:dyDescent="0.25">
      <c r="A3083" s="564">
        <v>30</v>
      </c>
      <c r="B3083" s="564">
        <v>3</v>
      </c>
      <c r="C3083" s="564">
        <v>2</v>
      </c>
      <c r="D3083" s="564">
        <v>2</v>
      </c>
      <c r="E3083" s="564">
        <v>1</v>
      </c>
      <c r="F3083" s="564">
        <v>2</v>
      </c>
      <c r="G3083" s="564" t="s">
        <v>474</v>
      </c>
      <c r="H3083" s="564">
        <v>1336.2</v>
      </c>
      <c r="I3083" s="564">
        <v>89</v>
      </c>
      <c r="J3083" s="564">
        <v>22</v>
      </c>
      <c r="K3083" s="564">
        <v>4</v>
      </c>
      <c r="L3083" s="564">
        <v>4</v>
      </c>
      <c r="M3083" s="561" t="s">
        <v>137</v>
      </c>
      <c r="N3083" s="651">
        <v>43047565050000</v>
      </c>
      <c r="O3083" s="564" t="s">
        <v>3682</v>
      </c>
      <c r="P3083" s="564" t="s">
        <v>3810</v>
      </c>
      <c r="Q3083" s="564" t="s">
        <v>3684</v>
      </c>
      <c r="R3083" s="564">
        <v>1</v>
      </c>
    </row>
    <row r="3084" spans="1:18" s="484" customFormat="1" x14ac:dyDescent="0.25">
      <c r="A3084" s="564">
        <v>30</v>
      </c>
      <c r="B3084" s="564">
        <v>3</v>
      </c>
      <c r="C3084" s="564">
        <v>2</v>
      </c>
      <c r="D3084" s="564">
        <v>2</v>
      </c>
      <c r="E3084" s="564">
        <v>1</v>
      </c>
      <c r="F3084" s="564">
        <v>2</v>
      </c>
      <c r="G3084" s="521" t="s">
        <v>477</v>
      </c>
      <c r="H3084" s="564">
        <v>1323.33</v>
      </c>
      <c r="I3084" s="564">
        <v>89</v>
      </c>
      <c r="J3084" s="564">
        <v>22</v>
      </c>
      <c r="K3084" s="564">
        <v>55</v>
      </c>
      <c r="L3084" s="564">
        <v>4</v>
      </c>
      <c r="M3084" s="561" t="s">
        <v>137</v>
      </c>
      <c r="N3084" s="651">
        <v>43047565050000</v>
      </c>
      <c r="O3084" s="564" t="s">
        <v>3682</v>
      </c>
      <c r="P3084" s="564" t="s">
        <v>3811</v>
      </c>
      <c r="Q3084" s="564" t="s">
        <v>3684</v>
      </c>
      <c r="R3084" s="564">
        <v>1</v>
      </c>
    </row>
    <row r="3085" spans="1:18" s="484" customFormat="1" x14ac:dyDescent="0.25">
      <c r="A3085" s="564">
        <v>30</v>
      </c>
      <c r="B3085" s="564">
        <v>3</v>
      </c>
      <c r="C3085" s="564">
        <v>2</v>
      </c>
      <c r="D3085" s="564">
        <v>2</v>
      </c>
      <c r="E3085" s="564">
        <v>1</v>
      </c>
      <c r="F3085" s="564">
        <v>2</v>
      </c>
      <c r="G3085" s="564" t="s">
        <v>479</v>
      </c>
      <c r="H3085" s="564">
        <v>1324.8</v>
      </c>
      <c r="I3085" s="564">
        <v>89</v>
      </c>
      <c r="J3085" s="564">
        <v>37</v>
      </c>
      <c r="K3085" s="564">
        <v>34</v>
      </c>
      <c r="L3085" s="564">
        <v>4</v>
      </c>
      <c r="M3085" s="561" t="s">
        <v>137</v>
      </c>
      <c r="N3085" s="651">
        <v>43047565050000</v>
      </c>
      <c r="O3085" s="564" t="s">
        <v>3682</v>
      </c>
      <c r="P3085" s="564" t="s">
        <v>3812</v>
      </c>
      <c r="Q3085" s="564" t="s">
        <v>3684</v>
      </c>
      <c r="R3085" s="564">
        <v>1</v>
      </c>
    </row>
    <row r="3086" spans="1:18" s="484" customFormat="1" x14ac:dyDescent="0.25">
      <c r="A3086" s="564">
        <v>30</v>
      </c>
      <c r="B3086" s="564">
        <v>3</v>
      </c>
      <c r="C3086" s="564">
        <v>2</v>
      </c>
      <c r="D3086" s="564">
        <v>2</v>
      </c>
      <c r="E3086" s="564">
        <v>1</v>
      </c>
      <c r="F3086" s="564">
        <v>2</v>
      </c>
      <c r="G3086" s="564" t="s">
        <v>485</v>
      </c>
      <c r="H3086" s="564">
        <v>1324.34</v>
      </c>
      <c r="I3086" s="564">
        <v>87</v>
      </c>
      <c r="J3086" s="564">
        <v>12</v>
      </c>
      <c r="K3086" s="564">
        <v>44</v>
      </c>
      <c r="L3086" s="564">
        <v>4</v>
      </c>
      <c r="M3086" s="561" t="s">
        <v>137</v>
      </c>
      <c r="N3086" s="651">
        <v>43047565050000</v>
      </c>
      <c r="O3086" s="564" t="s">
        <v>3682</v>
      </c>
      <c r="P3086" s="564" t="s">
        <v>3813</v>
      </c>
      <c r="Q3086" s="564" t="s">
        <v>3684</v>
      </c>
      <c r="R3086" s="564">
        <v>1</v>
      </c>
    </row>
    <row r="3087" spans="1:18" s="484" customFormat="1" x14ac:dyDescent="0.25">
      <c r="A3087" s="564">
        <v>30</v>
      </c>
      <c r="B3087" s="564">
        <v>3</v>
      </c>
      <c r="C3087" s="564">
        <v>2</v>
      </c>
      <c r="D3087" s="564">
        <v>2</v>
      </c>
      <c r="E3087" s="564">
        <v>1</v>
      </c>
      <c r="F3087" s="564">
        <v>2</v>
      </c>
      <c r="G3087" s="564" t="s">
        <v>487</v>
      </c>
      <c r="H3087" s="564">
        <v>1347.56</v>
      </c>
      <c r="I3087" s="564">
        <v>89</v>
      </c>
      <c r="J3087" s="564">
        <v>1</v>
      </c>
      <c r="K3087" s="564">
        <v>1</v>
      </c>
      <c r="L3087" s="564">
        <v>1</v>
      </c>
      <c r="M3087" s="561" t="s">
        <v>137</v>
      </c>
      <c r="N3087" s="651">
        <v>43047565050000</v>
      </c>
      <c r="O3087" s="564" t="s">
        <v>3682</v>
      </c>
      <c r="P3087" s="564" t="s">
        <v>3814</v>
      </c>
      <c r="Q3087" s="564" t="s">
        <v>3684</v>
      </c>
      <c r="R3087" s="564">
        <v>1</v>
      </c>
    </row>
    <row r="3088" spans="1:18" s="484" customFormat="1" x14ac:dyDescent="0.25">
      <c r="A3088" s="564">
        <v>30</v>
      </c>
      <c r="B3088" s="564">
        <v>3</v>
      </c>
      <c r="C3088" s="564">
        <v>2</v>
      </c>
      <c r="D3088" s="564">
        <v>2</v>
      </c>
      <c r="E3088" s="564">
        <v>1</v>
      </c>
      <c r="F3088" s="564">
        <v>2</v>
      </c>
      <c r="G3088" s="521" t="s">
        <v>489</v>
      </c>
      <c r="H3088" s="564">
        <v>1317.26</v>
      </c>
      <c r="I3088" s="564">
        <v>89</v>
      </c>
      <c r="J3088" s="564">
        <v>1</v>
      </c>
      <c r="K3088" s="564">
        <v>1</v>
      </c>
      <c r="L3088" s="564">
        <v>1</v>
      </c>
      <c r="M3088" s="561" t="s">
        <v>137</v>
      </c>
      <c r="N3088" s="651">
        <v>43047565050000</v>
      </c>
      <c r="O3088" s="564" t="s">
        <v>3682</v>
      </c>
      <c r="P3088" s="564" t="s">
        <v>3815</v>
      </c>
      <c r="Q3088" s="564" t="s">
        <v>3684</v>
      </c>
      <c r="R3088" s="564">
        <v>1</v>
      </c>
    </row>
    <row r="3089" spans="1:18" s="484" customFormat="1" x14ac:dyDescent="0.25">
      <c r="A3089" s="564">
        <v>30</v>
      </c>
      <c r="B3089" s="564">
        <v>3</v>
      </c>
      <c r="C3089" s="564">
        <v>2</v>
      </c>
      <c r="D3089" s="564">
        <v>2</v>
      </c>
      <c r="E3089" s="564">
        <v>1</v>
      </c>
      <c r="F3089" s="564">
        <v>2</v>
      </c>
      <c r="G3089" s="564" t="s">
        <v>491</v>
      </c>
      <c r="H3089" s="564">
        <v>1317.26</v>
      </c>
      <c r="I3089" s="564">
        <v>89</v>
      </c>
      <c r="J3089" s="564">
        <v>1</v>
      </c>
      <c r="K3089" s="564">
        <v>1</v>
      </c>
      <c r="L3089" s="564">
        <v>1</v>
      </c>
      <c r="M3089" s="561" t="s">
        <v>137</v>
      </c>
      <c r="N3089" s="651">
        <v>43047565050000</v>
      </c>
      <c r="O3089" s="564" t="s">
        <v>3682</v>
      </c>
      <c r="P3089" s="564" t="s">
        <v>3816</v>
      </c>
      <c r="Q3089" s="564" t="s">
        <v>3684</v>
      </c>
      <c r="R3089" s="564">
        <v>1</v>
      </c>
    </row>
    <row r="3090" spans="1:18" s="484" customFormat="1" x14ac:dyDescent="0.25">
      <c r="A3090" s="564">
        <v>30</v>
      </c>
      <c r="B3090" s="564">
        <v>3</v>
      </c>
      <c r="C3090" s="564">
        <v>2</v>
      </c>
      <c r="D3090" s="564">
        <v>2</v>
      </c>
      <c r="E3090" s="564">
        <v>1</v>
      </c>
      <c r="F3090" s="564">
        <v>2</v>
      </c>
      <c r="G3090" s="564" t="s">
        <v>494</v>
      </c>
      <c r="H3090" s="564">
        <v>1324.49</v>
      </c>
      <c r="I3090" s="564">
        <v>89</v>
      </c>
      <c r="J3090" s="564">
        <v>41</v>
      </c>
      <c r="K3090" s="564">
        <v>33</v>
      </c>
      <c r="L3090" s="564">
        <v>4</v>
      </c>
      <c r="M3090" s="561" t="s">
        <v>137</v>
      </c>
      <c r="N3090" s="651">
        <v>43047565050000</v>
      </c>
      <c r="O3090" s="564" t="s">
        <v>3682</v>
      </c>
      <c r="P3090" s="564" t="s">
        <v>3817</v>
      </c>
      <c r="Q3090" s="564" t="s">
        <v>3684</v>
      </c>
      <c r="R3090" s="564">
        <v>1</v>
      </c>
    </row>
    <row r="3091" spans="1:18" x14ac:dyDescent="0.25">
      <c r="A3091" s="553">
        <v>31</v>
      </c>
      <c r="B3091" s="553">
        <v>1</v>
      </c>
      <c r="C3091" s="553">
        <v>2</v>
      </c>
      <c r="D3091" s="553">
        <v>1</v>
      </c>
      <c r="E3091" s="553">
        <v>2</v>
      </c>
      <c r="F3091" s="553">
        <v>2</v>
      </c>
      <c r="G3091" s="553" t="s">
        <v>473</v>
      </c>
      <c r="H3091" s="553">
        <v>1316.75</v>
      </c>
      <c r="I3091" s="553">
        <v>0</v>
      </c>
      <c r="J3091" s="553">
        <v>1</v>
      </c>
      <c r="K3091" s="553">
        <v>29</v>
      </c>
      <c r="L3091" s="553">
        <v>4</v>
      </c>
      <c r="M3091" s="505" t="s">
        <v>137</v>
      </c>
      <c r="N3091" s="500">
        <v>43013538850000</v>
      </c>
      <c r="O3091" s="553" t="s">
        <v>3818</v>
      </c>
      <c r="P3091" s="650" t="s">
        <v>3819</v>
      </c>
      <c r="Q3091" s="564"/>
      <c r="R3091" s="564">
        <v>2</v>
      </c>
    </row>
    <row r="3092" spans="1:18" x14ac:dyDescent="0.25">
      <c r="A3092" s="553">
        <v>31</v>
      </c>
      <c r="B3092" s="553">
        <v>1</v>
      </c>
      <c r="C3092" s="553">
        <v>2</v>
      </c>
      <c r="D3092" s="553">
        <v>1</v>
      </c>
      <c r="E3092" s="553">
        <v>2</v>
      </c>
      <c r="F3092" s="553">
        <v>2</v>
      </c>
      <c r="G3092" s="502" t="s">
        <v>476</v>
      </c>
      <c r="H3092" s="553">
        <v>1316.75</v>
      </c>
      <c r="I3092" s="553">
        <v>0</v>
      </c>
      <c r="J3092" s="553">
        <v>1</v>
      </c>
      <c r="K3092" s="553">
        <v>29</v>
      </c>
      <c r="L3092" s="553">
        <v>4</v>
      </c>
      <c r="M3092" s="505" t="s">
        <v>137</v>
      </c>
      <c r="N3092" s="500">
        <v>43013538850000</v>
      </c>
      <c r="O3092" s="553" t="s">
        <v>3818</v>
      </c>
      <c r="P3092" s="650" t="s">
        <v>3820</v>
      </c>
      <c r="Q3092" s="564"/>
      <c r="R3092" s="564">
        <v>2</v>
      </c>
    </row>
    <row r="3093" spans="1:18" x14ac:dyDescent="0.25">
      <c r="A3093" s="553">
        <v>31</v>
      </c>
      <c r="B3093" s="553">
        <v>1</v>
      </c>
      <c r="C3093" s="553">
        <v>2</v>
      </c>
      <c r="D3093" s="553">
        <v>1</v>
      </c>
      <c r="E3093" s="553">
        <v>2</v>
      </c>
      <c r="F3093" s="553">
        <v>2</v>
      </c>
      <c r="G3093" s="553" t="s">
        <v>478</v>
      </c>
      <c r="H3093" s="553">
        <v>1322.39</v>
      </c>
      <c r="I3093" s="553">
        <v>0</v>
      </c>
      <c r="J3093" s="553">
        <v>16</v>
      </c>
      <c r="K3093" s="553">
        <v>37</v>
      </c>
      <c r="L3093" s="553">
        <v>4</v>
      </c>
      <c r="M3093" s="505" t="s">
        <v>137</v>
      </c>
      <c r="N3093" s="500">
        <v>43013538850000</v>
      </c>
      <c r="O3093" s="553" t="s">
        <v>3818</v>
      </c>
      <c r="P3093" s="650" t="s">
        <v>3821</v>
      </c>
      <c r="Q3093" s="564"/>
      <c r="R3093" s="564">
        <v>2</v>
      </c>
    </row>
    <row r="3094" spans="1:18" x14ac:dyDescent="0.25">
      <c r="A3094" s="553">
        <v>31</v>
      </c>
      <c r="B3094" s="553">
        <v>1</v>
      </c>
      <c r="C3094" s="553">
        <v>2</v>
      </c>
      <c r="D3094" s="553">
        <v>1</v>
      </c>
      <c r="E3094" s="553">
        <v>2</v>
      </c>
      <c r="F3094" s="553">
        <v>2</v>
      </c>
      <c r="G3094" s="553" t="s">
        <v>484</v>
      </c>
      <c r="H3094" s="553">
        <v>1322.39</v>
      </c>
      <c r="I3094" s="553">
        <v>0</v>
      </c>
      <c r="J3094" s="553">
        <v>16</v>
      </c>
      <c r="K3094" s="553">
        <v>37</v>
      </c>
      <c r="L3094" s="553">
        <v>4</v>
      </c>
      <c r="M3094" s="505" t="s">
        <v>137</v>
      </c>
      <c r="N3094" s="500">
        <v>43013538850000</v>
      </c>
      <c r="O3094" s="553" t="s">
        <v>3818</v>
      </c>
      <c r="P3094" s="650" t="s">
        <v>3822</v>
      </c>
      <c r="Q3094" s="564"/>
      <c r="R3094" s="564">
        <v>2</v>
      </c>
    </row>
    <row r="3095" spans="1:18" x14ac:dyDescent="0.25">
      <c r="A3095" s="553">
        <v>31</v>
      </c>
      <c r="B3095" s="553">
        <v>1</v>
      </c>
      <c r="C3095" s="553">
        <v>2</v>
      </c>
      <c r="D3095" s="553">
        <v>1</v>
      </c>
      <c r="E3095" s="553">
        <v>2</v>
      </c>
      <c r="F3095" s="553">
        <v>2</v>
      </c>
      <c r="G3095" s="553" t="s">
        <v>486</v>
      </c>
      <c r="H3095" s="553">
        <v>1319.575</v>
      </c>
      <c r="I3095" s="553">
        <v>0</v>
      </c>
      <c r="J3095" s="553">
        <v>6</v>
      </c>
      <c r="K3095" s="553">
        <v>13</v>
      </c>
      <c r="L3095" s="553">
        <v>2</v>
      </c>
      <c r="M3095" s="505" t="s">
        <v>137</v>
      </c>
      <c r="N3095" s="500">
        <v>43013538850000</v>
      </c>
      <c r="O3095" s="553" t="s">
        <v>3818</v>
      </c>
      <c r="P3095" s="650" t="s">
        <v>3823</v>
      </c>
      <c r="Q3095" s="564"/>
      <c r="R3095" s="564">
        <v>2</v>
      </c>
    </row>
    <row r="3096" spans="1:18" x14ac:dyDescent="0.25">
      <c r="A3096" s="553">
        <v>31</v>
      </c>
      <c r="B3096" s="553">
        <v>1</v>
      </c>
      <c r="C3096" s="553">
        <v>2</v>
      </c>
      <c r="D3096" s="553">
        <v>1</v>
      </c>
      <c r="E3096" s="553">
        <v>2</v>
      </c>
      <c r="F3096" s="553">
        <v>2</v>
      </c>
      <c r="G3096" s="502" t="s">
        <v>488</v>
      </c>
      <c r="H3096" s="553">
        <v>1319.575</v>
      </c>
      <c r="I3096" s="553">
        <v>0</v>
      </c>
      <c r="J3096" s="553">
        <v>6</v>
      </c>
      <c r="K3096" s="553">
        <v>13</v>
      </c>
      <c r="L3096" s="553">
        <v>2</v>
      </c>
      <c r="M3096" s="505" t="s">
        <v>137</v>
      </c>
      <c r="N3096" s="500">
        <v>43013538850000</v>
      </c>
      <c r="O3096" s="553" t="s">
        <v>3818</v>
      </c>
      <c r="P3096" s="650" t="s">
        <v>3824</v>
      </c>
      <c r="Q3096" s="564"/>
      <c r="R3096" s="564">
        <v>2</v>
      </c>
    </row>
    <row r="3097" spans="1:18" x14ac:dyDescent="0.25">
      <c r="A3097" s="553">
        <v>31</v>
      </c>
      <c r="B3097" s="553">
        <v>1</v>
      </c>
      <c r="C3097" s="553">
        <v>2</v>
      </c>
      <c r="D3097" s="553">
        <v>1</v>
      </c>
      <c r="E3097" s="553">
        <v>2</v>
      </c>
      <c r="F3097" s="553">
        <v>2</v>
      </c>
      <c r="G3097" s="553" t="s">
        <v>490</v>
      </c>
      <c r="H3097" s="553">
        <v>1312.95</v>
      </c>
      <c r="I3097" s="553">
        <v>0</v>
      </c>
      <c r="J3097" s="553">
        <v>8</v>
      </c>
      <c r="K3097" s="553">
        <v>43</v>
      </c>
      <c r="L3097" s="553">
        <v>2</v>
      </c>
      <c r="M3097" s="505" t="s">
        <v>137</v>
      </c>
      <c r="N3097" s="500">
        <v>43013538850000</v>
      </c>
      <c r="O3097" s="553" t="s">
        <v>3818</v>
      </c>
      <c r="P3097" s="650" t="s">
        <v>3825</v>
      </c>
      <c r="Q3097" s="564"/>
      <c r="R3097" s="564">
        <v>2</v>
      </c>
    </row>
    <row r="3098" spans="1:18" x14ac:dyDescent="0.25">
      <c r="A3098" s="553">
        <v>31</v>
      </c>
      <c r="B3098" s="553">
        <v>1</v>
      </c>
      <c r="C3098" s="553">
        <v>2</v>
      </c>
      <c r="D3098" s="553">
        <v>1</v>
      </c>
      <c r="E3098" s="553">
        <v>2</v>
      </c>
      <c r="F3098" s="553">
        <v>2</v>
      </c>
      <c r="G3098" s="553" t="s">
        <v>493</v>
      </c>
      <c r="H3098" s="553">
        <v>1316.71</v>
      </c>
      <c r="I3098" s="553">
        <v>0</v>
      </c>
      <c r="J3098" s="553">
        <v>8</v>
      </c>
      <c r="K3098" s="553">
        <v>34</v>
      </c>
      <c r="L3098" s="553">
        <v>2</v>
      </c>
      <c r="M3098" s="505" t="s">
        <v>137</v>
      </c>
      <c r="N3098" s="500">
        <v>43013538850000</v>
      </c>
      <c r="O3098" s="553" t="s">
        <v>3818</v>
      </c>
      <c r="P3098" s="650" t="s">
        <v>3826</v>
      </c>
      <c r="Q3098" s="564"/>
      <c r="R3098" s="564">
        <v>2</v>
      </c>
    </row>
    <row r="3099" spans="1:18" x14ac:dyDescent="0.25">
      <c r="A3099" s="553">
        <v>31</v>
      </c>
      <c r="B3099" s="553">
        <v>1</v>
      </c>
      <c r="C3099" s="553">
        <v>2</v>
      </c>
      <c r="D3099" s="553">
        <v>1</v>
      </c>
      <c r="E3099" s="553">
        <v>2</v>
      </c>
      <c r="F3099" s="553">
        <v>2</v>
      </c>
      <c r="G3099" s="553" t="s">
        <v>474</v>
      </c>
      <c r="H3099" s="553">
        <v>1319.405</v>
      </c>
      <c r="I3099" s="553">
        <v>89</v>
      </c>
      <c r="J3099" s="553">
        <v>34</v>
      </c>
      <c r="K3099" s="553">
        <v>56</v>
      </c>
      <c r="L3099" s="553">
        <v>2</v>
      </c>
      <c r="M3099" s="505" t="s">
        <v>137</v>
      </c>
      <c r="N3099" s="500">
        <v>43013538850000</v>
      </c>
      <c r="O3099" s="553" t="s">
        <v>3818</v>
      </c>
      <c r="P3099" s="650" t="s">
        <v>3827</v>
      </c>
      <c r="Q3099" s="564"/>
      <c r="R3099" s="564">
        <v>2</v>
      </c>
    </row>
    <row r="3100" spans="1:18" x14ac:dyDescent="0.25">
      <c r="A3100" s="553">
        <v>31</v>
      </c>
      <c r="B3100" s="553">
        <v>1</v>
      </c>
      <c r="C3100" s="553">
        <v>2</v>
      </c>
      <c r="D3100" s="553">
        <v>1</v>
      </c>
      <c r="E3100" s="553">
        <v>2</v>
      </c>
      <c r="F3100" s="553">
        <v>2</v>
      </c>
      <c r="G3100" s="502" t="s">
        <v>477</v>
      </c>
      <c r="H3100" s="553">
        <v>1319.405</v>
      </c>
      <c r="I3100" s="553">
        <v>89</v>
      </c>
      <c r="J3100" s="553">
        <v>34</v>
      </c>
      <c r="K3100" s="553">
        <v>56</v>
      </c>
      <c r="L3100" s="553">
        <v>2</v>
      </c>
      <c r="M3100" s="505" t="s">
        <v>137</v>
      </c>
      <c r="N3100" s="500">
        <v>43013538850000</v>
      </c>
      <c r="O3100" s="553" t="s">
        <v>3818</v>
      </c>
      <c r="P3100" s="650" t="s">
        <v>3828</v>
      </c>
      <c r="Q3100" s="564"/>
      <c r="R3100" s="564">
        <v>2</v>
      </c>
    </row>
    <row r="3101" spans="1:18" x14ac:dyDescent="0.25">
      <c r="A3101" s="553">
        <v>31</v>
      </c>
      <c r="B3101" s="553">
        <v>1</v>
      </c>
      <c r="C3101" s="553">
        <v>2</v>
      </c>
      <c r="D3101" s="553">
        <v>1</v>
      </c>
      <c r="E3101" s="553">
        <v>2</v>
      </c>
      <c r="F3101" s="553">
        <v>2</v>
      </c>
      <c r="G3101" s="553" t="s">
        <v>479</v>
      </c>
      <c r="H3101" s="553">
        <v>1326.96</v>
      </c>
      <c r="I3101" s="553">
        <v>89</v>
      </c>
      <c r="J3101" s="553">
        <v>55</v>
      </c>
      <c r="K3101" s="553">
        <v>10</v>
      </c>
      <c r="L3101" s="553">
        <v>2</v>
      </c>
      <c r="M3101" s="505" t="s">
        <v>137</v>
      </c>
      <c r="N3101" s="500">
        <v>43013538850000</v>
      </c>
      <c r="O3101" s="553" t="s">
        <v>3818</v>
      </c>
      <c r="P3101" s="650" t="s">
        <v>3829</v>
      </c>
      <c r="Q3101" s="564"/>
      <c r="R3101" s="564">
        <v>2</v>
      </c>
    </row>
    <row r="3102" spans="1:18" x14ac:dyDescent="0.25">
      <c r="A3102" s="553">
        <v>31</v>
      </c>
      <c r="B3102" s="553">
        <v>1</v>
      </c>
      <c r="C3102" s="553">
        <v>2</v>
      </c>
      <c r="D3102" s="553">
        <v>1</v>
      </c>
      <c r="E3102" s="553">
        <v>2</v>
      </c>
      <c r="F3102" s="553">
        <v>2</v>
      </c>
      <c r="G3102" s="553" t="s">
        <v>485</v>
      </c>
      <c r="H3102" s="553">
        <v>1326.96</v>
      </c>
      <c r="I3102" s="553">
        <v>89</v>
      </c>
      <c r="J3102" s="553">
        <v>55</v>
      </c>
      <c r="K3102" s="553">
        <v>10</v>
      </c>
      <c r="L3102" s="553">
        <v>2</v>
      </c>
      <c r="M3102" s="505" t="s">
        <v>137</v>
      </c>
      <c r="N3102" s="500">
        <v>43013538850000</v>
      </c>
      <c r="O3102" s="553" t="s">
        <v>3818</v>
      </c>
      <c r="P3102" s="650" t="s">
        <v>3830</v>
      </c>
      <c r="Q3102" s="564"/>
      <c r="R3102" s="564">
        <v>2</v>
      </c>
    </row>
    <row r="3103" spans="1:18" x14ac:dyDescent="0.25">
      <c r="A3103" s="553">
        <v>31</v>
      </c>
      <c r="B3103" s="553">
        <v>1</v>
      </c>
      <c r="C3103" s="553">
        <v>2</v>
      </c>
      <c r="D3103" s="553">
        <v>1</v>
      </c>
      <c r="E3103" s="553">
        <v>2</v>
      </c>
      <c r="F3103" s="553">
        <v>2</v>
      </c>
      <c r="G3103" s="553" t="s">
        <v>487</v>
      </c>
      <c r="H3103" s="553">
        <v>1317.14</v>
      </c>
      <c r="I3103" s="553">
        <v>87</v>
      </c>
      <c r="J3103" s="553">
        <v>48</v>
      </c>
      <c r="K3103" s="553">
        <v>33</v>
      </c>
      <c r="L3103" s="553">
        <v>2</v>
      </c>
      <c r="M3103" s="505" t="s">
        <v>137</v>
      </c>
      <c r="N3103" s="500">
        <v>43013538850000</v>
      </c>
      <c r="O3103" s="553" t="s">
        <v>3818</v>
      </c>
      <c r="P3103" s="650" t="s">
        <v>3831</v>
      </c>
      <c r="Q3103" s="564"/>
      <c r="R3103" s="564">
        <v>2</v>
      </c>
    </row>
    <row r="3104" spans="1:18" x14ac:dyDescent="0.25">
      <c r="A3104" s="553">
        <v>31</v>
      </c>
      <c r="B3104" s="553">
        <v>1</v>
      </c>
      <c r="C3104" s="553">
        <v>2</v>
      </c>
      <c r="D3104" s="553">
        <v>1</v>
      </c>
      <c r="E3104" s="553">
        <v>2</v>
      </c>
      <c r="F3104" s="553">
        <v>2</v>
      </c>
      <c r="G3104" s="502" t="s">
        <v>489</v>
      </c>
      <c r="H3104" s="553">
        <v>1297.9000000000001</v>
      </c>
      <c r="I3104" s="553">
        <v>89</v>
      </c>
      <c r="J3104" s="553">
        <v>38</v>
      </c>
      <c r="K3104" s="553">
        <v>12</v>
      </c>
      <c r="L3104" s="553">
        <v>2</v>
      </c>
      <c r="M3104" s="505" t="s">
        <v>137</v>
      </c>
      <c r="N3104" s="500">
        <v>43013538850000</v>
      </c>
      <c r="O3104" s="553" t="s">
        <v>3818</v>
      </c>
      <c r="P3104" s="650" t="s">
        <v>3832</v>
      </c>
      <c r="Q3104" s="564"/>
      <c r="R3104" s="564">
        <v>2</v>
      </c>
    </row>
    <row r="3105" spans="1:20" x14ac:dyDescent="0.25">
      <c r="A3105" s="553">
        <v>31</v>
      </c>
      <c r="B3105" s="553">
        <v>1</v>
      </c>
      <c r="C3105" s="553">
        <v>2</v>
      </c>
      <c r="D3105" s="553">
        <v>1</v>
      </c>
      <c r="E3105" s="553">
        <v>2</v>
      </c>
      <c r="F3105" s="553">
        <v>2</v>
      </c>
      <c r="G3105" s="553" t="s">
        <v>491</v>
      </c>
      <c r="H3105" s="553">
        <v>1326.71</v>
      </c>
      <c r="I3105" s="553">
        <v>89</v>
      </c>
      <c r="J3105" s="553">
        <v>26</v>
      </c>
      <c r="K3105" s="553">
        <v>5</v>
      </c>
      <c r="L3105" s="553">
        <v>1</v>
      </c>
      <c r="M3105" s="505" t="s">
        <v>137</v>
      </c>
      <c r="N3105" s="500">
        <v>43013538850000</v>
      </c>
      <c r="O3105" s="553" t="s">
        <v>3818</v>
      </c>
      <c r="P3105" s="650" t="s">
        <v>3833</v>
      </c>
      <c r="Q3105" s="564"/>
      <c r="R3105" s="564">
        <v>2</v>
      </c>
    </row>
    <row r="3106" spans="1:20" x14ac:dyDescent="0.25">
      <c r="A3106" s="553">
        <v>31</v>
      </c>
      <c r="B3106" s="553">
        <v>1</v>
      </c>
      <c r="C3106" s="553">
        <v>2</v>
      </c>
      <c r="D3106" s="553">
        <v>1</v>
      </c>
      <c r="E3106" s="553">
        <v>2</v>
      </c>
      <c r="F3106" s="553">
        <v>2</v>
      </c>
      <c r="G3106" s="553" t="s">
        <v>494</v>
      </c>
      <c r="H3106" s="553">
        <v>1326.71</v>
      </c>
      <c r="I3106" s="553">
        <v>89</v>
      </c>
      <c r="J3106" s="553">
        <v>26</v>
      </c>
      <c r="K3106" s="553">
        <v>5</v>
      </c>
      <c r="L3106" s="553">
        <v>1</v>
      </c>
      <c r="M3106" s="505" t="s">
        <v>137</v>
      </c>
      <c r="N3106" s="500">
        <v>43013538850000</v>
      </c>
      <c r="O3106" s="553" t="s">
        <v>3818</v>
      </c>
      <c r="P3106" s="650" t="s">
        <v>3834</v>
      </c>
      <c r="Q3106" s="564"/>
      <c r="R3106" s="564">
        <v>2</v>
      </c>
    </row>
    <row r="3107" spans="1:20" x14ac:dyDescent="0.25">
      <c r="A3107" s="553">
        <v>31</v>
      </c>
      <c r="B3107" s="553">
        <v>2</v>
      </c>
      <c r="C3107" s="553">
        <v>2</v>
      </c>
      <c r="D3107" s="553">
        <v>1</v>
      </c>
      <c r="E3107" s="553">
        <v>1</v>
      </c>
      <c r="F3107" s="553">
        <v>2</v>
      </c>
      <c r="G3107" s="553" t="s">
        <v>473</v>
      </c>
      <c r="H3107" s="553">
        <v>1327.42</v>
      </c>
      <c r="I3107" s="553">
        <v>0</v>
      </c>
      <c r="J3107" s="553">
        <v>8</v>
      </c>
      <c r="K3107" s="553">
        <v>41</v>
      </c>
      <c r="L3107" s="553">
        <v>4</v>
      </c>
      <c r="M3107" s="505" t="s">
        <v>137</v>
      </c>
      <c r="N3107" s="500">
        <v>43047556720000</v>
      </c>
      <c r="O3107" s="553" t="s">
        <v>3700</v>
      </c>
      <c r="P3107" s="650" t="s">
        <v>3835</v>
      </c>
      <c r="Q3107" s="564"/>
      <c r="R3107" s="564">
        <v>1</v>
      </c>
      <c r="S3107" s="565"/>
      <c r="T3107" s="565"/>
    </row>
    <row r="3108" spans="1:20" x14ac:dyDescent="0.25">
      <c r="A3108" s="553">
        <v>31</v>
      </c>
      <c r="B3108" s="553">
        <v>2</v>
      </c>
      <c r="C3108" s="553">
        <v>2</v>
      </c>
      <c r="D3108" s="553">
        <v>1</v>
      </c>
      <c r="E3108" s="553">
        <v>1</v>
      </c>
      <c r="F3108" s="553">
        <v>2</v>
      </c>
      <c r="G3108" s="502" t="s">
        <v>476</v>
      </c>
      <c r="H3108" s="553">
        <v>1327.42</v>
      </c>
      <c r="I3108" s="553">
        <v>0</v>
      </c>
      <c r="J3108" s="553">
        <v>8</v>
      </c>
      <c r="K3108" s="553">
        <v>41</v>
      </c>
      <c r="L3108" s="553">
        <v>4</v>
      </c>
      <c r="M3108" s="505" t="s">
        <v>137</v>
      </c>
      <c r="N3108" s="500">
        <v>43047556720000</v>
      </c>
      <c r="O3108" s="553" t="s">
        <v>3700</v>
      </c>
      <c r="P3108" s="650" t="s">
        <v>3836</v>
      </c>
      <c r="Q3108" s="564"/>
      <c r="R3108" s="564">
        <v>1</v>
      </c>
      <c r="S3108" s="565"/>
      <c r="T3108" s="565"/>
    </row>
    <row r="3109" spans="1:20" x14ac:dyDescent="0.25">
      <c r="A3109" s="553">
        <v>31</v>
      </c>
      <c r="B3109" s="553">
        <v>2</v>
      </c>
      <c r="C3109" s="553">
        <v>2</v>
      </c>
      <c r="D3109" s="553">
        <v>1</v>
      </c>
      <c r="E3109" s="553">
        <v>1</v>
      </c>
      <c r="F3109" s="553">
        <v>2</v>
      </c>
      <c r="G3109" s="553" t="s">
        <v>478</v>
      </c>
      <c r="H3109" s="553">
        <v>1327.42</v>
      </c>
      <c r="I3109" s="553">
        <v>0</v>
      </c>
      <c r="J3109" s="553">
        <v>8</v>
      </c>
      <c r="K3109" s="553">
        <v>41</v>
      </c>
      <c r="L3109" s="553">
        <v>4</v>
      </c>
      <c r="M3109" s="505" t="s">
        <v>137</v>
      </c>
      <c r="N3109" s="500">
        <v>43047556720000</v>
      </c>
      <c r="O3109" s="553" t="s">
        <v>3700</v>
      </c>
      <c r="P3109" s="650" t="s">
        <v>3837</v>
      </c>
      <c r="Q3109" s="564"/>
      <c r="R3109" s="564">
        <v>1</v>
      </c>
      <c r="S3109" s="565"/>
      <c r="T3109" s="565"/>
    </row>
    <row r="3110" spans="1:20" x14ac:dyDescent="0.25">
      <c r="A3110" s="553">
        <v>31</v>
      </c>
      <c r="B3110" s="553">
        <v>2</v>
      </c>
      <c r="C3110" s="553">
        <v>2</v>
      </c>
      <c r="D3110" s="553">
        <v>1</v>
      </c>
      <c r="E3110" s="553">
        <v>1</v>
      </c>
      <c r="F3110" s="553">
        <v>2</v>
      </c>
      <c r="G3110" s="553" t="s">
        <v>484</v>
      </c>
      <c r="H3110" s="553">
        <v>1327.42</v>
      </c>
      <c r="I3110" s="553">
        <v>0</v>
      </c>
      <c r="J3110" s="553">
        <v>8</v>
      </c>
      <c r="K3110" s="553">
        <v>41</v>
      </c>
      <c r="L3110" s="553">
        <v>4</v>
      </c>
      <c r="M3110" s="505" t="s">
        <v>137</v>
      </c>
      <c r="N3110" s="500">
        <v>43047556720000</v>
      </c>
      <c r="O3110" s="553" t="s">
        <v>3700</v>
      </c>
      <c r="P3110" s="650" t="s">
        <v>3838</v>
      </c>
      <c r="Q3110" s="564"/>
      <c r="R3110" s="564">
        <v>1</v>
      </c>
      <c r="S3110" s="565"/>
      <c r="T3110" s="565"/>
    </row>
    <row r="3111" spans="1:20" x14ac:dyDescent="0.25">
      <c r="A3111" s="553">
        <v>31</v>
      </c>
      <c r="B3111" s="553">
        <v>2</v>
      </c>
      <c r="C3111" s="553">
        <v>2</v>
      </c>
      <c r="D3111" s="553">
        <v>1</v>
      </c>
      <c r="E3111" s="553">
        <v>1</v>
      </c>
      <c r="F3111" s="553">
        <v>2</v>
      </c>
      <c r="G3111" s="553" t="s">
        <v>486</v>
      </c>
      <c r="H3111" s="553">
        <v>1319.09</v>
      </c>
      <c r="I3111" s="553">
        <v>0</v>
      </c>
      <c r="J3111" s="553">
        <v>11</v>
      </c>
      <c r="K3111" s="553">
        <v>53</v>
      </c>
      <c r="L3111" s="553">
        <v>4</v>
      </c>
      <c r="M3111" s="505" t="s">
        <v>137</v>
      </c>
      <c r="N3111" s="500">
        <v>43047556720000</v>
      </c>
      <c r="O3111" s="553" t="s">
        <v>3700</v>
      </c>
      <c r="P3111" s="650" t="s">
        <v>3839</v>
      </c>
      <c r="Q3111" s="564"/>
      <c r="R3111" s="564">
        <v>1</v>
      </c>
      <c r="S3111" s="565"/>
      <c r="T3111" s="565"/>
    </row>
    <row r="3112" spans="1:20" x14ac:dyDescent="0.25">
      <c r="A3112" s="553">
        <v>31</v>
      </c>
      <c r="B3112" s="553">
        <v>2</v>
      </c>
      <c r="C3112" s="553">
        <v>2</v>
      </c>
      <c r="D3112" s="553">
        <v>1</v>
      </c>
      <c r="E3112" s="553">
        <v>1</v>
      </c>
      <c r="F3112" s="553">
        <v>2</v>
      </c>
      <c r="G3112" s="502" t="s">
        <v>488</v>
      </c>
      <c r="H3112" s="553">
        <v>1319.09</v>
      </c>
      <c r="I3112" s="553">
        <v>0</v>
      </c>
      <c r="J3112" s="553">
        <v>11</v>
      </c>
      <c r="K3112" s="553">
        <v>53</v>
      </c>
      <c r="L3112" s="553">
        <v>4</v>
      </c>
      <c r="M3112" s="505" t="s">
        <v>137</v>
      </c>
      <c r="N3112" s="500">
        <v>43047556720000</v>
      </c>
      <c r="O3112" s="553" t="s">
        <v>3700</v>
      </c>
      <c r="P3112" s="650" t="s">
        <v>3840</v>
      </c>
      <c r="Q3112" s="564"/>
      <c r="R3112" s="564">
        <v>1</v>
      </c>
      <c r="S3112" s="565"/>
      <c r="T3112" s="565"/>
    </row>
    <row r="3113" spans="1:20" x14ac:dyDescent="0.25">
      <c r="A3113" s="553">
        <v>31</v>
      </c>
      <c r="B3113" s="553">
        <v>2</v>
      </c>
      <c r="C3113" s="553">
        <v>2</v>
      </c>
      <c r="D3113" s="553">
        <v>1</v>
      </c>
      <c r="E3113" s="553">
        <v>1</v>
      </c>
      <c r="F3113" s="553">
        <v>2</v>
      </c>
      <c r="G3113" s="553" t="s">
        <v>490</v>
      </c>
      <c r="H3113" s="553">
        <v>1320.17</v>
      </c>
      <c r="I3113" s="553">
        <v>0</v>
      </c>
      <c r="J3113" s="553">
        <v>14</v>
      </c>
      <c r="K3113" s="553">
        <v>19</v>
      </c>
      <c r="L3113" s="553">
        <v>2</v>
      </c>
      <c r="M3113" s="505" t="s">
        <v>137</v>
      </c>
      <c r="N3113" s="500">
        <v>43047556720000</v>
      </c>
      <c r="O3113" s="553" t="s">
        <v>3700</v>
      </c>
      <c r="P3113" s="650" t="s">
        <v>3841</v>
      </c>
      <c r="Q3113" s="564"/>
      <c r="R3113" s="564">
        <v>1</v>
      </c>
      <c r="S3113" s="565"/>
      <c r="T3113" s="565"/>
    </row>
    <row r="3114" spans="1:20" x14ac:dyDescent="0.25">
      <c r="A3114" s="553">
        <v>31</v>
      </c>
      <c r="B3114" s="553">
        <v>2</v>
      </c>
      <c r="C3114" s="553">
        <v>2</v>
      </c>
      <c r="D3114" s="553">
        <v>1</v>
      </c>
      <c r="E3114" s="553">
        <v>1</v>
      </c>
      <c r="F3114" s="553">
        <v>2</v>
      </c>
      <c r="G3114" s="553" t="s">
        <v>493</v>
      </c>
      <c r="H3114" s="553">
        <v>1320.17</v>
      </c>
      <c r="I3114" s="553">
        <v>0</v>
      </c>
      <c r="J3114" s="553">
        <v>14</v>
      </c>
      <c r="K3114" s="553">
        <v>19</v>
      </c>
      <c r="L3114" s="553">
        <v>2</v>
      </c>
      <c r="M3114" s="505" t="s">
        <v>137</v>
      </c>
      <c r="N3114" s="500">
        <v>43047556720000</v>
      </c>
      <c r="O3114" s="553" t="s">
        <v>3700</v>
      </c>
      <c r="P3114" s="650" t="s">
        <v>3842</v>
      </c>
      <c r="Q3114" s="564"/>
      <c r="R3114" s="564">
        <v>1</v>
      </c>
      <c r="S3114" s="565"/>
      <c r="T3114" s="565"/>
    </row>
    <row r="3115" spans="1:20" x14ac:dyDescent="0.25">
      <c r="A3115" s="553">
        <v>31</v>
      </c>
      <c r="B3115" s="553">
        <v>2</v>
      </c>
      <c r="C3115" s="553">
        <v>2</v>
      </c>
      <c r="D3115" s="553">
        <v>1</v>
      </c>
      <c r="E3115" s="553">
        <v>1</v>
      </c>
      <c r="F3115" s="553">
        <v>2</v>
      </c>
      <c r="G3115" s="553" t="s">
        <v>474</v>
      </c>
      <c r="H3115" s="553">
        <v>1330.62</v>
      </c>
      <c r="I3115" s="553">
        <v>89</v>
      </c>
      <c r="J3115" s="553">
        <v>37</v>
      </c>
      <c r="K3115" s="553">
        <v>0</v>
      </c>
      <c r="L3115" s="553">
        <v>1</v>
      </c>
      <c r="M3115" s="505" t="s">
        <v>137</v>
      </c>
      <c r="N3115" s="500">
        <v>43047556720000</v>
      </c>
      <c r="O3115" s="553" t="s">
        <v>3700</v>
      </c>
      <c r="P3115" s="650" t="s">
        <v>3843</v>
      </c>
      <c r="Q3115" s="564"/>
      <c r="R3115" s="564">
        <v>1</v>
      </c>
      <c r="S3115" s="565"/>
      <c r="T3115" s="565"/>
    </row>
    <row r="3116" spans="1:20" x14ac:dyDescent="0.25">
      <c r="A3116" s="553">
        <v>31</v>
      </c>
      <c r="B3116" s="553">
        <v>2</v>
      </c>
      <c r="C3116" s="553">
        <v>2</v>
      </c>
      <c r="D3116" s="553">
        <v>1</v>
      </c>
      <c r="E3116" s="553">
        <v>1</v>
      </c>
      <c r="F3116" s="553">
        <v>2</v>
      </c>
      <c r="G3116" s="502" t="s">
        <v>477</v>
      </c>
      <c r="H3116" s="553">
        <v>1330.62</v>
      </c>
      <c r="I3116" s="553">
        <v>89</v>
      </c>
      <c r="J3116" s="553">
        <v>37</v>
      </c>
      <c r="K3116" s="553">
        <v>0</v>
      </c>
      <c r="L3116" s="553">
        <v>1</v>
      </c>
      <c r="M3116" s="505" t="s">
        <v>137</v>
      </c>
      <c r="N3116" s="500">
        <v>43047556720000</v>
      </c>
      <c r="O3116" s="553" t="s">
        <v>3700</v>
      </c>
      <c r="P3116" s="650" t="s">
        <v>3844</v>
      </c>
      <c r="Q3116" s="564"/>
      <c r="R3116" s="564">
        <v>1</v>
      </c>
      <c r="S3116" s="565"/>
      <c r="T3116" s="565"/>
    </row>
    <row r="3117" spans="1:20" x14ac:dyDescent="0.25">
      <c r="A3117" s="553">
        <v>31</v>
      </c>
      <c r="B3117" s="553">
        <v>2</v>
      </c>
      <c r="C3117" s="553">
        <v>2</v>
      </c>
      <c r="D3117" s="553">
        <v>1</v>
      </c>
      <c r="E3117" s="553">
        <v>1</v>
      </c>
      <c r="F3117" s="553">
        <v>2</v>
      </c>
      <c r="G3117" s="553" t="s">
        <v>479</v>
      </c>
      <c r="H3117" s="553">
        <v>1315.05</v>
      </c>
      <c r="I3117" s="553">
        <v>89</v>
      </c>
      <c r="J3117" s="553">
        <v>38</v>
      </c>
      <c r="K3117" s="553">
        <v>21</v>
      </c>
      <c r="L3117" s="553">
        <v>1</v>
      </c>
      <c r="M3117" s="505" t="s">
        <v>137</v>
      </c>
      <c r="N3117" s="500">
        <v>43047556720000</v>
      </c>
      <c r="O3117" s="553" t="s">
        <v>3700</v>
      </c>
      <c r="P3117" s="650" t="s">
        <v>3845</v>
      </c>
      <c r="Q3117" s="564"/>
      <c r="R3117" s="564">
        <v>1</v>
      </c>
      <c r="S3117" s="565"/>
      <c r="T3117" s="565"/>
    </row>
    <row r="3118" spans="1:20" x14ac:dyDescent="0.25">
      <c r="A3118" s="553">
        <v>31</v>
      </c>
      <c r="B3118" s="553">
        <v>2</v>
      </c>
      <c r="C3118" s="553">
        <v>2</v>
      </c>
      <c r="D3118" s="553">
        <v>1</v>
      </c>
      <c r="E3118" s="553">
        <v>1</v>
      </c>
      <c r="F3118" s="553">
        <v>2</v>
      </c>
      <c r="G3118" s="553" t="s">
        <v>485</v>
      </c>
      <c r="H3118" s="553">
        <v>1315.05</v>
      </c>
      <c r="I3118" s="553">
        <v>89</v>
      </c>
      <c r="J3118" s="553">
        <v>38</v>
      </c>
      <c r="K3118" s="553">
        <v>21</v>
      </c>
      <c r="L3118" s="553">
        <v>1</v>
      </c>
      <c r="M3118" s="505" t="s">
        <v>137</v>
      </c>
      <c r="N3118" s="500">
        <v>43047556720000</v>
      </c>
      <c r="O3118" s="553" t="s">
        <v>3700</v>
      </c>
      <c r="P3118" s="650" t="s">
        <v>3846</v>
      </c>
      <c r="Q3118" s="564"/>
      <c r="R3118" s="564">
        <v>1</v>
      </c>
      <c r="S3118" s="565"/>
      <c r="T3118" s="565"/>
    </row>
    <row r="3119" spans="1:20" x14ac:dyDescent="0.25">
      <c r="A3119" s="553">
        <v>31</v>
      </c>
      <c r="B3119" s="553">
        <v>2</v>
      </c>
      <c r="C3119" s="553">
        <v>2</v>
      </c>
      <c r="D3119" s="553">
        <v>1</v>
      </c>
      <c r="E3119" s="553">
        <v>1</v>
      </c>
      <c r="F3119" s="553">
        <v>2</v>
      </c>
      <c r="G3119" s="553" t="s">
        <v>487</v>
      </c>
      <c r="H3119" s="553">
        <v>1319.61</v>
      </c>
      <c r="I3119" s="553">
        <v>89</v>
      </c>
      <c r="J3119" s="553">
        <v>57</v>
      </c>
      <c r="K3119" s="553">
        <v>40</v>
      </c>
      <c r="L3119" s="553">
        <v>4</v>
      </c>
      <c r="M3119" s="505" t="s">
        <v>137</v>
      </c>
      <c r="N3119" s="500">
        <v>43047556720000</v>
      </c>
      <c r="O3119" s="553" t="s">
        <v>3700</v>
      </c>
      <c r="P3119" s="650" t="s">
        <v>3847</v>
      </c>
      <c r="Q3119" s="564"/>
      <c r="R3119" s="564">
        <v>1</v>
      </c>
      <c r="S3119" s="565"/>
      <c r="T3119" s="565"/>
    </row>
    <row r="3120" spans="1:20" x14ac:dyDescent="0.25">
      <c r="A3120" s="553">
        <v>31</v>
      </c>
      <c r="B3120" s="553">
        <v>2</v>
      </c>
      <c r="C3120" s="553">
        <v>2</v>
      </c>
      <c r="D3120" s="553">
        <v>1</v>
      </c>
      <c r="E3120" s="553">
        <v>1</v>
      </c>
      <c r="F3120" s="553">
        <v>2</v>
      </c>
      <c r="G3120" s="502" t="s">
        <v>489</v>
      </c>
      <c r="H3120" s="553">
        <v>1319.61</v>
      </c>
      <c r="I3120" s="553">
        <v>89</v>
      </c>
      <c r="J3120" s="553">
        <v>57</v>
      </c>
      <c r="K3120" s="553">
        <v>40</v>
      </c>
      <c r="L3120" s="553">
        <v>4</v>
      </c>
      <c r="M3120" s="505" t="s">
        <v>137</v>
      </c>
      <c r="N3120" s="500">
        <v>43047556720000</v>
      </c>
      <c r="O3120" s="553" t="s">
        <v>3700</v>
      </c>
      <c r="P3120" s="650" t="s">
        <v>3848</v>
      </c>
      <c r="Q3120" s="564"/>
      <c r="R3120" s="564">
        <v>1</v>
      </c>
      <c r="S3120" s="565"/>
      <c r="T3120" s="565"/>
    </row>
    <row r="3121" spans="1:20" x14ac:dyDescent="0.25">
      <c r="A3121" s="553">
        <v>31</v>
      </c>
      <c r="B3121" s="553">
        <v>2</v>
      </c>
      <c r="C3121" s="553">
        <v>2</v>
      </c>
      <c r="D3121" s="553">
        <v>1</v>
      </c>
      <c r="E3121" s="553">
        <v>1</v>
      </c>
      <c r="F3121" s="553">
        <v>2</v>
      </c>
      <c r="G3121" s="553" t="s">
        <v>491</v>
      </c>
      <c r="H3121" s="553">
        <v>1318.355</v>
      </c>
      <c r="I3121" s="553">
        <v>89</v>
      </c>
      <c r="J3121" s="553">
        <v>58</v>
      </c>
      <c r="K3121" s="553">
        <v>11</v>
      </c>
      <c r="L3121" s="553">
        <v>4</v>
      </c>
      <c r="M3121" s="505" t="s">
        <v>137</v>
      </c>
      <c r="N3121" s="500">
        <v>43047556720000</v>
      </c>
      <c r="O3121" s="553" t="s">
        <v>3700</v>
      </c>
      <c r="P3121" s="650" t="s">
        <v>3849</v>
      </c>
      <c r="Q3121" s="564"/>
      <c r="R3121" s="564">
        <v>1</v>
      </c>
      <c r="S3121" s="565"/>
      <c r="T3121" s="565"/>
    </row>
    <row r="3122" spans="1:20" x14ac:dyDescent="0.25">
      <c r="A3122" s="553">
        <v>31</v>
      </c>
      <c r="B3122" s="553">
        <v>2</v>
      </c>
      <c r="C3122" s="553">
        <v>2</v>
      </c>
      <c r="D3122" s="553">
        <v>1</v>
      </c>
      <c r="E3122" s="553">
        <v>1</v>
      </c>
      <c r="F3122" s="553">
        <v>2</v>
      </c>
      <c r="G3122" s="553" t="s">
        <v>494</v>
      </c>
      <c r="H3122" s="553">
        <v>1318.355</v>
      </c>
      <c r="I3122" s="553">
        <v>89</v>
      </c>
      <c r="J3122" s="553">
        <v>58</v>
      </c>
      <c r="K3122" s="553">
        <v>11</v>
      </c>
      <c r="L3122" s="553">
        <v>4</v>
      </c>
      <c r="M3122" s="505" t="s">
        <v>137</v>
      </c>
      <c r="N3122" s="500">
        <v>43047556720000</v>
      </c>
      <c r="O3122" s="553" t="s">
        <v>3700</v>
      </c>
      <c r="P3122" s="650" t="s">
        <v>3850</v>
      </c>
      <c r="Q3122" s="564"/>
      <c r="R3122" s="564">
        <v>1</v>
      </c>
      <c r="S3122" s="565"/>
      <c r="T3122" s="565"/>
    </row>
    <row r="3123" spans="1:20" x14ac:dyDescent="0.25">
      <c r="A3123" s="553">
        <v>31</v>
      </c>
      <c r="B3123" s="553">
        <v>2</v>
      </c>
      <c r="C3123" s="553">
        <v>2</v>
      </c>
      <c r="D3123" s="553">
        <v>1</v>
      </c>
      <c r="E3123" s="553">
        <v>2</v>
      </c>
      <c r="F3123" s="553">
        <v>2</v>
      </c>
      <c r="G3123" s="553" t="s">
        <v>473</v>
      </c>
      <c r="H3123" s="553">
        <v>1319.165</v>
      </c>
      <c r="I3123" s="553">
        <v>0</v>
      </c>
      <c r="J3123" s="553">
        <v>9</v>
      </c>
      <c r="K3123" s="553">
        <v>51</v>
      </c>
      <c r="L3123" s="553">
        <v>4</v>
      </c>
      <c r="M3123" s="505" t="s">
        <v>137</v>
      </c>
      <c r="N3123" s="500">
        <v>43013534100000</v>
      </c>
      <c r="O3123" s="553" t="s">
        <v>3717</v>
      </c>
      <c r="P3123" s="650" t="s">
        <v>3851</v>
      </c>
      <c r="Q3123" s="564"/>
      <c r="R3123" s="564">
        <v>2</v>
      </c>
    </row>
    <row r="3124" spans="1:20" x14ac:dyDescent="0.25">
      <c r="A3124" s="553">
        <v>31</v>
      </c>
      <c r="B3124" s="553">
        <v>2</v>
      </c>
      <c r="C3124" s="553">
        <v>2</v>
      </c>
      <c r="D3124" s="553">
        <v>1</v>
      </c>
      <c r="E3124" s="553">
        <v>2</v>
      </c>
      <c r="F3124" s="553">
        <v>2</v>
      </c>
      <c r="G3124" s="502" t="s">
        <v>476</v>
      </c>
      <c r="H3124" s="553">
        <v>1319.165</v>
      </c>
      <c r="I3124" s="553">
        <v>0</v>
      </c>
      <c r="J3124" s="553">
        <v>9</v>
      </c>
      <c r="K3124" s="553">
        <v>51</v>
      </c>
      <c r="L3124" s="553">
        <v>4</v>
      </c>
      <c r="M3124" s="505" t="s">
        <v>137</v>
      </c>
      <c r="N3124" s="500">
        <v>43013534100000</v>
      </c>
      <c r="O3124" s="553" t="s">
        <v>3717</v>
      </c>
      <c r="P3124" s="650" t="s">
        <v>3852</v>
      </c>
      <c r="Q3124" s="564"/>
      <c r="R3124" s="564">
        <v>2</v>
      </c>
    </row>
    <row r="3125" spans="1:20" x14ac:dyDescent="0.25">
      <c r="A3125" s="553">
        <v>31</v>
      </c>
      <c r="B3125" s="553">
        <v>2</v>
      </c>
      <c r="C3125" s="553">
        <v>2</v>
      </c>
      <c r="D3125" s="553">
        <v>1</v>
      </c>
      <c r="E3125" s="553">
        <v>2</v>
      </c>
      <c r="F3125" s="553">
        <v>2</v>
      </c>
      <c r="G3125" s="553" t="s">
        <v>478</v>
      </c>
      <c r="H3125" s="553">
        <v>1320.55</v>
      </c>
      <c r="I3125" s="553">
        <v>0</v>
      </c>
      <c r="J3125" s="553">
        <v>9</v>
      </c>
      <c r="K3125" s="553">
        <v>40</v>
      </c>
      <c r="L3125" s="553">
        <v>4</v>
      </c>
      <c r="M3125" s="505" t="s">
        <v>137</v>
      </c>
      <c r="N3125" s="500">
        <v>43013534100000</v>
      </c>
      <c r="O3125" s="553" t="s">
        <v>3717</v>
      </c>
      <c r="P3125" s="650" t="s">
        <v>3853</v>
      </c>
      <c r="Q3125" s="564"/>
      <c r="R3125" s="564">
        <v>2</v>
      </c>
    </row>
    <row r="3126" spans="1:20" x14ac:dyDescent="0.25">
      <c r="A3126" s="553">
        <v>31</v>
      </c>
      <c r="B3126" s="553">
        <v>2</v>
      </c>
      <c r="C3126" s="553">
        <v>2</v>
      </c>
      <c r="D3126" s="553">
        <v>1</v>
      </c>
      <c r="E3126" s="553">
        <v>2</v>
      </c>
      <c r="F3126" s="553">
        <v>2</v>
      </c>
      <c r="G3126" s="553" t="s">
        <v>484</v>
      </c>
      <c r="H3126" s="553">
        <v>1320.55</v>
      </c>
      <c r="I3126" s="553">
        <v>0</v>
      </c>
      <c r="J3126" s="553">
        <v>9</v>
      </c>
      <c r="K3126" s="553">
        <v>40</v>
      </c>
      <c r="L3126" s="553">
        <v>4</v>
      </c>
      <c r="M3126" s="505" t="s">
        <v>137</v>
      </c>
      <c r="N3126" s="500">
        <v>43013534100000</v>
      </c>
      <c r="O3126" s="553" t="s">
        <v>3717</v>
      </c>
      <c r="P3126" s="650" t="s">
        <v>3854</v>
      </c>
      <c r="Q3126" s="564"/>
      <c r="R3126" s="564">
        <v>2</v>
      </c>
    </row>
    <row r="3127" spans="1:20" x14ac:dyDescent="0.25">
      <c r="A3127" s="553">
        <v>31</v>
      </c>
      <c r="B3127" s="553">
        <v>2</v>
      </c>
      <c r="C3127" s="553">
        <v>2</v>
      </c>
      <c r="D3127" s="553">
        <v>1</v>
      </c>
      <c r="E3127" s="553">
        <v>2</v>
      </c>
      <c r="F3127" s="553">
        <v>2</v>
      </c>
      <c r="G3127" s="553" t="s">
        <v>486</v>
      </c>
      <c r="H3127" s="553">
        <v>1318.84</v>
      </c>
      <c r="I3127" s="553">
        <v>0</v>
      </c>
      <c r="J3127" s="553">
        <v>24</v>
      </c>
      <c r="K3127" s="553">
        <v>26</v>
      </c>
      <c r="L3127" s="553">
        <v>4</v>
      </c>
      <c r="M3127" s="505" t="s">
        <v>137</v>
      </c>
      <c r="N3127" s="500">
        <v>43013534100000</v>
      </c>
      <c r="O3127" s="553" t="s">
        <v>3717</v>
      </c>
      <c r="P3127" s="650" t="s">
        <v>3855</v>
      </c>
      <c r="Q3127" s="564"/>
      <c r="R3127" s="564">
        <v>2</v>
      </c>
    </row>
    <row r="3128" spans="1:20" x14ac:dyDescent="0.25">
      <c r="A3128" s="553">
        <v>31</v>
      </c>
      <c r="B3128" s="553">
        <v>2</v>
      </c>
      <c r="C3128" s="553">
        <v>2</v>
      </c>
      <c r="D3128" s="553">
        <v>1</v>
      </c>
      <c r="E3128" s="553">
        <v>2</v>
      </c>
      <c r="F3128" s="553">
        <v>2</v>
      </c>
      <c r="G3128" s="502" t="s">
        <v>488</v>
      </c>
      <c r="H3128" s="553">
        <v>1318.84</v>
      </c>
      <c r="I3128" s="553">
        <v>0</v>
      </c>
      <c r="J3128" s="553">
        <v>24</v>
      </c>
      <c r="K3128" s="553">
        <v>26</v>
      </c>
      <c r="L3128" s="553">
        <v>4</v>
      </c>
      <c r="M3128" s="505" t="s">
        <v>137</v>
      </c>
      <c r="N3128" s="500">
        <v>43013534100000</v>
      </c>
      <c r="O3128" s="553" t="s">
        <v>3717</v>
      </c>
      <c r="P3128" s="650" t="s">
        <v>3856</v>
      </c>
      <c r="Q3128" s="564"/>
      <c r="R3128" s="564">
        <v>2</v>
      </c>
    </row>
    <row r="3129" spans="1:20" x14ac:dyDescent="0.25">
      <c r="A3129" s="553">
        <v>31</v>
      </c>
      <c r="B3129" s="553">
        <v>2</v>
      </c>
      <c r="C3129" s="553">
        <v>2</v>
      </c>
      <c r="D3129" s="553">
        <v>1</v>
      </c>
      <c r="E3129" s="553">
        <v>2</v>
      </c>
      <c r="F3129" s="553">
        <v>2</v>
      </c>
      <c r="G3129" s="553" t="s">
        <v>490</v>
      </c>
      <c r="H3129" s="553">
        <v>1318.84</v>
      </c>
      <c r="I3129" s="553">
        <v>0</v>
      </c>
      <c r="J3129" s="553">
        <v>24</v>
      </c>
      <c r="K3129" s="553">
        <v>26</v>
      </c>
      <c r="L3129" s="553">
        <v>4</v>
      </c>
      <c r="M3129" s="505" t="s">
        <v>137</v>
      </c>
      <c r="N3129" s="500">
        <v>43013534100000</v>
      </c>
      <c r="O3129" s="553" t="s">
        <v>3717</v>
      </c>
      <c r="P3129" s="650" t="s">
        <v>3857</v>
      </c>
      <c r="Q3129" s="564"/>
      <c r="R3129" s="564">
        <v>2</v>
      </c>
    </row>
    <row r="3130" spans="1:20" x14ac:dyDescent="0.25">
      <c r="A3130" s="553">
        <v>31</v>
      </c>
      <c r="B3130" s="553">
        <v>2</v>
      </c>
      <c r="C3130" s="553">
        <v>2</v>
      </c>
      <c r="D3130" s="553">
        <v>1</v>
      </c>
      <c r="E3130" s="553">
        <v>2</v>
      </c>
      <c r="F3130" s="553">
        <v>2</v>
      </c>
      <c r="G3130" s="553" t="s">
        <v>493</v>
      </c>
      <c r="H3130" s="553">
        <v>1318.84</v>
      </c>
      <c r="I3130" s="553">
        <v>0</v>
      </c>
      <c r="J3130" s="553">
        <v>24</v>
      </c>
      <c r="K3130" s="553">
        <v>26</v>
      </c>
      <c r="L3130" s="553">
        <v>4</v>
      </c>
      <c r="M3130" s="505" t="s">
        <v>137</v>
      </c>
      <c r="N3130" s="500">
        <v>43013534100000</v>
      </c>
      <c r="O3130" s="553" t="s">
        <v>3717</v>
      </c>
      <c r="P3130" s="650" t="s">
        <v>3858</v>
      </c>
      <c r="Q3130" s="564"/>
      <c r="R3130" s="564">
        <v>2</v>
      </c>
    </row>
    <row r="3131" spans="1:20" x14ac:dyDescent="0.25">
      <c r="A3131" s="553">
        <v>31</v>
      </c>
      <c r="B3131" s="553">
        <v>2</v>
      </c>
      <c r="C3131" s="553">
        <v>2</v>
      </c>
      <c r="D3131" s="553">
        <v>1</v>
      </c>
      <c r="E3131" s="553">
        <v>2</v>
      </c>
      <c r="F3131" s="553">
        <v>2</v>
      </c>
      <c r="G3131" s="553" t="s">
        <v>474</v>
      </c>
      <c r="H3131" s="553">
        <v>1323.27</v>
      </c>
      <c r="I3131" s="553">
        <v>89</v>
      </c>
      <c r="J3131" s="553">
        <v>54</v>
      </c>
      <c r="K3131" s="553">
        <v>35</v>
      </c>
      <c r="L3131" s="553">
        <v>3</v>
      </c>
      <c r="M3131" s="505" t="s">
        <v>137</v>
      </c>
      <c r="N3131" s="500">
        <v>43013534100000</v>
      </c>
      <c r="O3131" s="553" t="s">
        <v>3717</v>
      </c>
      <c r="P3131" s="650" t="s">
        <v>3859</v>
      </c>
      <c r="Q3131" s="564"/>
      <c r="R3131" s="564">
        <v>2</v>
      </c>
    </row>
    <row r="3132" spans="1:20" x14ac:dyDescent="0.25">
      <c r="A3132" s="553">
        <v>31</v>
      </c>
      <c r="B3132" s="553">
        <v>2</v>
      </c>
      <c r="C3132" s="553">
        <v>2</v>
      </c>
      <c r="D3132" s="553">
        <v>1</v>
      </c>
      <c r="E3132" s="553">
        <v>2</v>
      </c>
      <c r="F3132" s="553">
        <v>2</v>
      </c>
      <c r="G3132" s="502" t="s">
        <v>477</v>
      </c>
      <c r="H3132" s="553">
        <v>1319.36</v>
      </c>
      <c r="I3132" s="553">
        <v>89</v>
      </c>
      <c r="J3132" s="553">
        <v>54</v>
      </c>
      <c r="K3132" s="553">
        <v>6</v>
      </c>
      <c r="L3132" s="553">
        <v>3</v>
      </c>
      <c r="M3132" s="505" t="s">
        <v>137</v>
      </c>
      <c r="N3132" s="500">
        <v>43013534100000</v>
      </c>
      <c r="O3132" s="553" t="s">
        <v>3717</v>
      </c>
      <c r="P3132" s="650" t="s">
        <v>3860</v>
      </c>
      <c r="Q3132" s="564"/>
      <c r="R3132" s="564">
        <v>2</v>
      </c>
    </row>
    <row r="3133" spans="1:20" x14ac:dyDescent="0.25">
      <c r="A3133" s="553">
        <v>31</v>
      </c>
      <c r="B3133" s="553">
        <v>2</v>
      </c>
      <c r="C3133" s="553">
        <v>2</v>
      </c>
      <c r="D3133" s="553">
        <v>1</v>
      </c>
      <c r="E3133" s="553">
        <v>2</v>
      </c>
      <c r="F3133" s="553">
        <v>2</v>
      </c>
      <c r="G3133" s="553" t="s">
        <v>479</v>
      </c>
      <c r="H3133" s="553">
        <v>1321.94</v>
      </c>
      <c r="I3133" s="553">
        <v>89</v>
      </c>
      <c r="J3133" s="553">
        <v>54</v>
      </c>
      <c r="K3133" s="553">
        <v>3</v>
      </c>
      <c r="L3133" s="553">
        <v>3</v>
      </c>
      <c r="M3133" s="505" t="s">
        <v>137</v>
      </c>
      <c r="N3133" s="500">
        <v>43013534100000</v>
      </c>
      <c r="O3133" s="553" t="s">
        <v>3717</v>
      </c>
      <c r="P3133" s="650" t="s">
        <v>3861</v>
      </c>
      <c r="Q3133" s="564"/>
      <c r="R3133" s="564">
        <v>2</v>
      </c>
    </row>
    <row r="3134" spans="1:20" x14ac:dyDescent="0.25">
      <c r="A3134" s="553">
        <v>31</v>
      </c>
      <c r="B3134" s="553">
        <v>2</v>
      </c>
      <c r="C3134" s="553">
        <v>2</v>
      </c>
      <c r="D3134" s="553">
        <v>1</v>
      </c>
      <c r="E3134" s="553">
        <v>2</v>
      </c>
      <c r="F3134" s="553">
        <v>2</v>
      </c>
      <c r="G3134" s="553" t="s">
        <v>485</v>
      </c>
      <c r="H3134" s="553">
        <v>1321.94</v>
      </c>
      <c r="I3134" s="553">
        <v>89</v>
      </c>
      <c r="J3134" s="553">
        <v>54</v>
      </c>
      <c r="K3134" s="553">
        <v>3</v>
      </c>
      <c r="L3134" s="553">
        <v>3</v>
      </c>
      <c r="M3134" s="505" t="s">
        <v>137</v>
      </c>
      <c r="N3134" s="500">
        <v>43013534100000</v>
      </c>
      <c r="O3134" s="553" t="s">
        <v>3717</v>
      </c>
      <c r="P3134" s="650" t="s">
        <v>3862</v>
      </c>
      <c r="Q3134" s="564"/>
      <c r="R3134" s="564">
        <v>2</v>
      </c>
    </row>
    <row r="3135" spans="1:20" x14ac:dyDescent="0.25">
      <c r="A3135" s="553">
        <v>31</v>
      </c>
      <c r="B3135" s="553">
        <v>2</v>
      </c>
      <c r="C3135" s="553">
        <v>2</v>
      </c>
      <c r="D3135" s="553">
        <v>1</v>
      </c>
      <c r="E3135" s="553">
        <v>2</v>
      </c>
      <c r="F3135" s="553">
        <v>2</v>
      </c>
      <c r="G3135" s="553" t="s">
        <v>487</v>
      </c>
      <c r="H3135" s="553">
        <v>1330.66</v>
      </c>
      <c r="I3135" s="553">
        <v>89</v>
      </c>
      <c r="J3135" s="553">
        <v>58</v>
      </c>
      <c r="K3135" s="553">
        <v>1</v>
      </c>
      <c r="L3135" s="553">
        <v>4</v>
      </c>
      <c r="M3135" s="505" t="s">
        <v>137</v>
      </c>
      <c r="N3135" s="500">
        <v>43013534100000</v>
      </c>
      <c r="O3135" s="553" t="s">
        <v>3717</v>
      </c>
      <c r="P3135" s="650" t="s">
        <v>3863</v>
      </c>
      <c r="Q3135" s="564"/>
      <c r="R3135" s="564">
        <v>2</v>
      </c>
    </row>
    <row r="3136" spans="1:20" x14ac:dyDescent="0.25">
      <c r="A3136" s="553">
        <v>31</v>
      </c>
      <c r="B3136" s="553">
        <v>2</v>
      </c>
      <c r="C3136" s="553">
        <v>2</v>
      </c>
      <c r="D3136" s="553">
        <v>1</v>
      </c>
      <c r="E3136" s="553">
        <v>2</v>
      </c>
      <c r="F3136" s="553">
        <v>2</v>
      </c>
      <c r="G3136" s="502" t="s">
        <v>489</v>
      </c>
      <c r="H3136" s="553">
        <v>1330.66</v>
      </c>
      <c r="I3136" s="553">
        <v>89</v>
      </c>
      <c r="J3136" s="553">
        <v>58</v>
      </c>
      <c r="K3136" s="553">
        <v>1</v>
      </c>
      <c r="L3136" s="553">
        <v>4</v>
      </c>
      <c r="M3136" s="505" t="s">
        <v>137</v>
      </c>
      <c r="N3136" s="500">
        <v>43013534100000</v>
      </c>
      <c r="O3136" s="553" t="s">
        <v>3717</v>
      </c>
      <c r="P3136" s="650" t="s">
        <v>3864</v>
      </c>
      <c r="Q3136" s="564"/>
      <c r="R3136" s="564">
        <v>2</v>
      </c>
    </row>
    <row r="3137" spans="1:20" x14ac:dyDescent="0.25">
      <c r="A3137" s="553">
        <v>31</v>
      </c>
      <c r="B3137" s="553">
        <v>2</v>
      </c>
      <c r="C3137" s="553">
        <v>2</v>
      </c>
      <c r="D3137" s="553">
        <v>1</v>
      </c>
      <c r="E3137" s="553">
        <v>2</v>
      </c>
      <c r="F3137" s="553">
        <v>2</v>
      </c>
      <c r="G3137" s="553" t="s">
        <v>491</v>
      </c>
      <c r="H3137" s="553">
        <v>1323.86</v>
      </c>
      <c r="I3137" s="553">
        <v>89</v>
      </c>
      <c r="J3137" s="553">
        <v>40</v>
      </c>
      <c r="K3137" s="553">
        <v>59</v>
      </c>
      <c r="L3137" s="553">
        <v>3</v>
      </c>
      <c r="M3137" s="505" t="s">
        <v>137</v>
      </c>
      <c r="N3137" s="500">
        <v>43013534100000</v>
      </c>
      <c r="O3137" s="553" t="s">
        <v>3717</v>
      </c>
      <c r="P3137" s="650" t="s">
        <v>3865</v>
      </c>
      <c r="Q3137" s="564"/>
      <c r="R3137" s="564">
        <v>2</v>
      </c>
    </row>
    <row r="3138" spans="1:20" x14ac:dyDescent="0.25">
      <c r="A3138" s="553">
        <v>31</v>
      </c>
      <c r="B3138" s="553">
        <v>2</v>
      </c>
      <c r="C3138" s="553">
        <v>2</v>
      </c>
      <c r="D3138" s="553">
        <v>1</v>
      </c>
      <c r="E3138" s="553">
        <v>2</v>
      </c>
      <c r="F3138" s="553">
        <v>2</v>
      </c>
      <c r="G3138" s="553" t="s">
        <v>494</v>
      </c>
      <c r="H3138" s="553">
        <v>1323.86</v>
      </c>
      <c r="I3138" s="553">
        <v>89</v>
      </c>
      <c r="J3138" s="553">
        <v>40</v>
      </c>
      <c r="K3138" s="553">
        <v>59</v>
      </c>
      <c r="L3138" s="553">
        <v>3</v>
      </c>
      <c r="M3138" s="505" t="s">
        <v>137</v>
      </c>
      <c r="N3138" s="500">
        <v>43013534100000</v>
      </c>
      <c r="O3138" s="553" t="s">
        <v>3717</v>
      </c>
      <c r="P3138" s="650" t="s">
        <v>3866</v>
      </c>
      <c r="Q3138" s="564"/>
      <c r="R3138" s="564">
        <v>2</v>
      </c>
    </row>
    <row r="3139" spans="1:20" x14ac:dyDescent="0.25">
      <c r="A3139" s="553">
        <v>31</v>
      </c>
      <c r="B3139" s="553">
        <v>3</v>
      </c>
      <c r="C3139" s="553">
        <v>2</v>
      </c>
      <c r="D3139" s="553">
        <v>1</v>
      </c>
      <c r="E3139" s="553">
        <v>1</v>
      </c>
      <c r="F3139" s="553">
        <v>2</v>
      </c>
      <c r="G3139" s="553" t="s">
        <v>473</v>
      </c>
      <c r="H3139" s="553">
        <v>1328.2339999999999</v>
      </c>
      <c r="I3139" s="553">
        <v>0</v>
      </c>
      <c r="J3139" s="553">
        <v>44</v>
      </c>
      <c r="K3139" s="553">
        <v>24</v>
      </c>
      <c r="L3139" s="553">
        <v>4</v>
      </c>
      <c r="M3139" s="505" t="s">
        <v>137</v>
      </c>
      <c r="N3139" s="500">
        <v>43047560280000</v>
      </c>
      <c r="O3139" s="553" t="s">
        <v>3751</v>
      </c>
      <c r="P3139" s="650" t="s">
        <v>3867</v>
      </c>
      <c r="Q3139" s="564"/>
      <c r="R3139" s="564">
        <v>1</v>
      </c>
      <c r="S3139" s="484"/>
      <c r="T3139" s="484"/>
    </row>
    <row r="3140" spans="1:20" x14ac:dyDescent="0.25">
      <c r="A3140" s="553">
        <v>31</v>
      </c>
      <c r="B3140" s="553">
        <v>3</v>
      </c>
      <c r="C3140" s="553">
        <v>2</v>
      </c>
      <c r="D3140" s="553">
        <v>1</v>
      </c>
      <c r="E3140" s="553">
        <v>1</v>
      </c>
      <c r="F3140" s="553">
        <v>2</v>
      </c>
      <c r="G3140" s="502" t="s">
        <v>476</v>
      </c>
      <c r="H3140" s="553">
        <v>1323.15</v>
      </c>
      <c r="I3140" s="553">
        <v>1</v>
      </c>
      <c r="J3140" s="553">
        <v>0</v>
      </c>
      <c r="K3140" s="553">
        <v>2</v>
      </c>
      <c r="L3140" s="553">
        <v>4</v>
      </c>
      <c r="M3140" s="505" t="s">
        <v>137</v>
      </c>
      <c r="N3140" s="500">
        <v>43047560280000</v>
      </c>
      <c r="O3140" s="553" t="s">
        <v>3751</v>
      </c>
      <c r="P3140" s="650" t="s">
        <v>3868</v>
      </c>
      <c r="Q3140" s="564"/>
      <c r="R3140" s="564">
        <v>1</v>
      </c>
      <c r="S3140" s="484"/>
      <c r="T3140" s="484"/>
    </row>
    <row r="3141" spans="1:20" x14ac:dyDescent="0.25">
      <c r="A3141" s="553">
        <v>31</v>
      </c>
      <c r="B3141" s="553">
        <v>3</v>
      </c>
      <c r="C3141" s="553">
        <v>2</v>
      </c>
      <c r="D3141" s="553">
        <v>1</v>
      </c>
      <c r="E3141" s="553">
        <v>1</v>
      </c>
      <c r="F3141" s="553">
        <v>2</v>
      </c>
      <c r="G3141" s="553" t="s">
        <v>478</v>
      </c>
      <c r="H3141" s="553">
        <v>1349.74</v>
      </c>
      <c r="I3141" s="553">
        <v>1</v>
      </c>
      <c r="J3141" s="553">
        <v>3</v>
      </c>
      <c r="K3141" s="553">
        <v>2</v>
      </c>
      <c r="L3141" s="553">
        <v>4</v>
      </c>
      <c r="M3141" s="505" t="s">
        <v>137</v>
      </c>
      <c r="N3141" s="500">
        <v>43047560280000</v>
      </c>
      <c r="O3141" s="553" t="s">
        <v>3751</v>
      </c>
      <c r="P3141" s="650" t="s">
        <v>3869</v>
      </c>
      <c r="Q3141" s="564"/>
      <c r="R3141" s="564">
        <v>1</v>
      </c>
      <c r="S3141" s="484"/>
      <c r="T3141" s="484"/>
    </row>
    <row r="3142" spans="1:20" x14ac:dyDescent="0.25">
      <c r="A3142" s="553">
        <v>31</v>
      </c>
      <c r="B3142" s="553">
        <v>3</v>
      </c>
      <c r="C3142" s="553">
        <v>2</v>
      </c>
      <c r="D3142" s="553">
        <v>1</v>
      </c>
      <c r="E3142" s="553">
        <v>1</v>
      </c>
      <c r="F3142" s="553">
        <v>2</v>
      </c>
      <c r="G3142" s="553" t="s">
        <v>484</v>
      </c>
      <c r="H3142" s="553">
        <v>1349.74</v>
      </c>
      <c r="I3142" s="553">
        <v>1</v>
      </c>
      <c r="J3142" s="553">
        <v>3</v>
      </c>
      <c r="K3142" s="553">
        <v>2</v>
      </c>
      <c r="L3142" s="553">
        <v>4</v>
      </c>
      <c r="M3142" s="505" t="s">
        <v>137</v>
      </c>
      <c r="N3142" s="500">
        <v>43047560280000</v>
      </c>
      <c r="O3142" s="553" t="s">
        <v>3751</v>
      </c>
      <c r="P3142" s="650" t="s">
        <v>3870</v>
      </c>
      <c r="Q3142" s="564"/>
      <c r="R3142" s="564">
        <v>1</v>
      </c>
      <c r="S3142" s="484"/>
      <c r="T3142" s="484"/>
    </row>
    <row r="3143" spans="1:20" x14ac:dyDescent="0.25">
      <c r="A3143" s="553">
        <v>31</v>
      </c>
      <c r="B3143" s="553">
        <v>3</v>
      </c>
      <c r="C3143" s="553">
        <v>2</v>
      </c>
      <c r="D3143" s="553">
        <v>1</v>
      </c>
      <c r="E3143" s="553">
        <v>1</v>
      </c>
      <c r="F3143" s="553">
        <v>2</v>
      </c>
      <c r="G3143" s="553" t="s">
        <v>486</v>
      </c>
      <c r="H3143" s="553">
        <v>1317.635</v>
      </c>
      <c r="I3143" s="553">
        <v>1</v>
      </c>
      <c r="J3143" s="553">
        <v>10</v>
      </c>
      <c r="K3143" s="553">
        <v>39</v>
      </c>
      <c r="L3143" s="553">
        <v>4</v>
      </c>
      <c r="M3143" s="505" t="s">
        <v>137</v>
      </c>
      <c r="N3143" s="500">
        <v>43047560280000</v>
      </c>
      <c r="O3143" s="553" t="s">
        <v>3751</v>
      </c>
      <c r="P3143" s="650" t="s">
        <v>3871</v>
      </c>
      <c r="Q3143" s="564"/>
      <c r="R3143" s="564">
        <v>1</v>
      </c>
      <c r="S3143" s="484"/>
      <c r="T3143" s="484"/>
    </row>
    <row r="3144" spans="1:20" x14ac:dyDescent="0.25">
      <c r="A3144" s="553">
        <v>31</v>
      </c>
      <c r="B3144" s="553">
        <v>3</v>
      </c>
      <c r="C3144" s="553">
        <v>2</v>
      </c>
      <c r="D3144" s="553">
        <v>1</v>
      </c>
      <c r="E3144" s="553">
        <v>1</v>
      </c>
      <c r="F3144" s="553">
        <v>2</v>
      </c>
      <c r="G3144" s="502" t="s">
        <v>488</v>
      </c>
      <c r="H3144" s="553">
        <v>1317.635</v>
      </c>
      <c r="I3144" s="553">
        <v>1</v>
      </c>
      <c r="J3144" s="553">
        <v>10</v>
      </c>
      <c r="K3144" s="553">
        <v>39</v>
      </c>
      <c r="L3144" s="553">
        <v>4</v>
      </c>
      <c r="M3144" s="505" t="s">
        <v>137</v>
      </c>
      <c r="N3144" s="500">
        <v>43047560280000</v>
      </c>
      <c r="O3144" s="553" t="s">
        <v>3751</v>
      </c>
      <c r="P3144" s="650" t="s">
        <v>3872</v>
      </c>
      <c r="Q3144" s="564"/>
      <c r="R3144" s="564">
        <v>1</v>
      </c>
      <c r="S3144" s="484"/>
      <c r="T3144" s="484"/>
    </row>
    <row r="3145" spans="1:20" x14ac:dyDescent="0.25">
      <c r="A3145" s="553">
        <v>31</v>
      </c>
      <c r="B3145" s="553">
        <v>3</v>
      </c>
      <c r="C3145" s="553">
        <v>2</v>
      </c>
      <c r="D3145" s="553">
        <v>1</v>
      </c>
      <c r="E3145" s="553">
        <v>1</v>
      </c>
      <c r="F3145" s="553">
        <v>2</v>
      </c>
      <c r="G3145" s="553" t="s">
        <v>490</v>
      </c>
      <c r="H3145" s="553">
        <v>1334.8</v>
      </c>
      <c r="I3145" s="553">
        <v>0</v>
      </c>
      <c r="J3145" s="553">
        <v>54</v>
      </c>
      <c r="K3145" s="553">
        <v>14</v>
      </c>
      <c r="L3145" s="553">
        <v>4</v>
      </c>
      <c r="M3145" s="505" t="s">
        <v>137</v>
      </c>
      <c r="N3145" s="500">
        <v>43047560280000</v>
      </c>
      <c r="O3145" s="553" t="s">
        <v>3751</v>
      </c>
      <c r="P3145" s="650" t="s">
        <v>3873</v>
      </c>
      <c r="Q3145" s="564"/>
      <c r="R3145" s="564">
        <v>1</v>
      </c>
      <c r="S3145" s="484"/>
      <c r="T3145" s="484"/>
    </row>
    <row r="3146" spans="1:20" x14ac:dyDescent="0.25">
      <c r="A3146" s="553">
        <v>31</v>
      </c>
      <c r="B3146" s="553">
        <v>3</v>
      </c>
      <c r="C3146" s="553">
        <v>2</v>
      </c>
      <c r="D3146" s="553">
        <v>1</v>
      </c>
      <c r="E3146" s="553">
        <v>1</v>
      </c>
      <c r="F3146" s="553">
        <v>2</v>
      </c>
      <c r="G3146" s="553" t="s">
        <v>493</v>
      </c>
      <c r="H3146" s="553">
        <v>1335.03</v>
      </c>
      <c r="I3146" s="553">
        <v>0</v>
      </c>
      <c r="J3146" s="553">
        <v>54</v>
      </c>
      <c r="K3146" s="553">
        <v>27</v>
      </c>
      <c r="L3146" s="553">
        <v>4</v>
      </c>
      <c r="M3146" s="505" t="s">
        <v>137</v>
      </c>
      <c r="N3146" s="500">
        <v>43047560280000</v>
      </c>
      <c r="O3146" s="553" t="s">
        <v>3751</v>
      </c>
      <c r="P3146" s="650" t="s">
        <v>3874</v>
      </c>
      <c r="Q3146" s="564"/>
      <c r="R3146" s="564">
        <v>1</v>
      </c>
      <c r="S3146" s="484"/>
      <c r="T3146" s="484"/>
    </row>
    <row r="3147" spans="1:20" x14ac:dyDescent="0.25">
      <c r="A3147" s="553">
        <v>31</v>
      </c>
      <c r="B3147" s="553">
        <v>3</v>
      </c>
      <c r="C3147" s="553">
        <v>2</v>
      </c>
      <c r="D3147" s="553">
        <v>1</v>
      </c>
      <c r="E3147" s="553">
        <v>1</v>
      </c>
      <c r="F3147" s="553">
        <v>2</v>
      </c>
      <c r="G3147" s="553" t="s">
        <v>474</v>
      </c>
      <c r="H3147" s="553">
        <v>1319.71</v>
      </c>
      <c r="I3147" s="553">
        <v>89</v>
      </c>
      <c r="J3147" s="553">
        <v>20</v>
      </c>
      <c r="K3147" s="553">
        <v>28</v>
      </c>
      <c r="L3147" s="553">
        <v>3</v>
      </c>
      <c r="M3147" s="505" t="s">
        <v>137</v>
      </c>
      <c r="N3147" s="500">
        <v>43047560280000</v>
      </c>
      <c r="O3147" s="553" t="s">
        <v>3751</v>
      </c>
      <c r="P3147" s="650" t="s">
        <v>3875</v>
      </c>
      <c r="Q3147" s="564"/>
      <c r="R3147" s="564">
        <v>1</v>
      </c>
      <c r="S3147" s="484"/>
      <c r="T3147" s="484"/>
    </row>
    <row r="3148" spans="1:20" x14ac:dyDescent="0.25">
      <c r="A3148" s="553">
        <v>31</v>
      </c>
      <c r="B3148" s="553">
        <v>3</v>
      </c>
      <c r="C3148" s="553">
        <v>2</v>
      </c>
      <c r="D3148" s="553">
        <v>1</v>
      </c>
      <c r="E3148" s="553">
        <v>1</v>
      </c>
      <c r="F3148" s="553">
        <v>2</v>
      </c>
      <c r="G3148" s="502" t="s">
        <v>477</v>
      </c>
      <c r="H3148" s="553">
        <v>1319.75</v>
      </c>
      <c r="I3148" s="553">
        <v>89</v>
      </c>
      <c r="J3148" s="553">
        <v>30</v>
      </c>
      <c r="K3148" s="553">
        <v>51</v>
      </c>
      <c r="L3148" s="553">
        <v>3</v>
      </c>
      <c r="M3148" s="505" t="s">
        <v>137</v>
      </c>
      <c r="N3148" s="500">
        <v>43047560280000</v>
      </c>
      <c r="O3148" s="553" t="s">
        <v>3751</v>
      </c>
      <c r="P3148" s="650" t="s">
        <v>3876</v>
      </c>
      <c r="Q3148" s="564"/>
      <c r="R3148" s="564">
        <v>1</v>
      </c>
      <c r="S3148" s="484"/>
      <c r="T3148" s="484"/>
    </row>
    <row r="3149" spans="1:20" x14ac:dyDescent="0.25">
      <c r="A3149" s="553">
        <v>31</v>
      </c>
      <c r="B3149" s="553">
        <v>3</v>
      </c>
      <c r="C3149" s="553">
        <v>2</v>
      </c>
      <c r="D3149" s="553">
        <v>1</v>
      </c>
      <c r="E3149" s="553">
        <v>1</v>
      </c>
      <c r="F3149" s="553">
        <v>2</v>
      </c>
      <c r="G3149" s="553" t="s">
        <v>479</v>
      </c>
      <c r="H3149" s="553">
        <v>1318.81</v>
      </c>
      <c r="I3149" s="553">
        <v>89</v>
      </c>
      <c r="J3149" s="553">
        <v>4</v>
      </c>
      <c r="K3149" s="553">
        <v>40</v>
      </c>
      <c r="L3149" s="553">
        <v>3</v>
      </c>
      <c r="M3149" s="505" t="s">
        <v>137</v>
      </c>
      <c r="N3149" s="500">
        <v>43047560280000</v>
      </c>
      <c r="O3149" s="553" t="s">
        <v>3751</v>
      </c>
      <c r="P3149" s="650" t="s">
        <v>3877</v>
      </c>
      <c r="Q3149" s="564"/>
      <c r="R3149" s="564">
        <v>1</v>
      </c>
      <c r="S3149" s="484"/>
      <c r="T3149" s="484"/>
    </row>
    <row r="3150" spans="1:20" x14ac:dyDescent="0.25">
      <c r="A3150" s="553">
        <v>31</v>
      </c>
      <c r="B3150" s="553">
        <v>3</v>
      </c>
      <c r="C3150" s="553">
        <v>2</v>
      </c>
      <c r="D3150" s="553">
        <v>1</v>
      </c>
      <c r="E3150" s="553">
        <v>1</v>
      </c>
      <c r="F3150" s="553">
        <v>2</v>
      </c>
      <c r="G3150" s="553" t="s">
        <v>485</v>
      </c>
      <c r="H3150" s="553">
        <v>1318.81</v>
      </c>
      <c r="I3150" s="553">
        <v>89</v>
      </c>
      <c r="J3150" s="553">
        <v>4</v>
      </c>
      <c r="K3150" s="553">
        <v>40</v>
      </c>
      <c r="L3150" s="553">
        <v>3</v>
      </c>
      <c r="M3150" s="505" t="s">
        <v>137</v>
      </c>
      <c r="N3150" s="500">
        <v>43047560280000</v>
      </c>
      <c r="O3150" s="553" t="s">
        <v>3751</v>
      </c>
      <c r="P3150" s="650" t="s">
        <v>3878</v>
      </c>
      <c r="Q3150" s="564"/>
      <c r="R3150" s="564">
        <v>1</v>
      </c>
      <c r="S3150" s="484"/>
      <c r="T3150" s="484"/>
    </row>
    <row r="3151" spans="1:20" x14ac:dyDescent="0.25">
      <c r="A3151" s="553">
        <v>31</v>
      </c>
      <c r="B3151" s="553">
        <v>3</v>
      </c>
      <c r="C3151" s="553">
        <v>2</v>
      </c>
      <c r="D3151" s="553">
        <v>1</v>
      </c>
      <c r="E3151" s="553">
        <v>1</v>
      </c>
      <c r="F3151" s="553">
        <v>2</v>
      </c>
      <c r="G3151" s="553" t="s">
        <v>487</v>
      </c>
      <c r="H3151" s="553">
        <v>1321.18</v>
      </c>
      <c r="I3151" s="553">
        <v>88</v>
      </c>
      <c r="J3151" s="553">
        <v>53</v>
      </c>
      <c r="K3151" s="553">
        <v>58</v>
      </c>
      <c r="L3151" s="553">
        <v>3</v>
      </c>
      <c r="M3151" s="505" t="s">
        <v>137</v>
      </c>
      <c r="N3151" s="500">
        <v>43047560280000</v>
      </c>
      <c r="O3151" s="553" t="s">
        <v>3751</v>
      </c>
      <c r="P3151" s="650" t="s">
        <v>3879</v>
      </c>
      <c r="Q3151" s="564"/>
      <c r="R3151" s="564">
        <v>1</v>
      </c>
      <c r="S3151" s="484"/>
      <c r="T3151" s="484"/>
    </row>
    <row r="3152" spans="1:20" x14ac:dyDescent="0.25">
      <c r="A3152" s="553">
        <v>31</v>
      </c>
      <c r="B3152" s="553">
        <v>3</v>
      </c>
      <c r="C3152" s="553">
        <v>2</v>
      </c>
      <c r="D3152" s="553">
        <v>1</v>
      </c>
      <c r="E3152" s="553">
        <v>1</v>
      </c>
      <c r="F3152" s="553">
        <v>2</v>
      </c>
      <c r="G3152" s="502" t="s">
        <v>489</v>
      </c>
      <c r="H3152" s="553">
        <v>1321.18</v>
      </c>
      <c r="I3152" s="553">
        <v>88</v>
      </c>
      <c r="J3152" s="553">
        <v>53</v>
      </c>
      <c r="K3152" s="553">
        <v>58</v>
      </c>
      <c r="L3152" s="553">
        <v>3</v>
      </c>
      <c r="M3152" s="505" t="s">
        <v>137</v>
      </c>
      <c r="N3152" s="500">
        <v>43047560280000</v>
      </c>
      <c r="O3152" s="553" t="s">
        <v>3751</v>
      </c>
      <c r="P3152" s="650" t="s">
        <v>3880</v>
      </c>
      <c r="Q3152" s="564"/>
      <c r="R3152" s="564">
        <v>1</v>
      </c>
      <c r="S3152" s="484"/>
      <c r="T3152" s="484"/>
    </row>
    <row r="3153" spans="1:20" x14ac:dyDescent="0.25">
      <c r="A3153" s="553">
        <v>31</v>
      </c>
      <c r="B3153" s="553">
        <v>3</v>
      </c>
      <c r="C3153" s="553">
        <v>2</v>
      </c>
      <c r="D3153" s="553">
        <v>1</v>
      </c>
      <c r="E3153" s="553">
        <v>1</v>
      </c>
      <c r="F3153" s="553">
        <v>2</v>
      </c>
      <c r="G3153" s="553" t="s">
        <v>491</v>
      </c>
      <c r="H3153" s="553">
        <v>1321.0350000000001</v>
      </c>
      <c r="I3153" s="553">
        <v>88</v>
      </c>
      <c r="J3153" s="553">
        <v>41</v>
      </c>
      <c r="K3153" s="553">
        <v>46</v>
      </c>
      <c r="L3153" s="553">
        <v>3</v>
      </c>
      <c r="M3153" s="505" t="s">
        <v>137</v>
      </c>
      <c r="N3153" s="500">
        <v>43047560280000</v>
      </c>
      <c r="O3153" s="553" t="s">
        <v>3751</v>
      </c>
      <c r="P3153" s="650" t="s">
        <v>3881</v>
      </c>
      <c r="Q3153" s="564"/>
      <c r="R3153" s="564">
        <v>1</v>
      </c>
      <c r="S3153" s="484"/>
      <c r="T3153" s="484"/>
    </row>
    <row r="3154" spans="1:20" x14ac:dyDescent="0.25">
      <c r="A3154" s="553">
        <v>31</v>
      </c>
      <c r="B3154" s="553">
        <v>3</v>
      </c>
      <c r="C3154" s="553">
        <v>2</v>
      </c>
      <c r="D3154" s="553">
        <v>1</v>
      </c>
      <c r="E3154" s="553">
        <v>1</v>
      </c>
      <c r="F3154" s="553">
        <v>2</v>
      </c>
      <c r="G3154" s="553" t="s">
        <v>494</v>
      </c>
      <c r="H3154" s="553">
        <v>1321.0350000000001</v>
      </c>
      <c r="I3154" s="553">
        <v>88</v>
      </c>
      <c r="J3154" s="553">
        <v>41</v>
      </c>
      <c r="K3154" s="553">
        <v>46</v>
      </c>
      <c r="L3154" s="553">
        <v>3</v>
      </c>
      <c r="M3154" s="505" t="s">
        <v>137</v>
      </c>
      <c r="N3154" s="500">
        <v>43047560280000</v>
      </c>
      <c r="O3154" s="553" t="s">
        <v>3751</v>
      </c>
      <c r="P3154" s="650" t="s">
        <v>3882</v>
      </c>
      <c r="Q3154" s="564"/>
      <c r="R3154" s="564">
        <v>1</v>
      </c>
      <c r="S3154" s="484"/>
      <c r="T3154" s="484"/>
    </row>
    <row r="3155" spans="1:20" x14ac:dyDescent="0.25">
      <c r="A3155" s="564">
        <v>31</v>
      </c>
      <c r="B3155" s="564">
        <v>3</v>
      </c>
      <c r="C3155" s="564">
        <v>2</v>
      </c>
      <c r="D3155" s="564">
        <v>4</v>
      </c>
      <c r="E3155" s="564">
        <v>2</v>
      </c>
      <c r="F3155" s="564">
        <v>2</v>
      </c>
      <c r="G3155" s="564" t="s">
        <v>473</v>
      </c>
      <c r="H3155" s="564">
        <v>1321.9549999999999</v>
      </c>
      <c r="I3155" s="564">
        <v>0</v>
      </c>
      <c r="J3155" s="564">
        <v>6</v>
      </c>
      <c r="K3155" s="564">
        <v>25</v>
      </c>
      <c r="L3155" s="564">
        <v>2</v>
      </c>
      <c r="M3155" s="561" t="s">
        <v>137</v>
      </c>
      <c r="N3155" s="520"/>
      <c r="O3155" s="564"/>
      <c r="P3155" s="564" t="s">
        <v>3883</v>
      </c>
      <c r="Q3155" s="564"/>
      <c r="R3155" s="564">
        <v>2</v>
      </c>
    </row>
    <row r="3156" spans="1:20" x14ac:dyDescent="0.25">
      <c r="A3156" s="564">
        <v>31</v>
      </c>
      <c r="B3156" s="564">
        <v>3</v>
      </c>
      <c r="C3156" s="564">
        <v>2</v>
      </c>
      <c r="D3156" s="564">
        <v>4</v>
      </c>
      <c r="E3156" s="564">
        <v>2</v>
      </c>
      <c r="F3156" s="564">
        <v>2</v>
      </c>
      <c r="G3156" s="521" t="s">
        <v>476</v>
      </c>
      <c r="H3156" s="564">
        <v>1321.9549999999999</v>
      </c>
      <c r="I3156" s="564">
        <v>0</v>
      </c>
      <c r="J3156" s="564">
        <v>6</v>
      </c>
      <c r="K3156" s="564">
        <v>25</v>
      </c>
      <c r="L3156" s="564">
        <v>2</v>
      </c>
      <c r="M3156" s="561" t="s">
        <v>137</v>
      </c>
      <c r="N3156" s="520"/>
      <c r="O3156" s="564"/>
      <c r="P3156" s="564" t="s">
        <v>3884</v>
      </c>
      <c r="Q3156" s="564"/>
      <c r="R3156" s="564">
        <v>2</v>
      </c>
    </row>
    <row r="3157" spans="1:20" x14ac:dyDescent="0.25">
      <c r="A3157" s="564">
        <v>31</v>
      </c>
      <c r="B3157" s="564">
        <v>3</v>
      </c>
      <c r="C3157" s="564">
        <v>2</v>
      </c>
      <c r="D3157" s="564">
        <v>4</v>
      </c>
      <c r="E3157" s="564">
        <v>2</v>
      </c>
      <c r="F3157" s="564">
        <v>2</v>
      </c>
      <c r="G3157" s="564" t="s">
        <v>478</v>
      </c>
      <c r="H3157" s="564">
        <v>1327.52</v>
      </c>
      <c r="I3157" s="564">
        <v>0</v>
      </c>
      <c r="J3157" s="564">
        <v>6</v>
      </c>
      <c r="K3157" s="564">
        <v>28</v>
      </c>
      <c r="L3157" s="564">
        <v>3</v>
      </c>
      <c r="M3157" s="561" t="s">
        <v>137</v>
      </c>
      <c r="N3157" s="520"/>
      <c r="O3157" s="564"/>
      <c r="P3157" s="564" t="s">
        <v>3885</v>
      </c>
      <c r="Q3157" s="564"/>
      <c r="R3157" s="564">
        <v>2</v>
      </c>
    </row>
    <row r="3158" spans="1:20" x14ac:dyDescent="0.25">
      <c r="A3158" s="564">
        <v>31</v>
      </c>
      <c r="B3158" s="564">
        <v>3</v>
      </c>
      <c r="C3158" s="564">
        <v>2</v>
      </c>
      <c r="D3158" s="564">
        <v>4</v>
      </c>
      <c r="E3158" s="564">
        <v>2</v>
      </c>
      <c r="F3158" s="564">
        <v>2</v>
      </c>
      <c r="G3158" s="564" t="s">
        <v>484</v>
      </c>
      <c r="H3158" s="564">
        <v>1327.52</v>
      </c>
      <c r="I3158" s="564">
        <v>0</v>
      </c>
      <c r="J3158" s="564">
        <v>6</v>
      </c>
      <c r="K3158" s="564">
        <v>28</v>
      </c>
      <c r="L3158" s="564">
        <v>3</v>
      </c>
      <c r="M3158" s="561" t="s">
        <v>137</v>
      </c>
      <c r="N3158" s="520"/>
      <c r="O3158" s="564"/>
      <c r="P3158" s="564" t="s">
        <v>3886</v>
      </c>
      <c r="Q3158" s="564"/>
      <c r="R3158" s="564">
        <v>2</v>
      </c>
    </row>
    <row r="3159" spans="1:20" x14ac:dyDescent="0.25">
      <c r="A3159" s="564">
        <v>31</v>
      </c>
      <c r="B3159" s="564">
        <v>3</v>
      </c>
      <c r="C3159" s="564">
        <v>2</v>
      </c>
      <c r="D3159" s="564">
        <v>4</v>
      </c>
      <c r="E3159" s="564">
        <v>2</v>
      </c>
      <c r="F3159" s="564">
        <v>2</v>
      </c>
      <c r="G3159" s="564" t="s">
        <v>486</v>
      </c>
      <c r="H3159" s="564">
        <v>1321.9549999999999</v>
      </c>
      <c r="I3159" s="564">
        <v>0</v>
      </c>
      <c r="J3159" s="564">
        <v>6</v>
      </c>
      <c r="K3159" s="564">
        <v>25</v>
      </c>
      <c r="L3159" s="564">
        <v>2</v>
      </c>
      <c r="M3159" s="561" t="s">
        <v>137</v>
      </c>
      <c r="N3159" s="520"/>
      <c r="O3159" s="564"/>
      <c r="P3159" s="564" t="s">
        <v>3887</v>
      </c>
      <c r="Q3159" s="564"/>
      <c r="R3159" s="564">
        <v>2</v>
      </c>
    </row>
    <row r="3160" spans="1:20" x14ac:dyDescent="0.25">
      <c r="A3160" s="564">
        <v>31</v>
      </c>
      <c r="B3160" s="564">
        <v>3</v>
      </c>
      <c r="C3160" s="564">
        <v>2</v>
      </c>
      <c r="D3160" s="564">
        <v>4</v>
      </c>
      <c r="E3160" s="564">
        <v>2</v>
      </c>
      <c r="F3160" s="564">
        <v>2</v>
      </c>
      <c r="G3160" s="521" t="s">
        <v>488</v>
      </c>
      <c r="H3160" s="564">
        <v>1321.9549999999999</v>
      </c>
      <c r="I3160" s="564">
        <v>0</v>
      </c>
      <c r="J3160" s="564">
        <v>6</v>
      </c>
      <c r="K3160" s="564">
        <v>25</v>
      </c>
      <c r="L3160" s="564">
        <v>2</v>
      </c>
      <c r="M3160" s="561" t="s">
        <v>137</v>
      </c>
      <c r="N3160" s="520"/>
      <c r="O3160" s="564"/>
      <c r="P3160" s="564" t="s">
        <v>3888</v>
      </c>
      <c r="Q3160" s="564"/>
      <c r="R3160" s="564">
        <v>2</v>
      </c>
    </row>
    <row r="3161" spans="1:20" x14ac:dyDescent="0.25">
      <c r="A3161" s="564">
        <v>31</v>
      </c>
      <c r="B3161" s="564">
        <v>3</v>
      </c>
      <c r="C3161" s="564">
        <v>2</v>
      </c>
      <c r="D3161" s="564">
        <v>4</v>
      </c>
      <c r="E3161" s="564">
        <v>2</v>
      </c>
      <c r="F3161" s="564">
        <v>2</v>
      </c>
      <c r="G3161" s="564" t="s">
        <v>490</v>
      </c>
      <c r="H3161" s="564">
        <v>1327.52</v>
      </c>
      <c r="I3161" s="564">
        <v>0</v>
      </c>
      <c r="J3161" s="564">
        <v>6</v>
      </c>
      <c r="K3161" s="564">
        <v>28</v>
      </c>
      <c r="L3161" s="564">
        <v>3</v>
      </c>
      <c r="M3161" s="561" t="s">
        <v>137</v>
      </c>
      <c r="N3161" s="520"/>
      <c r="O3161" s="564"/>
      <c r="P3161" s="564" t="s">
        <v>3889</v>
      </c>
      <c r="Q3161" s="564"/>
      <c r="R3161" s="564">
        <v>2</v>
      </c>
    </row>
    <row r="3162" spans="1:20" x14ac:dyDescent="0.25">
      <c r="A3162" s="564">
        <v>31</v>
      </c>
      <c r="B3162" s="564">
        <v>3</v>
      </c>
      <c r="C3162" s="564">
        <v>2</v>
      </c>
      <c r="D3162" s="564">
        <v>4</v>
      </c>
      <c r="E3162" s="564">
        <v>2</v>
      </c>
      <c r="F3162" s="564">
        <v>2</v>
      </c>
      <c r="G3162" s="564" t="s">
        <v>493</v>
      </c>
      <c r="H3162" s="564">
        <v>1327.52</v>
      </c>
      <c r="I3162" s="564">
        <v>0</v>
      </c>
      <c r="J3162" s="564">
        <v>6</v>
      </c>
      <c r="K3162" s="564">
        <v>28</v>
      </c>
      <c r="L3162" s="564">
        <v>3</v>
      </c>
      <c r="M3162" s="561" t="s">
        <v>137</v>
      </c>
      <c r="N3162" s="520"/>
      <c r="O3162" s="564"/>
      <c r="P3162" s="564" t="s">
        <v>3890</v>
      </c>
      <c r="Q3162" s="564"/>
      <c r="R3162" s="564">
        <v>2</v>
      </c>
    </row>
    <row r="3163" spans="1:20" x14ac:dyDescent="0.25">
      <c r="A3163" s="564">
        <v>31</v>
      </c>
      <c r="B3163" s="564">
        <v>3</v>
      </c>
      <c r="C3163" s="564">
        <v>2</v>
      </c>
      <c r="D3163" s="564">
        <v>4</v>
      </c>
      <c r="E3163" s="564">
        <v>2</v>
      </c>
      <c r="F3163" s="564">
        <v>2</v>
      </c>
      <c r="G3163" s="564" t="s">
        <v>474</v>
      </c>
      <c r="H3163" s="564">
        <v>1363.91</v>
      </c>
      <c r="I3163" s="564">
        <v>89</v>
      </c>
      <c r="J3163" s="564">
        <v>19</v>
      </c>
      <c r="K3163" s="564">
        <v>37</v>
      </c>
      <c r="L3163" s="564">
        <v>2</v>
      </c>
      <c r="M3163" s="561" t="s">
        <v>137</v>
      </c>
      <c r="N3163" s="520"/>
      <c r="O3163" s="564"/>
      <c r="P3163" s="564" t="s">
        <v>3891</v>
      </c>
      <c r="Q3163" s="564"/>
      <c r="R3163" s="564">
        <v>2</v>
      </c>
    </row>
    <row r="3164" spans="1:20" x14ac:dyDescent="0.25">
      <c r="A3164" s="564">
        <v>31</v>
      </c>
      <c r="B3164" s="564">
        <v>3</v>
      </c>
      <c r="C3164" s="564">
        <v>2</v>
      </c>
      <c r="D3164" s="564">
        <v>4</v>
      </c>
      <c r="E3164" s="564">
        <v>2</v>
      </c>
      <c r="F3164" s="564">
        <v>2</v>
      </c>
      <c r="G3164" s="521" t="s">
        <v>477</v>
      </c>
      <c r="H3164" s="564">
        <v>1363.91</v>
      </c>
      <c r="I3164" s="564">
        <v>89</v>
      </c>
      <c r="J3164" s="564">
        <v>19</v>
      </c>
      <c r="K3164" s="564">
        <v>37</v>
      </c>
      <c r="L3164" s="564">
        <v>2</v>
      </c>
      <c r="M3164" s="561" t="s">
        <v>137</v>
      </c>
      <c r="N3164" s="520"/>
      <c r="O3164" s="564"/>
      <c r="P3164" s="564" t="s">
        <v>3892</v>
      </c>
      <c r="Q3164" s="564"/>
      <c r="R3164" s="564">
        <v>2</v>
      </c>
    </row>
    <row r="3165" spans="1:20" x14ac:dyDescent="0.25">
      <c r="A3165" s="564">
        <v>31</v>
      </c>
      <c r="B3165" s="564">
        <v>3</v>
      </c>
      <c r="C3165" s="564">
        <v>2</v>
      </c>
      <c r="D3165" s="564">
        <v>4</v>
      </c>
      <c r="E3165" s="564">
        <v>2</v>
      </c>
      <c r="F3165" s="564">
        <v>2</v>
      </c>
      <c r="G3165" s="564" t="s">
        <v>479</v>
      </c>
      <c r="H3165" s="564">
        <v>1317.51</v>
      </c>
      <c r="I3165" s="564">
        <v>89</v>
      </c>
      <c r="J3165" s="564">
        <v>58</v>
      </c>
      <c r="K3165" s="564">
        <v>51</v>
      </c>
      <c r="L3165" s="564">
        <v>2</v>
      </c>
      <c r="M3165" s="561" t="s">
        <v>137</v>
      </c>
      <c r="N3165" s="520"/>
      <c r="O3165" s="564"/>
      <c r="P3165" s="564" t="s">
        <v>3893</v>
      </c>
      <c r="Q3165" s="564"/>
      <c r="R3165" s="564">
        <v>2</v>
      </c>
    </row>
    <row r="3166" spans="1:20" x14ac:dyDescent="0.25">
      <c r="A3166" s="564">
        <v>31</v>
      </c>
      <c r="B3166" s="564">
        <v>3</v>
      </c>
      <c r="C3166" s="564">
        <v>2</v>
      </c>
      <c r="D3166" s="564">
        <v>4</v>
      </c>
      <c r="E3166" s="564">
        <v>2</v>
      </c>
      <c r="F3166" s="564">
        <v>2</v>
      </c>
      <c r="G3166" s="564" t="s">
        <v>485</v>
      </c>
      <c r="H3166" s="564">
        <v>1331.31</v>
      </c>
      <c r="I3166" s="564">
        <v>89</v>
      </c>
      <c r="J3166" s="564">
        <v>8</v>
      </c>
      <c r="K3166" s="564">
        <v>18</v>
      </c>
      <c r="L3166" s="564">
        <v>2</v>
      </c>
      <c r="M3166" s="561" t="s">
        <v>137</v>
      </c>
      <c r="N3166" s="520"/>
      <c r="O3166" s="564"/>
      <c r="P3166" s="564" t="s">
        <v>3894</v>
      </c>
      <c r="Q3166" s="564"/>
      <c r="R3166" s="564">
        <v>2</v>
      </c>
    </row>
    <row r="3167" spans="1:20" x14ac:dyDescent="0.25">
      <c r="A3167" s="564">
        <v>31</v>
      </c>
      <c r="B3167" s="564">
        <v>3</v>
      </c>
      <c r="C3167" s="564">
        <v>2</v>
      </c>
      <c r="D3167" s="564">
        <v>4</v>
      </c>
      <c r="E3167" s="564">
        <v>2</v>
      </c>
      <c r="F3167" s="564">
        <v>2</v>
      </c>
      <c r="G3167" s="564" t="s">
        <v>487</v>
      </c>
      <c r="H3167" s="564">
        <v>1382.11</v>
      </c>
      <c r="I3167" s="564">
        <v>88</v>
      </c>
      <c r="J3167" s="564">
        <v>41</v>
      </c>
      <c r="K3167" s="564">
        <v>46</v>
      </c>
      <c r="L3167" s="564">
        <v>2</v>
      </c>
      <c r="M3167" s="561" t="s">
        <v>137</v>
      </c>
      <c r="N3167" s="520"/>
      <c r="O3167" s="564"/>
      <c r="P3167" s="564" t="s">
        <v>3895</v>
      </c>
      <c r="Q3167" s="564"/>
      <c r="R3167" s="564">
        <v>2</v>
      </c>
    </row>
    <row r="3168" spans="1:20" x14ac:dyDescent="0.25">
      <c r="A3168" s="564">
        <v>31</v>
      </c>
      <c r="B3168" s="564">
        <v>3</v>
      </c>
      <c r="C3168" s="564">
        <v>2</v>
      </c>
      <c r="D3168" s="564">
        <v>4</v>
      </c>
      <c r="E3168" s="564">
        <v>2</v>
      </c>
      <c r="F3168" s="564">
        <v>2</v>
      </c>
      <c r="G3168" s="521" t="s">
        <v>489</v>
      </c>
      <c r="H3168" s="564">
        <v>1382.11</v>
      </c>
      <c r="I3168" s="564">
        <v>88</v>
      </c>
      <c r="J3168" s="564">
        <v>41</v>
      </c>
      <c r="K3168" s="564">
        <v>46</v>
      </c>
      <c r="L3168" s="564">
        <v>2</v>
      </c>
      <c r="M3168" s="561" t="s">
        <v>137</v>
      </c>
      <c r="N3168" s="520"/>
      <c r="O3168" s="564"/>
      <c r="P3168" s="564" t="s">
        <v>3896</v>
      </c>
      <c r="Q3168" s="564"/>
      <c r="R3168" s="564">
        <v>2</v>
      </c>
    </row>
    <row r="3169" spans="1:18" x14ac:dyDescent="0.25">
      <c r="A3169" s="564">
        <v>31</v>
      </c>
      <c r="B3169" s="564">
        <v>3</v>
      </c>
      <c r="C3169" s="564">
        <v>2</v>
      </c>
      <c r="D3169" s="564">
        <v>4</v>
      </c>
      <c r="E3169" s="564">
        <v>2</v>
      </c>
      <c r="F3169" s="564">
        <v>2</v>
      </c>
      <c r="G3169" s="564" t="s">
        <v>491</v>
      </c>
      <c r="H3169" s="564">
        <v>1327.875</v>
      </c>
      <c r="I3169" s="564">
        <v>89</v>
      </c>
      <c r="J3169" s="564">
        <v>56</v>
      </c>
      <c r="K3169" s="564">
        <v>23</v>
      </c>
      <c r="L3169" s="564">
        <v>3</v>
      </c>
      <c r="M3169" s="561" t="s">
        <v>137</v>
      </c>
      <c r="N3169" s="520"/>
      <c r="O3169" s="564"/>
      <c r="P3169" s="564" t="s">
        <v>3897</v>
      </c>
      <c r="Q3169" s="564"/>
      <c r="R3169" s="564">
        <v>2</v>
      </c>
    </row>
    <row r="3170" spans="1:18" x14ac:dyDescent="0.25">
      <c r="A3170" s="564">
        <v>31</v>
      </c>
      <c r="B3170" s="564">
        <v>3</v>
      </c>
      <c r="C3170" s="564">
        <v>2</v>
      </c>
      <c r="D3170" s="564">
        <v>4</v>
      </c>
      <c r="E3170" s="564">
        <v>2</v>
      </c>
      <c r="F3170" s="564">
        <v>2</v>
      </c>
      <c r="G3170" s="564" t="s">
        <v>494</v>
      </c>
      <c r="H3170" s="564">
        <v>1327.875</v>
      </c>
      <c r="I3170" s="564">
        <v>89</v>
      </c>
      <c r="J3170" s="564">
        <v>56</v>
      </c>
      <c r="K3170" s="564">
        <v>23</v>
      </c>
      <c r="L3170" s="564">
        <v>3</v>
      </c>
      <c r="M3170" s="561" t="s">
        <v>137</v>
      </c>
      <c r="N3170" s="520"/>
      <c r="O3170" s="564"/>
      <c r="P3170" s="564" t="s">
        <v>3898</v>
      </c>
      <c r="Q3170" s="564"/>
      <c r="R3170" s="564">
        <v>2</v>
      </c>
    </row>
    <row r="3171" spans="1:18" x14ac:dyDescent="0.25">
      <c r="A3171" s="564">
        <v>31</v>
      </c>
      <c r="B3171" s="564">
        <v>2</v>
      </c>
      <c r="C3171" s="564">
        <v>2</v>
      </c>
      <c r="D3171" s="564">
        <v>2</v>
      </c>
      <c r="E3171" s="564">
        <v>2</v>
      </c>
      <c r="F3171" s="564">
        <v>2</v>
      </c>
      <c r="G3171" s="553" t="s">
        <v>473</v>
      </c>
      <c r="H3171" s="564">
        <v>1317.8150000000001</v>
      </c>
      <c r="I3171" s="564">
        <v>0</v>
      </c>
      <c r="J3171" s="564">
        <v>2</v>
      </c>
      <c r="K3171" s="564">
        <v>33</v>
      </c>
      <c r="L3171" s="564">
        <v>2</v>
      </c>
      <c r="M3171" s="561" t="s">
        <v>137</v>
      </c>
      <c r="N3171" s="520">
        <v>4301354041</v>
      </c>
      <c r="O3171" s="564" t="s">
        <v>1102</v>
      </c>
      <c r="P3171" s="522" t="s">
        <v>3899</v>
      </c>
      <c r="Q3171" s="564"/>
      <c r="R3171" s="564">
        <v>1</v>
      </c>
    </row>
    <row r="3172" spans="1:18" x14ac:dyDescent="0.25">
      <c r="A3172" s="564">
        <v>31</v>
      </c>
      <c r="B3172" s="564">
        <v>2</v>
      </c>
      <c r="C3172" s="564">
        <v>2</v>
      </c>
      <c r="D3172" s="564">
        <v>2</v>
      </c>
      <c r="E3172" s="564">
        <v>2</v>
      </c>
      <c r="F3172" s="564">
        <v>2</v>
      </c>
      <c r="G3172" s="502" t="s">
        <v>476</v>
      </c>
      <c r="H3172" s="564">
        <v>1317.8150000000001</v>
      </c>
      <c r="I3172" s="564">
        <v>0</v>
      </c>
      <c r="J3172" s="564">
        <v>2</v>
      </c>
      <c r="K3172" s="564">
        <v>33</v>
      </c>
      <c r="L3172" s="564">
        <v>2</v>
      </c>
      <c r="M3172" s="561" t="s">
        <v>137</v>
      </c>
      <c r="N3172" s="520">
        <v>4301354041</v>
      </c>
      <c r="O3172" s="564" t="s">
        <v>1102</v>
      </c>
      <c r="P3172" s="522" t="s">
        <v>3900</v>
      </c>
      <c r="Q3172" s="564"/>
      <c r="R3172" s="564">
        <v>1</v>
      </c>
    </row>
    <row r="3173" spans="1:18" x14ac:dyDescent="0.25">
      <c r="A3173" s="564">
        <v>31</v>
      </c>
      <c r="B3173" s="564">
        <v>2</v>
      </c>
      <c r="C3173" s="564">
        <v>2</v>
      </c>
      <c r="D3173" s="564">
        <v>2</v>
      </c>
      <c r="E3173" s="564">
        <v>2</v>
      </c>
      <c r="F3173" s="564">
        <v>2</v>
      </c>
      <c r="G3173" s="553" t="s">
        <v>478</v>
      </c>
      <c r="H3173" s="564">
        <v>1321.49</v>
      </c>
      <c r="I3173" s="564">
        <v>0</v>
      </c>
      <c r="J3173" s="564">
        <v>7</v>
      </c>
      <c r="K3173" s="564">
        <v>44</v>
      </c>
      <c r="L3173" s="564">
        <v>2</v>
      </c>
      <c r="M3173" s="561" t="s">
        <v>137</v>
      </c>
      <c r="N3173" s="520">
        <v>4301354041</v>
      </c>
      <c r="O3173" s="564" t="s">
        <v>1102</v>
      </c>
      <c r="P3173" s="522" t="s">
        <v>3901</v>
      </c>
      <c r="Q3173" s="564"/>
      <c r="R3173" s="564">
        <v>1</v>
      </c>
    </row>
    <row r="3174" spans="1:18" x14ac:dyDescent="0.25">
      <c r="A3174" s="564">
        <v>31</v>
      </c>
      <c r="B3174" s="564">
        <v>2</v>
      </c>
      <c r="C3174" s="564">
        <v>2</v>
      </c>
      <c r="D3174" s="564">
        <v>2</v>
      </c>
      <c r="E3174" s="564">
        <v>2</v>
      </c>
      <c r="F3174" s="564">
        <v>2</v>
      </c>
      <c r="G3174" s="553" t="s">
        <v>484</v>
      </c>
      <c r="H3174" s="564">
        <v>1321.49</v>
      </c>
      <c r="I3174" s="564">
        <v>0</v>
      </c>
      <c r="J3174" s="564">
        <v>7</v>
      </c>
      <c r="K3174" s="564">
        <v>44</v>
      </c>
      <c r="L3174" s="564">
        <v>2</v>
      </c>
      <c r="M3174" s="561" t="s">
        <v>137</v>
      </c>
      <c r="N3174" s="520">
        <v>4301354041</v>
      </c>
      <c r="O3174" s="564" t="s">
        <v>1102</v>
      </c>
      <c r="P3174" s="522" t="s">
        <v>3902</v>
      </c>
      <c r="Q3174" s="564"/>
      <c r="R3174" s="564">
        <v>1</v>
      </c>
    </row>
    <row r="3175" spans="1:18" x14ac:dyDescent="0.25">
      <c r="A3175" s="564">
        <v>31</v>
      </c>
      <c r="B3175" s="564">
        <v>2</v>
      </c>
      <c r="C3175" s="564">
        <v>2</v>
      </c>
      <c r="D3175" s="564">
        <v>2</v>
      </c>
      <c r="E3175" s="564">
        <v>2</v>
      </c>
      <c r="F3175" s="564">
        <v>2</v>
      </c>
      <c r="G3175" s="553" t="s">
        <v>486</v>
      </c>
      <c r="H3175" s="564">
        <v>1333.345</v>
      </c>
      <c r="I3175" s="564">
        <v>0</v>
      </c>
      <c r="J3175" s="564">
        <v>3</v>
      </c>
      <c r="K3175" s="564">
        <v>0</v>
      </c>
      <c r="L3175" s="564">
        <v>2</v>
      </c>
      <c r="M3175" s="561" t="s">
        <v>137</v>
      </c>
      <c r="N3175" s="520">
        <v>4301354041</v>
      </c>
      <c r="O3175" s="564" t="s">
        <v>1102</v>
      </c>
      <c r="P3175" s="522" t="s">
        <v>3903</v>
      </c>
      <c r="Q3175" s="564"/>
      <c r="R3175" s="564">
        <v>1</v>
      </c>
    </row>
    <row r="3176" spans="1:18" x14ac:dyDescent="0.25">
      <c r="A3176" s="564">
        <v>31</v>
      </c>
      <c r="B3176" s="564">
        <v>2</v>
      </c>
      <c r="C3176" s="564">
        <v>2</v>
      </c>
      <c r="D3176" s="564">
        <v>2</v>
      </c>
      <c r="E3176" s="564">
        <v>2</v>
      </c>
      <c r="F3176" s="564">
        <v>2</v>
      </c>
      <c r="G3176" s="502" t="s">
        <v>488</v>
      </c>
      <c r="H3176" s="564">
        <v>1333.345</v>
      </c>
      <c r="I3176" s="564">
        <v>0</v>
      </c>
      <c r="J3176" s="564">
        <v>3</v>
      </c>
      <c r="K3176" s="564">
        <v>0</v>
      </c>
      <c r="L3176" s="564">
        <v>2</v>
      </c>
      <c r="M3176" s="561" t="s">
        <v>137</v>
      </c>
      <c r="N3176" s="520">
        <v>4301354041</v>
      </c>
      <c r="O3176" s="564" t="s">
        <v>1102</v>
      </c>
      <c r="P3176" s="522" t="s">
        <v>3904</v>
      </c>
      <c r="Q3176" s="564"/>
      <c r="R3176" s="564">
        <v>1</v>
      </c>
    </row>
    <row r="3177" spans="1:18" x14ac:dyDescent="0.25">
      <c r="A3177" s="564">
        <v>31</v>
      </c>
      <c r="B3177" s="564">
        <v>2</v>
      </c>
      <c r="C3177" s="564">
        <v>2</v>
      </c>
      <c r="D3177" s="564">
        <v>2</v>
      </c>
      <c r="E3177" s="564">
        <v>2</v>
      </c>
      <c r="F3177" s="564">
        <v>2</v>
      </c>
      <c r="G3177" s="553" t="s">
        <v>490</v>
      </c>
      <c r="H3177" s="564">
        <v>1303.425</v>
      </c>
      <c r="I3177" s="564">
        <v>0</v>
      </c>
      <c r="J3177" s="564">
        <v>3</v>
      </c>
      <c r="K3177" s="564">
        <v>17</v>
      </c>
      <c r="L3177" s="564">
        <v>2</v>
      </c>
      <c r="M3177" s="561" t="s">
        <v>137</v>
      </c>
      <c r="N3177" s="520">
        <v>4301354041</v>
      </c>
      <c r="O3177" s="564" t="s">
        <v>1102</v>
      </c>
      <c r="P3177" s="522" t="s">
        <v>3905</v>
      </c>
      <c r="Q3177" s="564"/>
      <c r="R3177" s="564">
        <v>1</v>
      </c>
    </row>
    <row r="3178" spans="1:18" x14ac:dyDescent="0.25">
      <c r="A3178" s="564">
        <v>31</v>
      </c>
      <c r="B3178" s="564">
        <v>2</v>
      </c>
      <c r="C3178" s="564">
        <v>2</v>
      </c>
      <c r="D3178" s="564">
        <v>2</v>
      </c>
      <c r="E3178" s="564">
        <v>2</v>
      </c>
      <c r="F3178" s="564">
        <v>2</v>
      </c>
      <c r="G3178" s="553" t="s">
        <v>493</v>
      </c>
      <c r="H3178" s="564">
        <v>1303.425</v>
      </c>
      <c r="I3178" s="564">
        <v>0</v>
      </c>
      <c r="J3178" s="564">
        <v>3</v>
      </c>
      <c r="K3178" s="564">
        <v>17</v>
      </c>
      <c r="L3178" s="564">
        <v>2</v>
      </c>
      <c r="M3178" s="561" t="s">
        <v>137</v>
      </c>
      <c r="N3178" s="520">
        <v>4301354041</v>
      </c>
      <c r="O3178" s="564" t="s">
        <v>1102</v>
      </c>
      <c r="P3178" s="522" t="s">
        <v>3906</v>
      </c>
      <c r="Q3178" s="564"/>
      <c r="R3178" s="564">
        <v>1</v>
      </c>
    </row>
    <row r="3179" spans="1:18" x14ac:dyDescent="0.25">
      <c r="A3179" s="564">
        <v>31</v>
      </c>
      <c r="B3179" s="564">
        <v>2</v>
      </c>
      <c r="C3179" s="564">
        <v>2</v>
      </c>
      <c r="D3179" s="564">
        <v>2</v>
      </c>
      <c r="E3179" s="564">
        <v>2</v>
      </c>
      <c r="F3179" s="564">
        <v>2</v>
      </c>
      <c r="G3179" s="553" t="s">
        <v>474</v>
      </c>
      <c r="H3179" s="564">
        <v>1298.94</v>
      </c>
      <c r="I3179" s="564">
        <v>89</v>
      </c>
      <c r="J3179" s="564">
        <v>52</v>
      </c>
      <c r="K3179" s="564">
        <v>46</v>
      </c>
      <c r="L3179" s="564">
        <v>3</v>
      </c>
      <c r="M3179" s="561" t="s">
        <v>137</v>
      </c>
      <c r="N3179" s="520">
        <v>4301354041</v>
      </c>
      <c r="O3179" s="564" t="s">
        <v>1102</v>
      </c>
      <c r="P3179" s="522" t="s">
        <v>3907</v>
      </c>
      <c r="Q3179" s="564"/>
      <c r="R3179" s="564">
        <v>1</v>
      </c>
    </row>
    <row r="3180" spans="1:18" x14ac:dyDescent="0.25">
      <c r="A3180" s="564">
        <v>31</v>
      </c>
      <c r="B3180" s="564">
        <v>2</v>
      </c>
      <c r="C3180" s="564">
        <v>2</v>
      </c>
      <c r="D3180" s="564">
        <v>2</v>
      </c>
      <c r="E3180" s="564">
        <v>2</v>
      </c>
      <c r="F3180" s="564">
        <v>2</v>
      </c>
      <c r="G3180" s="502" t="s">
        <v>477</v>
      </c>
      <c r="H3180" s="564">
        <v>1298.94</v>
      </c>
      <c r="I3180" s="564">
        <v>89</v>
      </c>
      <c r="J3180" s="564">
        <v>52</v>
      </c>
      <c r="K3180" s="564">
        <v>46</v>
      </c>
      <c r="L3180" s="564">
        <v>3</v>
      </c>
      <c r="M3180" s="561" t="s">
        <v>137</v>
      </c>
      <c r="N3180" s="520">
        <v>4301354041</v>
      </c>
      <c r="O3180" s="564" t="s">
        <v>1102</v>
      </c>
      <c r="P3180" s="522" t="s">
        <v>3908</v>
      </c>
      <c r="Q3180" s="564"/>
      <c r="R3180" s="564">
        <v>1</v>
      </c>
    </row>
    <row r="3181" spans="1:18" x14ac:dyDescent="0.25">
      <c r="A3181" s="564">
        <v>31</v>
      </c>
      <c r="B3181" s="564">
        <v>2</v>
      </c>
      <c r="C3181" s="564">
        <v>2</v>
      </c>
      <c r="D3181" s="564">
        <v>2</v>
      </c>
      <c r="E3181" s="564">
        <v>2</v>
      </c>
      <c r="F3181" s="564">
        <v>2</v>
      </c>
      <c r="G3181" s="553" t="s">
        <v>479</v>
      </c>
      <c r="H3181" s="564">
        <v>1298.94</v>
      </c>
      <c r="I3181" s="564">
        <v>89</v>
      </c>
      <c r="J3181" s="564">
        <v>52</v>
      </c>
      <c r="K3181" s="564">
        <v>46</v>
      </c>
      <c r="L3181" s="564">
        <v>3</v>
      </c>
      <c r="M3181" s="561" t="s">
        <v>137</v>
      </c>
      <c r="N3181" s="520">
        <v>4301354041</v>
      </c>
      <c r="O3181" s="564" t="s">
        <v>1102</v>
      </c>
      <c r="P3181" s="522" t="s">
        <v>3909</v>
      </c>
      <c r="Q3181" s="564"/>
      <c r="R3181" s="564">
        <v>1</v>
      </c>
    </row>
    <row r="3182" spans="1:18" x14ac:dyDescent="0.25">
      <c r="A3182" s="564">
        <v>31</v>
      </c>
      <c r="B3182" s="564">
        <v>2</v>
      </c>
      <c r="C3182" s="564">
        <v>2</v>
      </c>
      <c r="D3182" s="564">
        <v>2</v>
      </c>
      <c r="E3182" s="564">
        <v>2</v>
      </c>
      <c r="F3182" s="564">
        <v>2</v>
      </c>
      <c r="G3182" s="553" t="s">
        <v>485</v>
      </c>
      <c r="H3182" s="564">
        <v>1298.94</v>
      </c>
      <c r="I3182" s="564">
        <v>89</v>
      </c>
      <c r="J3182" s="564">
        <v>52</v>
      </c>
      <c r="K3182" s="564">
        <v>46</v>
      </c>
      <c r="L3182" s="564">
        <v>3</v>
      </c>
      <c r="M3182" s="561" t="s">
        <v>137</v>
      </c>
      <c r="N3182" s="520">
        <v>4301354041</v>
      </c>
      <c r="O3182" s="564" t="s">
        <v>1102</v>
      </c>
      <c r="P3182" s="522" t="s">
        <v>3910</v>
      </c>
      <c r="Q3182" s="564"/>
      <c r="R3182" s="564">
        <v>1</v>
      </c>
    </row>
    <row r="3183" spans="1:18" x14ac:dyDescent="0.25">
      <c r="A3183" s="564">
        <v>31</v>
      </c>
      <c r="B3183" s="564">
        <v>2</v>
      </c>
      <c r="C3183" s="564">
        <v>2</v>
      </c>
      <c r="D3183" s="564">
        <v>2</v>
      </c>
      <c r="E3183" s="564">
        <v>2</v>
      </c>
      <c r="F3183" s="564">
        <v>2</v>
      </c>
      <c r="G3183" s="553" t="s">
        <v>487</v>
      </c>
      <c r="H3183" s="564">
        <v>1235.52</v>
      </c>
      <c r="I3183" s="564">
        <v>89</v>
      </c>
      <c r="J3183" s="564">
        <v>49</v>
      </c>
      <c r="K3183" s="564">
        <v>22</v>
      </c>
      <c r="L3183" s="564">
        <v>3</v>
      </c>
      <c r="M3183" s="561" t="s">
        <v>137</v>
      </c>
      <c r="N3183" s="520">
        <v>4301354041</v>
      </c>
      <c r="O3183" s="564" t="s">
        <v>1102</v>
      </c>
      <c r="P3183" s="522" t="s">
        <v>3911</v>
      </c>
      <c r="Q3183" s="564"/>
      <c r="R3183" s="564">
        <v>1</v>
      </c>
    </row>
    <row r="3184" spans="1:18" x14ac:dyDescent="0.25">
      <c r="A3184" s="564">
        <v>31</v>
      </c>
      <c r="B3184" s="564">
        <v>2</v>
      </c>
      <c r="C3184" s="564">
        <v>2</v>
      </c>
      <c r="D3184" s="564">
        <v>2</v>
      </c>
      <c r="E3184" s="564">
        <v>2</v>
      </c>
      <c r="F3184" s="564">
        <v>2</v>
      </c>
      <c r="G3184" s="502" t="s">
        <v>489</v>
      </c>
      <c r="H3184" s="564">
        <v>1321.87</v>
      </c>
      <c r="I3184" s="564">
        <v>89</v>
      </c>
      <c r="J3184" s="564">
        <v>49</v>
      </c>
      <c r="K3184" s="564">
        <v>26</v>
      </c>
      <c r="L3184" s="564">
        <v>3</v>
      </c>
      <c r="M3184" s="561" t="s">
        <v>137</v>
      </c>
      <c r="N3184" s="520">
        <v>4301354041</v>
      </c>
      <c r="O3184" s="564" t="s">
        <v>1102</v>
      </c>
      <c r="P3184" s="522" t="s">
        <v>3912</v>
      </c>
      <c r="Q3184" s="564"/>
      <c r="R3184" s="564">
        <v>1</v>
      </c>
    </row>
    <row r="3185" spans="1:18" x14ac:dyDescent="0.25">
      <c r="A3185" s="564">
        <v>31</v>
      </c>
      <c r="B3185" s="564">
        <v>2</v>
      </c>
      <c r="C3185" s="564">
        <v>2</v>
      </c>
      <c r="D3185" s="564">
        <v>2</v>
      </c>
      <c r="E3185" s="564">
        <v>2</v>
      </c>
      <c r="F3185" s="564">
        <v>2</v>
      </c>
      <c r="G3185" s="553" t="s">
        <v>491</v>
      </c>
      <c r="H3185" s="564">
        <v>1320.74</v>
      </c>
      <c r="I3185" s="564">
        <v>89</v>
      </c>
      <c r="J3185" s="564">
        <v>49</v>
      </c>
      <c r="K3185" s="564">
        <v>27</v>
      </c>
      <c r="L3185" s="564">
        <v>3</v>
      </c>
      <c r="M3185" s="561" t="s">
        <v>137</v>
      </c>
      <c r="N3185" s="520">
        <v>4301354041</v>
      </c>
      <c r="O3185" s="564" t="s">
        <v>1102</v>
      </c>
      <c r="P3185" s="522" t="s">
        <v>3913</v>
      </c>
      <c r="Q3185" s="564"/>
      <c r="R3185" s="564">
        <v>1</v>
      </c>
    </row>
    <row r="3186" spans="1:18" x14ac:dyDescent="0.25">
      <c r="A3186" s="564">
        <v>31</v>
      </c>
      <c r="B3186" s="564">
        <v>2</v>
      </c>
      <c r="C3186" s="564">
        <v>2</v>
      </c>
      <c r="D3186" s="564">
        <v>2</v>
      </c>
      <c r="E3186" s="564">
        <v>2</v>
      </c>
      <c r="F3186" s="564">
        <v>2</v>
      </c>
      <c r="G3186" s="553" t="s">
        <v>494</v>
      </c>
      <c r="H3186" s="564">
        <v>1320.74</v>
      </c>
      <c r="I3186" s="564">
        <v>89</v>
      </c>
      <c r="J3186" s="564">
        <v>49</v>
      </c>
      <c r="K3186" s="564">
        <v>27</v>
      </c>
      <c r="L3186" s="564">
        <v>3</v>
      </c>
      <c r="M3186" s="561" t="s">
        <v>137</v>
      </c>
      <c r="N3186" s="520">
        <v>4301354041</v>
      </c>
      <c r="O3186" s="564" t="s">
        <v>1102</v>
      </c>
      <c r="P3186" s="522" t="s">
        <v>3914</v>
      </c>
      <c r="Q3186" s="564"/>
      <c r="R3186" s="564">
        <v>1</v>
      </c>
    </row>
    <row r="3187" spans="1:18" x14ac:dyDescent="0.25">
      <c r="A3187" s="564">
        <v>31</v>
      </c>
      <c r="B3187" s="564">
        <v>3</v>
      </c>
      <c r="C3187" s="564">
        <v>2</v>
      </c>
      <c r="D3187" s="564">
        <v>2</v>
      </c>
      <c r="E3187" s="564">
        <v>1</v>
      </c>
      <c r="F3187" s="564">
        <v>2</v>
      </c>
      <c r="G3187" s="564" t="s">
        <v>473</v>
      </c>
      <c r="H3187" s="564">
        <v>1341.12</v>
      </c>
      <c r="I3187" s="564">
        <v>0</v>
      </c>
      <c r="J3187" s="564">
        <v>52</v>
      </c>
      <c r="K3187" s="564">
        <v>41</v>
      </c>
      <c r="L3187" s="564">
        <v>3</v>
      </c>
      <c r="M3187" s="561" t="s">
        <v>137</v>
      </c>
      <c r="N3187" s="651">
        <v>4304756484</v>
      </c>
      <c r="O3187" s="564" t="s">
        <v>3915</v>
      </c>
      <c r="P3187" s="564" t="s">
        <v>3916</v>
      </c>
      <c r="Q3187" s="564"/>
      <c r="R3187" s="564">
        <v>2</v>
      </c>
    </row>
    <row r="3188" spans="1:18" x14ac:dyDescent="0.25">
      <c r="A3188" s="564">
        <v>31</v>
      </c>
      <c r="B3188" s="564">
        <v>3</v>
      </c>
      <c r="C3188" s="564">
        <v>2</v>
      </c>
      <c r="D3188" s="564">
        <v>2</v>
      </c>
      <c r="E3188" s="564">
        <v>1</v>
      </c>
      <c r="F3188" s="564">
        <v>2</v>
      </c>
      <c r="G3188" s="521" t="s">
        <v>476</v>
      </c>
      <c r="H3188" s="564">
        <v>1322.88</v>
      </c>
      <c r="I3188" s="564">
        <v>0</v>
      </c>
      <c r="J3188" s="564">
        <v>4</v>
      </c>
      <c r="K3188" s="564">
        <v>37</v>
      </c>
      <c r="L3188" s="564">
        <v>4</v>
      </c>
      <c r="M3188" s="561" t="s">
        <v>137</v>
      </c>
      <c r="N3188" s="651">
        <v>4304756484</v>
      </c>
      <c r="O3188" s="564" t="s">
        <v>3915</v>
      </c>
      <c r="P3188" s="564" t="s">
        <v>3917</v>
      </c>
      <c r="Q3188" s="564"/>
      <c r="R3188" s="564">
        <v>2</v>
      </c>
    </row>
    <row r="3189" spans="1:18" x14ac:dyDescent="0.25">
      <c r="A3189" s="564">
        <v>31</v>
      </c>
      <c r="B3189" s="564">
        <v>3</v>
      </c>
      <c r="C3189" s="564">
        <v>2</v>
      </c>
      <c r="D3189" s="564">
        <v>2</v>
      </c>
      <c r="E3189" s="564">
        <v>1</v>
      </c>
      <c r="F3189" s="564">
        <v>2</v>
      </c>
      <c r="G3189" s="564" t="s">
        <v>478</v>
      </c>
      <c r="H3189" s="564">
        <v>1325.2</v>
      </c>
      <c r="I3189" s="564">
        <v>0</v>
      </c>
      <c r="J3189" s="564">
        <v>14</v>
      </c>
      <c r="K3189" s="564">
        <v>58</v>
      </c>
      <c r="L3189" s="564">
        <v>1</v>
      </c>
      <c r="M3189" s="561" t="s">
        <v>137</v>
      </c>
      <c r="N3189" s="651">
        <v>4304756484</v>
      </c>
      <c r="O3189" s="564" t="s">
        <v>3915</v>
      </c>
      <c r="P3189" s="564" t="s">
        <v>3918</v>
      </c>
      <c r="Q3189" s="564"/>
      <c r="R3189" s="564">
        <v>2</v>
      </c>
    </row>
    <row r="3190" spans="1:18" x14ac:dyDescent="0.25">
      <c r="A3190" s="564">
        <v>31</v>
      </c>
      <c r="B3190" s="564">
        <v>3</v>
      </c>
      <c r="C3190" s="564">
        <v>2</v>
      </c>
      <c r="D3190" s="564">
        <v>2</v>
      </c>
      <c r="E3190" s="564">
        <v>1</v>
      </c>
      <c r="F3190" s="564">
        <v>2</v>
      </c>
      <c r="G3190" s="564" t="s">
        <v>484</v>
      </c>
      <c r="H3190" s="564">
        <v>1320.05</v>
      </c>
      <c r="I3190" s="564">
        <v>0</v>
      </c>
      <c r="J3190" s="564">
        <v>11</v>
      </c>
      <c r="K3190" s="564">
        <v>36</v>
      </c>
      <c r="L3190" s="564">
        <v>3</v>
      </c>
      <c r="M3190" s="561" t="s">
        <v>137</v>
      </c>
      <c r="N3190" s="651">
        <v>4304756484</v>
      </c>
      <c r="O3190" s="564" t="s">
        <v>3915</v>
      </c>
      <c r="P3190" s="564" t="s">
        <v>3919</v>
      </c>
      <c r="Q3190" s="564"/>
      <c r="R3190" s="564">
        <v>2</v>
      </c>
    </row>
    <row r="3191" spans="1:18" x14ac:dyDescent="0.25">
      <c r="A3191" s="564">
        <v>31</v>
      </c>
      <c r="B3191" s="564">
        <v>3</v>
      </c>
      <c r="C3191" s="564">
        <v>2</v>
      </c>
      <c r="D3191" s="564">
        <v>2</v>
      </c>
      <c r="E3191" s="564">
        <v>1</v>
      </c>
      <c r="F3191" s="564">
        <v>2</v>
      </c>
      <c r="G3191" s="564" t="s">
        <v>486</v>
      </c>
      <c r="H3191" s="564">
        <v>1322.94</v>
      </c>
      <c r="I3191" s="564">
        <v>0</v>
      </c>
      <c r="J3191" s="564">
        <v>8</v>
      </c>
      <c r="K3191" s="564">
        <v>20</v>
      </c>
      <c r="L3191" s="564">
        <v>3</v>
      </c>
      <c r="M3191" s="561" t="s">
        <v>137</v>
      </c>
      <c r="N3191" s="651">
        <v>4304756484</v>
      </c>
      <c r="O3191" s="564" t="s">
        <v>3915</v>
      </c>
      <c r="P3191" s="564" t="s">
        <v>3920</v>
      </c>
      <c r="Q3191" s="564"/>
      <c r="R3191" s="564">
        <v>2</v>
      </c>
    </row>
    <row r="3192" spans="1:18" x14ac:dyDescent="0.25">
      <c r="A3192" s="564">
        <v>31</v>
      </c>
      <c r="B3192" s="564">
        <v>3</v>
      </c>
      <c r="C3192" s="564">
        <v>2</v>
      </c>
      <c r="D3192" s="564">
        <v>2</v>
      </c>
      <c r="E3192" s="564">
        <v>1</v>
      </c>
      <c r="F3192" s="564">
        <v>2</v>
      </c>
      <c r="G3192" s="521" t="s">
        <v>488</v>
      </c>
      <c r="H3192" s="564">
        <v>1322.58</v>
      </c>
      <c r="I3192" s="564">
        <v>0</v>
      </c>
      <c r="J3192" s="564">
        <v>25</v>
      </c>
      <c r="K3192" s="564">
        <v>14</v>
      </c>
      <c r="L3192" s="564">
        <v>3</v>
      </c>
      <c r="M3192" s="561" t="s">
        <v>137</v>
      </c>
      <c r="N3192" s="651">
        <v>4304756484</v>
      </c>
      <c r="O3192" s="564" t="s">
        <v>3915</v>
      </c>
      <c r="P3192" s="564" t="s">
        <v>3921</v>
      </c>
      <c r="Q3192" s="564"/>
      <c r="R3192" s="564">
        <v>2</v>
      </c>
    </row>
    <row r="3193" spans="1:18" x14ac:dyDescent="0.25">
      <c r="A3193" s="564">
        <v>31</v>
      </c>
      <c r="B3193" s="564">
        <v>3</v>
      </c>
      <c r="C3193" s="564">
        <v>2</v>
      </c>
      <c r="D3193" s="564">
        <v>2</v>
      </c>
      <c r="E3193" s="564">
        <v>1</v>
      </c>
      <c r="F3193" s="564">
        <v>2</v>
      </c>
      <c r="G3193" s="564" t="s">
        <v>490</v>
      </c>
      <c r="H3193" s="564">
        <v>1321.37</v>
      </c>
      <c r="I3193" s="564">
        <v>0</v>
      </c>
      <c r="J3193" s="564">
        <v>6</v>
      </c>
      <c r="K3193" s="564">
        <v>7</v>
      </c>
      <c r="L3193" s="564">
        <v>3</v>
      </c>
      <c r="M3193" s="561" t="s">
        <v>137</v>
      </c>
      <c r="N3193" s="651">
        <v>4304756484</v>
      </c>
      <c r="O3193" s="564" t="s">
        <v>3915</v>
      </c>
      <c r="P3193" s="564" t="s">
        <v>3922</v>
      </c>
      <c r="Q3193" s="564"/>
      <c r="R3193" s="564">
        <v>2</v>
      </c>
    </row>
    <row r="3194" spans="1:18" x14ac:dyDescent="0.25">
      <c r="A3194" s="564">
        <v>31</v>
      </c>
      <c r="B3194" s="564">
        <v>3</v>
      </c>
      <c r="C3194" s="564">
        <v>2</v>
      </c>
      <c r="D3194" s="564">
        <v>2</v>
      </c>
      <c r="E3194" s="564">
        <v>1</v>
      </c>
      <c r="F3194" s="564">
        <v>2</v>
      </c>
      <c r="G3194" s="564" t="s">
        <v>493</v>
      </c>
      <c r="H3194" s="564">
        <v>1323.47</v>
      </c>
      <c r="I3194" s="564">
        <v>0</v>
      </c>
      <c r="J3194" s="564">
        <v>7</v>
      </c>
      <c r="K3194" s="564">
        <v>14</v>
      </c>
      <c r="L3194" s="564">
        <v>1</v>
      </c>
      <c r="M3194" s="561" t="s">
        <v>137</v>
      </c>
      <c r="N3194" s="651">
        <v>4304756484</v>
      </c>
      <c r="O3194" s="564" t="s">
        <v>3915</v>
      </c>
      <c r="P3194" s="564" t="s">
        <v>3923</v>
      </c>
      <c r="Q3194" s="564"/>
      <c r="R3194" s="564">
        <v>2</v>
      </c>
    </row>
    <row r="3195" spans="1:18" x14ac:dyDescent="0.25">
      <c r="A3195" s="564">
        <v>31</v>
      </c>
      <c r="B3195" s="564">
        <v>3</v>
      </c>
      <c r="C3195" s="564">
        <v>2</v>
      </c>
      <c r="D3195" s="564">
        <v>2</v>
      </c>
      <c r="E3195" s="564">
        <v>1</v>
      </c>
      <c r="F3195" s="564">
        <v>2</v>
      </c>
      <c r="G3195" s="564" t="s">
        <v>474</v>
      </c>
      <c r="H3195" s="564">
        <v>1347.56</v>
      </c>
      <c r="I3195" s="564">
        <v>89</v>
      </c>
      <c r="J3195" s="564">
        <v>1</v>
      </c>
      <c r="K3195" s="564">
        <v>1</v>
      </c>
      <c r="L3195" s="564">
        <v>1</v>
      </c>
      <c r="M3195" s="561" t="s">
        <v>137</v>
      </c>
      <c r="N3195" s="651">
        <v>4304756484</v>
      </c>
      <c r="O3195" s="564" t="s">
        <v>3915</v>
      </c>
      <c r="P3195" s="564" t="s">
        <v>3924</v>
      </c>
      <c r="Q3195" s="564"/>
      <c r="R3195" s="564">
        <v>2</v>
      </c>
    </row>
    <row r="3196" spans="1:18" x14ac:dyDescent="0.25">
      <c r="A3196" s="564">
        <v>31</v>
      </c>
      <c r="B3196" s="564">
        <v>3</v>
      </c>
      <c r="C3196" s="564">
        <v>2</v>
      </c>
      <c r="D3196" s="564">
        <v>2</v>
      </c>
      <c r="E3196" s="564">
        <v>1</v>
      </c>
      <c r="F3196" s="564">
        <v>2</v>
      </c>
      <c r="G3196" s="521" t="s">
        <v>477</v>
      </c>
      <c r="H3196" s="564">
        <v>1317.26</v>
      </c>
      <c r="I3196" s="564">
        <v>89</v>
      </c>
      <c r="J3196" s="564">
        <v>1</v>
      </c>
      <c r="K3196" s="564">
        <v>1</v>
      </c>
      <c r="L3196" s="564">
        <v>1</v>
      </c>
      <c r="M3196" s="561" t="s">
        <v>137</v>
      </c>
      <c r="N3196" s="651">
        <v>4304756484</v>
      </c>
      <c r="O3196" s="564" t="s">
        <v>3915</v>
      </c>
      <c r="P3196" s="564" t="s">
        <v>3925</v>
      </c>
      <c r="Q3196" s="564"/>
      <c r="R3196" s="564">
        <v>2</v>
      </c>
    </row>
    <row r="3197" spans="1:18" x14ac:dyDescent="0.25">
      <c r="A3197" s="564">
        <v>31</v>
      </c>
      <c r="B3197" s="564">
        <v>3</v>
      </c>
      <c r="C3197" s="564">
        <v>2</v>
      </c>
      <c r="D3197" s="564">
        <v>2</v>
      </c>
      <c r="E3197" s="564">
        <v>1</v>
      </c>
      <c r="F3197" s="564">
        <v>2</v>
      </c>
      <c r="G3197" s="564" t="s">
        <v>479</v>
      </c>
      <c r="H3197" s="564">
        <v>1317.26</v>
      </c>
      <c r="I3197" s="564">
        <v>89</v>
      </c>
      <c r="J3197" s="564">
        <v>1</v>
      </c>
      <c r="K3197" s="564">
        <v>1</v>
      </c>
      <c r="L3197" s="564">
        <v>1</v>
      </c>
      <c r="M3197" s="561" t="s">
        <v>137</v>
      </c>
      <c r="N3197" s="651">
        <v>4304756484</v>
      </c>
      <c r="O3197" s="564" t="s">
        <v>3915</v>
      </c>
      <c r="P3197" s="564" t="s">
        <v>3926</v>
      </c>
      <c r="Q3197" s="564"/>
      <c r="R3197" s="564">
        <v>2</v>
      </c>
    </row>
    <row r="3198" spans="1:18" x14ac:dyDescent="0.25">
      <c r="A3198" s="564">
        <v>31</v>
      </c>
      <c r="B3198" s="564">
        <v>3</v>
      </c>
      <c r="C3198" s="564">
        <v>2</v>
      </c>
      <c r="D3198" s="564">
        <v>2</v>
      </c>
      <c r="E3198" s="564">
        <v>1</v>
      </c>
      <c r="F3198" s="564">
        <v>2</v>
      </c>
      <c r="G3198" s="564" t="s">
        <v>485</v>
      </c>
      <c r="H3198" s="564">
        <v>1324.49</v>
      </c>
      <c r="I3198" s="564">
        <v>89</v>
      </c>
      <c r="J3198" s="564">
        <v>41</v>
      </c>
      <c r="K3198" s="564">
        <v>33</v>
      </c>
      <c r="L3198" s="564">
        <v>4</v>
      </c>
      <c r="M3198" s="561" t="s">
        <v>137</v>
      </c>
      <c r="N3198" s="651">
        <v>4304756484</v>
      </c>
      <c r="O3198" s="564" t="s">
        <v>3915</v>
      </c>
      <c r="P3198" s="564" t="s">
        <v>3927</v>
      </c>
      <c r="Q3198" s="564"/>
      <c r="R3198" s="564">
        <v>2</v>
      </c>
    </row>
    <row r="3199" spans="1:18" x14ac:dyDescent="0.25">
      <c r="A3199" s="564">
        <v>31</v>
      </c>
      <c r="B3199" s="564">
        <v>3</v>
      </c>
      <c r="C3199" s="564">
        <v>2</v>
      </c>
      <c r="D3199" s="564">
        <v>2</v>
      </c>
      <c r="E3199" s="564">
        <v>1</v>
      </c>
      <c r="F3199" s="564">
        <v>2</v>
      </c>
      <c r="G3199" s="564" t="s">
        <v>487</v>
      </c>
      <c r="H3199" s="564">
        <v>1336.58</v>
      </c>
      <c r="I3199" s="564">
        <v>89</v>
      </c>
      <c r="J3199" s="564">
        <v>23</v>
      </c>
      <c r="K3199" s="564">
        <v>20</v>
      </c>
      <c r="L3199" s="564">
        <v>1</v>
      </c>
      <c r="M3199" s="561" t="s">
        <v>137</v>
      </c>
      <c r="N3199" s="651">
        <v>4304756484</v>
      </c>
      <c r="O3199" s="564" t="s">
        <v>3915</v>
      </c>
      <c r="P3199" s="564" t="s">
        <v>3928</v>
      </c>
      <c r="Q3199" s="564"/>
      <c r="R3199" s="564">
        <v>2</v>
      </c>
    </row>
    <row r="3200" spans="1:18" x14ac:dyDescent="0.25">
      <c r="A3200" s="564">
        <v>31</v>
      </c>
      <c r="B3200" s="564">
        <v>3</v>
      </c>
      <c r="C3200" s="564">
        <v>2</v>
      </c>
      <c r="D3200" s="564">
        <v>2</v>
      </c>
      <c r="E3200" s="564">
        <v>1</v>
      </c>
      <c r="F3200" s="564">
        <v>2</v>
      </c>
      <c r="G3200" s="521" t="s">
        <v>489</v>
      </c>
      <c r="H3200" s="564">
        <v>1322.66</v>
      </c>
      <c r="I3200" s="564">
        <v>89</v>
      </c>
      <c r="J3200" s="564">
        <v>18</v>
      </c>
      <c r="K3200" s="564">
        <v>8</v>
      </c>
      <c r="L3200" s="564">
        <v>1</v>
      </c>
      <c r="M3200" s="561" t="s">
        <v>137</v>
      </c>
      <c r="N3200" s="651">
        <v>4304756484</v>
      </c>
      <c r="O3200" s="564" t="s">
        <v>3915</v>
      </c>
      <c r="P3200" s="564" t="s">
        <v>3929</v>
      </c>
      <c r="Q3200" s="564"/>
      <c r="R3200" s="564">
        <v>2</v>
      </c>
    </row>
    <row r="3201" spans="1:18" x14ac:dyDescent="0.25">
      <c r="A3201" s="564">
        <v>31</v>
      </c>
      <c r="B3201" s="564">
        <v>3</v>
      </c>
      <c r="C3201" s="564">
        <v>2</v>
      </c>
      <c r="D3201" s="564">
        <v>2</v>
      </c>
      <c r="E3201" s="564">
        <v>1</v>
      </c>
      <c r="F3201" s="564">
        <v>2</v>
      </c>
      <c r="G3201" s="564" t="s">
        <v>491</v>
      </c>
      <c r="H3201" s="564">
        <v>1323.64</v>
      </c>
      <c r="I3201" s="564">
        <v>89</v>
      </c>
      <c r="J3201" s="564">
        <v>27</v>
      </c>
      <c r="K3201" s="564">
        <v>57</v>
      </c>
      <c r="L3201" s="564">
        <v>1</v>
      </c>
      <c r="M3201" s="561" t="s">
        <v>137</v>
      </c>
      <c r="N3201" s="651">
        <v>4304756484</v>
      </c>
      <c r="O3201" s="564" t="s">
        <v>3915</v>
      </c>
      <c r="P3201" s="564" t="s">
        <v>3930</v>
      </c>
      <c r="Q3201" s="564"/>
      <c r="R3201" s="564">
        <v>2</v>
      </c>
    </row>
    <row r="3202" spans="1:18" x14ac:dyDescent="0.25">
      <c r="A3202" s="564">
        <v>31</v>
      </c>
      <c r="B3202" s="564">
        <v>3</v>
      </c>
      <c r="C3202" s="564">
        <v>2</v>
      </c>
      <c r="D3202" s="564">
        <v>2</v>
      </c>
      <c r="E3202" s="564">
        <v>1</v>
      </c>
      <c r="F3202" s="564">
        <v>2</v>
      </c>
      <c r="G3202" s="564" t="s">
        <v>494</v>
      </c>
      <c r="H3202" s="564">
        <v>1328.48</v>
      </c>
      <c r="I3202" s="564">
        <v>89</v>
      </c>
      <c r="J3202" s="564">
        <v>24</v>
      </c>
      <c r="K3202" s="564">
        <v>5</v>
      </c>
      <c r="L3202" s="564">
        <v>1</v>
      </c>
      <c r="M3202" s="561" t="s">
        <v>137</v>
      </c>
      <c r="N3202" s="651">
        <v>4304756484</v>
      </c>
      <c r="O3202" s="564" t="s">
        <v>3915</v>
      </c>
      <c r="P3202" s="564" t="s">
        <v>3931</v>
      </c>
      <c r="Q3202" s="564"/>
      <c r="R3202" s="564">
        <v>2</v>
      </c>
    </row>
    <row r="3203" spans="1:18" s="484" customFormat="1" x14ac:dyDescent="0.25">
      <c r="A3203" s="553">
        <v>32</v>
      </c>
      <c r="B3203" s="553">
        <v>11</v>
      </c>
      <c r="C3203" s="553">
        <v>2</v>
      </c>
      <c r="D3203" s="553">
        <v>24</v>
      </c>
      <c r="E3203" s="553">
        <v>1</v>
      </c>
      <c r="F3203" s="553">
        <v>1</v>
      </c>
      <c r="G3203" s="553" t="s">
        <v>473</v>
      </c>
      <c r="H3203" s="553">
        <v>1322.135</v>
      </c>
      <c r="I3203" s="553">
        <v>0</v>
      </c>
      <c r="J3203" s="553">
        <v>0</v>
      </c>
      <c r="K3203" s="553">
        <v>41</v>
      </c>
      <c r="L3203" s="553">
        <v>2</v>
      </c>
      <c r="M3203" s="505" t="s">
        <v>137</v>
      </c>
      <c r="N3203" s="500">
        <v>43047561340000</v>
      </c>
      <c r="O3203" s="553" t="s">
        <v>3932</v>
      </c>
      <c r="P3203" s="650" t="s">
        <v>3933</v>
      </c>
      <c r="Q3203" s="564"/>
      <c r="R3203" s="564">
        <v>1</v>
      </c>
    </row>
    <row r="3204" spans="1:18" s="484" customFormat="1" x14ac:dyDescent="0.25">
      <c r="A3204" s="553">
        <v>32</v>
      </c>
      <c r="B3204" s="553">
        <v>11</v>
      </c>
      <c r="C3204" s="553">
        <v>2</v>
      </c>
      <c r="D3204" s="553">
        <v>24</v>
      </c>
      <c r="E3204" s="553">
        <v>1</v>
      </c>
      <c r="F3204" s="553">
        <v>1</v>
      </c>
      <c r="G3204" s="502" t="s">
        <v>476</v>
      </c>
      <c r="H3204" s="553">
        <v>1322.135</v>
      </c>
      <c r="I3204" s="553">
        <v>0</v>
      </c>
      <c r="J3204" s="553">
        <v>0</v>
      </c>
      <c r="K3204" s="553">
        <v>41</v>
      </c>
      <c r="L3204" s="553">
        <v>2</v>
      </c>
      <c r="M3204" s="505" t="s">
        <v>137</v>
      </c>
      <c r="N3204" s="500">
        <v>43047561340000</v>
      </c>
      <c r="O3204" s="553" t="s">
        <v>3932</v>
      </c>
      <c r="P3204" s="650" t="s">
        <v>3934</v>
      </c>
      <c r="Q3204" s="564"/>
      <c r="R3204" s="564">
        <v>1</v>
      </c>
    </row>
    <row r="3205" spans="1:18" s="484" customFormat="1" x14ac:dyDescent="0.25">
      <c r="A3205" s="553">
        <v>32</v>
      </c>
      <c r="B3205" s="553">
        <v>11</v>
      </c>
      <c r="C3205" s="553">
        <v>2</v>
      </c>
      <c r="D3205" s="553">
        <v>24</v>
      </c>
      <c r="E3205" s="553">
        <v>1</v>
      </c>
      <c r="F3205" s="553">
        <v>1</v>
      </c>
      <c r="G3205" s="553" t="s">
        <v>478</v>
      </c>
      <c r="H3205" s="553">
        <v>1318.79</v>
      </c>
      <c r="I3205" s="553">
        <v>0</v>
      </c>
      <c r="J3205" s="553">
        <v>2</v>
      </c>
      <c r="K3205" s="553">
        <v>34</v>
      </c>
      <c r="L3205" s="553">
        <v>4</v>
      </c>
      <c r="M3205" s="505" t="s">
        <v>137</v>
      </c>
      <c r="N3205" s="500">
        <v>43047561340000</v>
      </c>
      <c r="O3205" s="553" t="s">
        <v>3932</v>
      </c>
      <c r="P3205" s="650" t="s">
        <v>3935</v>
      </c>
      <c r="Q3205" s="564"/>
      <c r="R3205" s="564">
        <v>1</v>
      </c>
    </row>
    <row r="3206" spans="1:18" s="484" customFormat="1" x14ac:dyDescent="0.25">
      <c r="A3206" s="553">
        <v>32</v>
      </c>
      <c r="B3206" s="553">
        <v>11</v>
      </c>
      <c r="C3206" s="553">
        <v>2</v>
      </c>
      <c r="D3206" s="553">
        <v>24</v>
      </c>
      <c r="E3206" s="553">
        <v>1</v>
      </c>
      <c r="F3206" s="553">
        <v>1</v>
      </c>
      <c r="G3206" s="553" t="s">
        <v>484</v>
      </c>
      <c r="H3206" s="553">
        <v>1318.79</v>
      </c>
      <c r="I3206" s="553">
        <v>0</v>
      </c>
      <c r="J3206" s="553">
        <v>2</v>
      </c>
      <c r="K3206" s="553">
        <v>34</v>
      </c>
      <c r="L3206" s="553">
        <v>4</v>
      </c>
      <c r="M3206" s="505" t="s">
        <v>137</v>
      </c>
      <c r="N3206" s="500">
        <v>43047561340000</v>
      </c>
      <c r="O3206" s="553" t="s">
        <v>3932</v>
      </c>
      <c r="P3206" s="650" t="s">
        <v>3936</v>
      </c>
      <c r="Q3206" s="564"/>
      <c r="R3206" s="564">
        <v>1</v>
      </c>
    </row>
    <row r="3207" spans="1:18" s="484" customFormat="1" x14ac:dyDescent="0.25">
      <c r="A3207" s="553">
        <v>32</v>
      </c>
      <c r="B3207" s="553">
        <v>11</v>
      </c>
      <c r="C3207" s="553">
        <v>2</v>
      </c>
      <c r="D3207" s="553">
        <v>24</v>
      </c>
      <c r="E3207" s="553">
        <v>1</v>
      </c>
      <c r="F3207" s="553">
        <v>1</v>
      </c>
      <c r="G3207" s="553" t="s">
        <v>486</v>
      </c>
      <c r="H3207" s="553">
        <v>1312.5</v>
      </c>
      <c r="I3207" s="553">
        <v>0</v>
      </c>
      <c r="J3207" s="553">
        <v>3</v>
      </c>
      <c r="K3207" s="553">
        <v>0</v>
      </c>
      <c r="L3207" s="553">
        <v>4</v>
      </c>
      <c r="M3207" s="505" t="s">
        <v>137</v>
      </c>
      <c r="N3207" s="500">
        <v>43047561340000</v>
      </c>
      <c r="O3207" s="553" t="s">
        <v>3932</v>
      </c>
      <c r="P3207" s="650" t="s">
        <v>3937</v>
      </c>
      <c r="Q3207" s="564"/>
      <c r="R3207" s="564">
        <v>1</v>
      </c>
    </row>
    <row r="3208" spans="1:18" s="484" customFormat="1" x14ac:dyDescent="0.25">
      <c r="A3208" s="553">
        <v>32</v>
      </c>
      <c r="B3208" s="553">
        <v>11</v>
      </c>
      <c r="C3208" s="553">
        <v>2</v>
      </c>
      <c r="D3208" s="553">
        <v>24</v>
      </c>
      <c r="E3208" s="553">
        <v>1</v>
      </c>
      <c r="F3208" s="553">
        <v>1</v>
      </c>
      <c r="G3208" s="502" t="s">
        <v>488</v>
      </c>
      <c r="H3208" s="553">
        <v>1312.5</v>
      </c>
      <c r="I3208" s="553">
        <v>0</v>
      </c>
      <c r="J3208" s="553">
        <v>3</v>
      </c>
      <c r="K3208" s="553">
        <v>0</v>
      </c>
      <c r="L3208" s="553">
        <v>4</v>
      </c>
      <c r="M3208" s="505" t="s">
        <v>137</v>
      </c>
      <c r="N3208" s="500">
        <v>43047561340000</v>
      </c>
      <c r="O3208" s="553" t="s">
        <v>3932</v>
      </c>
      <c r="P3208" s="650" t="s">
        <v>3938</v>
      </c>
      <c r="Q3208" s="564"/>
      <c r="R3208" s="564">
        <v>1</v>
      </c>
    </row>
    <row r="3209" spans="1:18" s="484" customFormat="1" x14ac:dyDescent="0.25">
      <c r="A3209" s="553">
        <v>32</v>
      </c>
      <c r="B3209" s="553">
        <v>11</v>
      </c>
      <c r="C3209" s="553">
        <v>2</v>
      </c>
      <c r="D3209" s="553">
        <v>24</v>
      </c>
      <c r="E3209" s="553">
        <v>1</v>
      </c>
      <c r="F3209" s="553">
        <v>1</v>
      </c>
      <c r="G3209" s="553" t="s">
        <v>490</v>
      </c>
      <c r="H3209" s="553">
        <v>1312.5</v>
      </c>
      <c r="I3209" s="553">
        <v>0</v>
      </c>
      <c r="J3209" s="553">
        <v>3</v>
      </c>
      <c r="K3209" s="553">
        <v>0</v>
      </c>
      <c r="L3209" s="553">
        <v>4</v>
      </c>
      <c r="M3209" s="505" t="s">
        <v>137</v>
      </c>
      <c r="N3209" s="500">
        <v>43047561340000</v>
      </c>
      <c r="O3209" s="553" t="s">
        <v>3932</v>
      </c>
      <c r="P3209" s="650" t="s">
        <v>3939</v>
      </c>
      <c r="Q3209" s="564"/>
      <c r="R3209" s="564">
        <v>1</v>
      </c>
    </row>
    <row r="3210" spans="1:18" s="484" customFormat="1" x14ac:dyDescent="0.25">
      <c r="A3210" s="553">
        <v>32</v>
      </c>
      <c r="B3210" s="553">
        <v>11</v>
      </c>
      <c r="C3210" s="553">
        <v>2</v>
      </c>
      <c r="D3210" s="553">
        <v>24</v>
      </c>
      <c r="E3210" s="553">
        <v>1</v>
      </c>
      <c r="F3210" s="553">
        <v>1</v>
      </c>
      <c r="G3210" s="553" t="s">
        <v>493</v>
      </c>
      <c r="H3210" s="553">
        <v>1312.5</v>
      </c>
      <c r="I3210" s="553">
        <v>0</v>
      </c>
      <c r="J3210" s="553">
        <v>3</v>
      </c>
      <c r="K3210" s="553">
        <v>0</v>
      </c>
      <c r="L3210" s="553">
        <v>4</v>
      </c>
      <c r="M3210" s="505" t="s">
        <v>137</v>
      </c>
      <c r="N3210" s="500">
        <v>43047561340000</v>
      </c>
      <c r="O3210" s="553" t="s">
        <v>3932</v>
      </c>
      <c r="P3210" s="650" t="s">
        <v>3940</v>
      </c>
      <c r="Q3210" s="564"/>
      <c r="R3210" s="564">
        <v>1</v>
      </c>
    </row>
    <row r="3211" spans="1:18" s="484" customFormat="1" x14ac:dyDescent="0.25">
      <c r="A3211" s="553">
        <v>32</v>
      </c>
      <c r="B3211" s="553">
        <v>11</v>
      </c>
      <c r="C3211" s="553">
        <v>2</v>
      </c>
      <c r="D3211" s="553">
        <v>24</v>
      </c>
      <c r="E3211" s="553">
        <v>1</v>
      </c>
      <c r="F3211" s="553">
        <v>1</v>
      </c>
      <c r="G3211" s="553" t="s">
        <v>474</v>
      </c>
      <c r="H3211" s="553">
        <v>1320.88</v>
      </c>
      <c r="I3211" s="553">
        <v>89</v>
      </c>
      <c r="J3211" s="553">
        <v>54</v>
      </c>
      <c r="K3211" s="553">
        <v>49</v>
      </c>
      <c r="L3211" s="553">
        <v>4</v>
      </c>
      <c r="M3211" s="505" t="s">
        <v>137</v>
      </c>
      <c r="N3211" s="500">
        <v>43047561340000</v>
      </c>
      <c r="O3211" s="553" t="s">
        <v>3932</v>
      </c>
      <c r="P3211" s="650" t="s">
        <v>3941</v>
      </c>
      <c r="Q3211" s="564"/>
      <c r="R3211" s="564">
        <v>1</v>
      </c>
    </row>
    <row r="3212" spans="1:18" s="484" customFormat="1" x14ac:dyDescent="0.25">
      <c r="A3212" s="553">
        <v>32</v>
      </c>
      <c r="B3212" s="553">
        <v>11</v>
      </c>
      <c r="C3212" s="553">
        <v>2</v>
      </c>
      <c r="D3212" s="553">
        <v>24</v>
      </c>
      <c r="E3212" s="553">
        <v>1</v>
      </c>
      <c r="F3212" s="553">
        <v>1</v>
      </c>
      <c r="G3212" s="502" t="s">
        <v>477</v>
      </c>
      <c r="H3212" s="553">
        <v>1320.88</v>
      </c>
      <c r="I3212" s="553">
        <v>89</v>
      </c>
      <c r="J3212" s="553">
        <v>54</v>
      </c>
      <c r="K3212" s="553">
        <v>49</v>
      </c>
      <c r="L3212" s="553">
        <v>4</v>
      </c>
      <c r="M3212" s="505" t="s">
        <v>137</v>
      </c>
      <c r="N3212" s="500">
        <v>43047561340000</v>
      </c>
      <c r="O3212" s="553" t="s">
        <v>3932</v>
      </c>
      <c r="P3212" s="650" t="s">
        <v>3942</v>
      </c>
      <c r="Q3212" s="564"/>
      <c r="R3212" s="564">
        <v>1</v>
      </c>
    </row>
    <row r="3213" spans="1:18" s="484" customFormat="1" x14ac:dyDescent="0.25">
      <c r="A3213" s="553">
        <v>32</v>
      </c>
      <c r="B3213" s="553">
        <v>11</v>
      </c>
      <c r="C3213" s="553">
        <v>2</v>
      </c>
      <c r="D3213" s="553">
        <v>24</v>
      </c>
      <c r="E3213" s="553">
        <v>1</v>
      </c>
      <c r="F3213" s="553">
        <v>1</v>
      </c>
      <c r="G3213" s="553" t="s">
        <v>479</v>
      </c>
      <c r="H3213" s="553">
        <v>1320.02</v>
      </c>
      <c r="I3213" s="553">
        <v>89</v>
      </c>
      <c r="J3213" s="553">
        <v>57</v>
      </c>
      <c r="K3213" s="553">
        <v>0</v>
      </c>
      <c r="L3213" s="553">
        <v>4</v>
      </c>
      <c r="M3213" s="505" t="s">
        <v>137</v>
      </c>
      <c r="N3213" s="500">
        <v>43047561340000</v>
      </c>
      <c r="O3213" s="553" t="s">
        <v>3932</v>
      </c>
      <c r="P3213" s="650" t="s">
        <v>3943</v>
      </c>
      <c r="Q3213" s="564"/>
      <c r="R3213" s="564">
        <v>1</v>
      </c>
    </row>
    <row r="3214" spans="1:18" s="484" customFormat="1" x14ac:dyDescent="0.25">
      <c r="A3214" s="553">
        <v>32</v>
      </c>
      <c r="B3214" s="553">
        <v>11</v>
      </c>
      <c r="C3214" s="553">
        <v>2</v>
      </c>
      <c r="D3214" s="553">
        <v>24</v>
      </c>
      <c r="E3214" s="553">
        <v>1</v>
      </c>
      <c r="F3214" s="553">
        <v>1</v>
      </c>
      <c r="G3214" s="553" t="s">
        <v>485</v>
      </c>
      <c r="H3214" s="553">
        <v>1320.02</v>
      </c>
      <c r="I3214" s="553">
        <v>89</v>
      </c>
      <c r="J3214" s="553">
        <v>57</v>
      </c>
      <c r="K3214" s="553">
        <v>0</v>
      </c>
      <c r="L3214" s="553">
        <v>4</v>
      </c>
      <c r="M3214" s="505" t="s">
        <v>137</v>
      </c>
      <c r="N3214" s="500">
        <v>43047561340000</v>
      </c>
      <c r="O3214" s="553" t="s">
        <v>3932</v>
      </c>
      <c r="P3214" s="650" t="s">
        <v>3944</v>
      </c>
      <c r="Q3214" s="564"/>
      <c r="R3214" s="564">
        <v>1</v>
      </c>
    </row>
    <row r="3215" spans="1:18" s="484" customFormat="1" x14ac:dyDescent="0.25">
      <c r="A3215" s="553">
        <v>32</v>
      </c>
      <c r="B3215" s="553">
        <v>11</v>
      </c>
      <c r="C3215" s="553">
        <v>2</v>
      </c>
      <c r="D3215" s="553">
        <v>24</v>
      </c>
      <c r="E3215" s="553">
        <v>1</v>
      </c>
      <c r="F3215" s="553">
        <v>1</v>
      </c>
      <c r="G3215" s="553" t="s">
        <v>487</v>
      </c>
      <c r="H3215" s="553">
        <v>1319.58</v>
      </c>
      <c r="I3215" s="553">
        <v>89</v>
      </c>
      <c r="J3215" s="553">
        <v>53</v>
      </c>
      <c r="K3215" s="553">
        <v>27</v>
      </c>
      <c r="L3215" s="553">
        <v>2</v>
      </c>
      <c r="M3215" s="505" t="s">
        <v>137</v>
      </c>
      <c r="N3215" s="500">
        <v>43047561340000</v>
      </c>
      <c r="O3215" s="553" t="s">
        <v>3932</v>
      </c>
      <c r="P3215" s="650" t="s">
        <v>3945</v>
      </c>
      <c r="Q3215" s="564"/>
      <c r="R3215" s="564">
        <v>1</v>
      </c>
    </row>
    <row r="3216" spans="1:18" s="484" customFormat="1" x14ac:dyDescent="0.25">
      <c r="A3216" s="553">
        <v>32</v>
      </c>
      <c r="B3216" s="553">
        <v>11</v>
      </c>
      <c r="C3216" s="553">
        <v>2</v>
      </c>
      <c r="D3216" s="553">
        <v>24</v>
      </c>
      <c r="E3216" s="553">
        <v>1</v>
      </c>
      <c r="F3216" s="553">
        <v>1</v>
      </c>
      <c r="G3216" s="502" t="s">
        <v>489</v>
      </c>
      <c r="H3216" s="553">
        <v>1319.58</v>
      </c>
      <c r="I3216" s="553">
        <v>89</v>
      </c>
      <c r="J3216" s="553">
        <v>53</v>
      </c>
      <c r="K3216" s="553">
        <v>27</v>
      </c>
      <c r="L3216" s="553">
        <v>2</v>
      </c>
      <c r="M3216" s="554" t="s">
        <v>137</v>
      </c>
      <c r="N3216" s="500">
        <v>43047561340000</v>
      </c>
      <c r="O3216" s="553" t="s">
        <v>3932</v>
      </c>
      <c r="P3216" s="650" t="s">
        <v>3946</v>
      </c>
      <c r="Q3216" s="564"/>
      <c r="R3216" s="564">
        <v>1</v>
      </c>
    </row>
    <row r="3217" spans="1:18" s="484" customFormat="1" x14ac:dyDescent="0.25">
      <c r="A3217" s="553">
        <v>32</v>
      </c>
      <c r="B3217" s="553">
        <v>11</v>
      </c>
      <c r="C3217" s="553">
        <v>2</v>
      </c>
      <c r="D3217" s="553">
        <v>24</v>
      </c>
      <c r="E3217" s="553">
        <v>1</v>
      </c>
      <c r="F3217" s="553">
        <v>1</v>
      </c>
      <c r="G3217" s="553" t="s">
        <v>491</v>
      </c>
      <c r="H3217" s="553">
        <v>1320</v>
      </c>
      <c r="I3217" s="553">
        <v>89</v>
      </c>
      <c r="J3217" s="553">
        <v>59</v>
      </c>
      <c r="K3217" s="553">
        <v>0</v>
      </c>
      <c r="L3217" s="553">
        <v>2</v>
      </c>
      <c r="M3217" s="554" t="s">
        <v>137</v>
      </c>
      <c r="N3217" s="500">
        <v>43047561340000</v>
      </c>
      <c r="O3217" s="553" t="s">
        <v>3932</v>
      </c>
      <c r="P3217" s="650" t="s">
        <v>3947</v>
      </c>
      <c r="Q3217" s="564"/>
      <c r="R3217" s="564">
        <v>1</v>
      </c>
    </row>
    <row r="3218" spans="1:18" s="484" customFormat="1" x14ac:dyDescent="0.25">
      <c r="A3218" s="553">
        <v>32</v>
      </c>
      <c r="B3218" s="553">
        <v>11</v>
      </c>
      <c r="C3218" s="553">
        <v>2</v>
      </c>
      <c r="D3218" s="553">
        <v>24</v>
      </c>
      <c r="E3218" s="553">
        <v>1</v>
      </c>
      <c r="F3218" s="553">
        <v>1</v>
      </c>
      <c r="G3218" s="553" t="s">
        <v>494</v>
      </c>
      <c r="H3218" s="553">
        <v>1320</v>
      </c>
      <c r="I3218" s="553">
        <v>89</v>
      </c>
      <c r="J3218" s="553">
        <v>59</v>
      </c>
      <c r="K3218" s="553">
        <v>0</v>
      </c>
      <c r="L3218" s="553">
        <v>2</v>
      </c>
      <c r="M3218" s="554" t="s">
        <v>137</v>
      </c>
      <c r="N3218" s="500">
        <v>43047561340000</v>
      </c>
      <c r="O3218" s="553" t="s">
        <v>3932</v>
      </c>
      <c r="P3218" s="650" t="s">
        <v>3948</v>
      </c>
      <c r="Q3218" s="564"/>
      <c r="R3218" s="564">
        <v>1</v>
      </c>
    </row>
    <row r="3219" spans="1:18" x14ac:dyDescent="0.25">
      <c r="A3219" s="553">
        <v>32</v>
      </c>
      <c r="B3219" s="553">
        <v>7</v>
      </c>
      <c r="C3219" s="553">
        <v>2</v>
      </c>
      <c r="D3219" s="553">
        <v>20</v>
      </c>
      <c r="E3219" s="553">
        <v>1</v>
      </c>
      <c r="F3219" s="553">
        <v>1</v>
      </c>
      <c r="G3219" s="553" t="s">
        <v>473</v>
      </c>
      <c r="H3219" s="553">
        <v>1362.87</v>
      </c>
      <c r="I3219" s="553">
        <v>0</v>
      </c>
      <c r="J3219" s="553">
        <v>41</v>
      </c>
      <c r="K3219" s="553">
        <v>39</v>
      </c>
      <c r="L3219" s="553">
        <v>4</v>
      </c>
      <c r="M3219" s="554" t="s">
        <v>137</v>
      </c>
      <c r="N3219" s="500">
        <v>43047559740000</v>
      </c>
      <c r="O3219" s="553" t="s">
        <v>3949</v>
      </c>
      <c r="P3219" s="650" t="s">
        <v>3950</v>
      </c>
      <c r="Q3219" s="564"/>
      <c r="R3219" s="564">
        <v>2</v>
      </c>
    </row>
    <row r="3220" spans="1:18" x14ac:dyDescent="0.25">
      <c r="A3220" s="553">
        <v>32</v>
      </c>
      <c r="B3220" s="553">
        <v>7</v>
      </c>
      <c r="C3220" s="553">
        <v>2</v>
      </c>
      <c r="D3220" s="553">
        <v>20</v>
      </c>
      <c r="E3220" s="553">
        <v>1</v>
      </c>
      <c r="F3220" s="553">
        <v>1</v>
      </c>
      <c r="G3220" s="502" t="s">
        <v>476</v>
      </c>
      <c r="H3220" s="553">
        <v>1350.46</v>
      </c>
      <c r="I3220" s="553">
        <v>0</v>
      </c>
      <c r="J3220" s="553">
        <v>48</v>
      </c>
      <c r="K3220" s="553">
        <v>1</v>
      </c>
      <c r="L3220" s="553">
        <v>4</v>
      </c>
      <c r="M3220" s="554" t="s">
        <v>137</v>
      </c>
      <c r="N3220" s="500">
        <v>43047559740000</v>
      </c>
      <c r="O3220" s="553" t="s">
        <v>3949</v>
      </c>
      <c r="P3220" s="650" t="s">
        <v>3951</v>
      </c>
      <c r="Q3220" s="564"/>
      <c r="R3220" s="564">
        <v>2</v>
      </c>
    </row>
    <row r="3221" spans="1:18" x14ac:dyDescent="0.25">
      <c r="A3221" s="553">
        <v>32</v>
      </c>
      <c r="B3221" s="553">
        <v>7</v>
      </c>
      <c r="C3221" s="553">
        <v>2</v>
      </c>
      <c r="D3221" s="553">
        <v>20</v>
      </c>
      <c r="E3221" s="553">
        <v>1</v>
      </c>
      <c r="F3221" s="553">
        <v>1</v>
      </c>
      <c r="G3221" s="553" t="s">
        <v>478</v>
      </c>
      <c r="H3221" s="553">
        <v>1382.15</v>
      </c>
      <c r="I3221" s="553">
        <v>1</v>
      </c>
      <c r="J3221" s="553">
        <v>40</v>
      </c>
      <c r="K3221" s="553">
        <v>8</v>
      </c>
      <c r="L3221" s="553">
        <v>4</v>
      </c>
      <c r="M3221" s="554" t="s">
        <v>137</v>
      </c>
      <c r="N3221" s="500">
        <v>43047559740000</v>
      </c>
      <c r="O3221" s="553" t="s">
        <v>3949</v>
      </c>
      <c r="P3221" s="650" t="s">
        <v>3952</v>
      </c>
      <c r="Q3221" s="564"/>
      <c r="R3221" s="564">
        <v>2</v>
      </c>
    </row>
    <row r="3222" spans="1:18" x14ac:dyDescent="0.25">
      <c r="A3222" s="553">
        <v>32</v>
      </c>
      <c r="B3222" s="553">
        <v>7</v>
      </c>
      <c r="C3222" s="553">
        <v>2</v>
      </c>
      <c r="D3222" s="553">
        <v>20</v>
      </c>
      <c r="E3222" s="553">
        <v>1</v>
      </c>
      <c r="F3222" s="553">
        <v>1</v>
      </c>
      <c r="G3222" s="553" t="s">
        <v>484</v>
      </c>
      <c r="H3222" s="553">
        <v>1382.15</v>
      </c>
      <c r="I3222" s="553">
        <v>1</v>
      </c>
      <c r="J3222" s="553">
        <v>40</v>
      </c>
      <c r="K3222" s="553">
        <v>8</v>
      </c>
      <c r="L3222" s="553">
        <v>4</v>
      </c>
      <c r="M3222" s="554" t="s">
        <v>137</v>
      </c>
      <c r="N3222" s="500">
        <v>43047559740000</v>
      </c>
      <c r="O3222" s="553" t="s">
        <v>3949</v>
      </c>
      <c r="P3222" s="650" t="s">
        <v>3953</v>
      </c>
      <c r="Q3222" s="564"/>
      <c r="R3222" s="564">
        <v>2</v>
      </c>
    </row>
    <row r="3223" spans="1:18" x14ac:dyDescent="0.25">
      <c r="A3223" s="553">
        <v>32</v>
      </c>
      <c r="B3223" s="553">
        <v>7</v>
      </c>
      <c r="C3223" s="553">
        <v>2</v>
      </c>
      <c r="D3223" s="553">
        <v>20</v>
      </c>
      <c r="E3223" s="553">
        <v>1</v>
      </c>
      <c r="F3223" s="553">
        <v>1</v>
      </c>
      <c r="G3223" s="553" t="s">
        <v>486</v>
      </c>
      <c r="H3223" s="553">
        <v>1372.15</v>
      </c>
      <c r="I3223" s="553">
        <v>0</v>
      </c>
      <c r="J3223" s="553">
        <v>41</v>
      </c>
      <c r="K3223" s="553">
        <v>37</v>
      </c>
      <c r="L3223" s="553">
        <v>1</v>
      </c>
      <c r="M3223" s="554" t="s">
        <v>137</v>
      </c>
      <c r="N3223" s="500">
        <v>43047559740000</v>
      </c>
      <c r="O3223" s="553" t="s">
        <v>3949</v>
      </c>
      <c r="P3223" s="650" t="s">
        <v>3954</v>
      </c>
      <c r="Q3223" s="564"/>
      <c r="R3223" s="564">
        <v>2</v>
      </c>
    </row>
    <row r="3224" spans="1:18" x14ac:dyDescent="0.25">
      <c r="A3224" s="553">
        <v>32</v>
      </c>
      <c r="B3224" s="553">
        <v>7</v>
      </c>
      <c r="C3224" s="553">
        <v>2</v>
      </c>
      <c r="D3224" s="553">
        <v>20</v>
      </c>
      <c r="E3224" s="553">
        <v>1</v>
      </c>
      <c r="F3224" s="553">
        <v>1</v>
      </c>
      <c r="G3224" s="502" t="s">
        <v>488</v>
      </c>
      <c r="H3224" s="553">
        <v>1372.19</v>
      </c>
      <c r="I3224" s="553">
        <v>0</v>
      </c>
      <c r="J3224" s="553">
        <v>42</v>
      </c>
      <c r="K3224" s="553">
        <v>55</v>
      </c>
      <c r="L3224" s="553">
        <v>4</v>
      </c>
      <c r="M3224" s="554" t="s">
        <v>137</v>
      </c>
      <c r="N3224" s="500">
        <v>43047559740000</v>
      </c>
      <c r="O3224" s="553" t="s">
        <v>3949</v>
      </c>
      <c r="P3224" s="650" t="s">
        <v>3955</v>
      </c>
      <c r="Q3224" s="564"/>
      <c r="R3224" s="564">
        <v>2</v>
      </c>
    </row>
    <row r="3225" spans="1:18" x14ac:dyDescent="0.25">
      <c r="A3225" s="553">
        <v>32</v>
      </c>
      <c r="B3225" s="553">
        <v>7</v>
      </c>
      <c r="C3225" s="553">
        <v>2</v>
      </c>
      <c r="D3225" s="553">
        <v>20</v>
      </c>
      <c r="E3225" s="553">
        <v>1</v>
      </c>
      <c r="F3225" s="553">
        <v>1</v>
      </c>
      <c r="G3225" s="553" t="s">
        <v>490</v>
      </c>
      <c r="H3225" s="553">
        <v>1371.5550000000001</v>
      </c>
      <c r="I3225" s="553">
        <v>0</v>
      </c>
      <c r="J3225" s="553">
        <v>45</v>
      </c>
      <c r="K3225" s="553">
        <v>58</v>
      </c>
      <c r="L3225" s="553">
        <v>4</v>
      </c>
      <c r="M3225" s="554" t="s">
        <v>137</v>
      </c>
      <c r="N3225" s="500">
        <v>43047559740000</v>
      </c>
      <c r="O3225" s="553" t="s">
        <v>3949</v>
      </c>
      <c r="P3225" s="650" t="s">
        <v>3956</v>
      </c>
      <c r="Q3225" s="564"/>
      <c r="R3225" s="564">
        <v>2</v>
      </c>
    </row>
    <row r="3226" spans="1:18" x14ac:dyDescent="0.25">
      <c r="A3226" s="553">
        <v>32</v>
      </c>
      <c r="B3226" s="553">
        <v>7</v>
      </c>
      <c r="C3226" s="553">
        <v>2</v>
      </c>
      <c r="D3226" s="553">
        <v>20</v>
      </c>
      <c r="E3226" s="553">
        <v>1</v>
      </c>
      <c r="F3226" s="553">
        <v>1</v>
      </c>
      <c r="G3226" s="553" t="s">
        <v>493</v>
      </c>
      <c r="H3226" s="553">
        <v>1371.5550000000001</v>
      </c>
      <c r="I3226" s="553">
        <v>0</v>
      </c>
      <c r="J3226" s="553">
        <v>45</v>
      </c>
      <c r="K3226" s="553">
        <v>58</v>
      </c>
      <c r="L3226" s="553">
        <v>4</v>
      </c>
      <c r="M3226" s="554" t="s">
        <v>137</v>
      </c>
      <c r="N3226" s="500">
        <v>43047559740000</v>
      </c>
      <c r="O3226" s="553" t="s">
        <v>3949</v>
      </c>
      <c r="P3226" s="650" t="s">
        <v>3957</v>
      </c>
      <c r="Q3226" s="564"/>
      <c r="R3226" s="564">
        <v>2</v>
      </c>
    </row>
    <row r="3227" spans="1:18" x14ac:dyDescent="0.25">
      <c r="A3227" s="553">
        <v>32</v>
      </c>
      <c r="B3227" s="553">
        <v>7</v>
      </c>
      <c r="C3227" s="553">
        <v>2</v>
      </c>
      <c r="D3227" s="553">
        <v>20</v>
      </c>
      <c r="E3227" s="553">
        <v>1</v>
      </c>
      <c r="F3227" s="553">
        <v>1</v>
      </c>
      <c r="G3227" s="553" t="s">
        <v>474</v>
      </c>
      <c r="H3227" s="553">
        <v>1358.49</v>
      </c>
      <c r="I3227" s="553">
        <v>89</v>
      </c>
      <c r="J3227" s="553">
        <v>22</v>
      </c>
      <c r="K3227" s="553">
        <v>52</v>
      </c>
      <c r="L3227" s="553">
        <v>2</v>
      </c>
      <c r="M3227" s="554" t="s">
        <v>137</v>
      </c>
      <c r="N3227" s="500">
        <v>43047559740000</v>
      </c>
      <c r="O3227" s="553" t="s">
        <v>3949</v>
      </c>
      <c r="P3227" s="650" t="s">
        <v>3958</v>
      </c>
      <c r="Q3227" s="564"/>
      <c r="R3227" s="564">
        <v>2</v>
      </c>
    </row>
    <row r="3228" spans="1:18" x14ac:dyDescent="0.25">
      <c r="A3228" s="553">
        <v>32</v>
      </c>
      <c r="B3228" s="553">
        <v>7</v>
      </c>
      <c r="C3228" s="553">
        <v>2</v>
      </c>
      <c r="D3228" s="553">
        <v>20</v>
      </c>
      <c r="E3228" s="553">
        <v>1</v>
      </c>
      <c r="F3228" s="553">
        <v>1</v>
      </c>
      <c r="G3228" s="502" t="s">
        <v>477</v>
      </c>
      <c r="H3228" s="553">
        <v>1325.62</v>
      </c>
      <c r="I3228" s="553">
        <v>89</v>
      </c>
      <c r="J3228" s="553">
        <v>25</v>
      </c>
      <c r="K3228" s="553">
        <v>48</v>
      </c>
      <c r="L3228" s="553">
        <v>2</v>
      </c>
      <c r="M3228" s="554" t="s">
        <v>137</v>
      </c>
      <c r="N3228" s="500">
        <v>43047559740000</v>
      </c>
      <c r="O3228" s="553" t="s">
        <v>3949</v>
      </c>
      <c r="P3228" s="650" t="s">
        <v>3959</v>
      </c>
      <c r="Q3228" s="564"/>
      <c r="R3228" s="564">
        <v>2</v>
      </c>
    </row>
    <row r="3229" spans="1:18" x14ac:dyDescent="0.25">
      <c r="A3229" s="553">
        <v>32</v>
      </c>
      <c r="B3229" s="553">
        <v>7</v>
      </c>
      <c r="C3229" s="553">
        <v>2</v>
      </c>
      <c r="D3229" s="553">
        <v>20</v>
      </c>
      <c r="E3229" s="553">
        <v>1</v>
      </c>
      <c r="F3229" s="553">
        <v>1</v>
      </c>
      <c r="G3229" s="553" t="s">
        <v>479</v>
      </c>
      <c r="H3229" s="553">
        <v>1328.36</v>
      </c>
      <c r="I3229" s="553">
        <v>89</v>
      </c>
      <c r="J3229" s="553">
        <v>35</v>
      </c>
      <c r="K3229" s="553">
        <v>32</v>
      </c>
      <c r="L3229" s="553">
        <v>2</v>
      </c>
      <c r="M3229" s="554" t="s">
        <v>137</v>
      </c>
      <c r="N3229" s="500">
        <v>43047559740000</v>
      </c>
      <c r="O3229" s="553" t="s">
        <v>3949</v>
      </c>
      <c r="P3229" s="650" t="s">
        <v>3960</v>
      </c>
      <c r="Q3229" s="564"/>
      <c r="R3229" s="564">
        <v>2</v>
      </c>
    </row>
    <row r="3230" spans="1:18" x14ac:dyDescent="0.25">
      <c r="A3230" s="553">
        <v>32</v>
      </c>
      <c r="B3230" s="553">
        <v>7</v>
      </c>
      <c r="C3230" s="553">
        <v>2</v>
      </c>
      <c r="D3230" s="553">
        <v>20</v>
      </c>
      <c r="E3230" s="553">
        <v>1</v>
      </c>
      <c r="F3230" s="553">
        <v>1</v>
      </c>
      <c r="G3230" s="553" t="s">
        <v>485</v>
      </c>
      <c r="H3230" s="553">
        <v>1328.23</v>
      </c>
      <c r="I3230" s="553">
        <v>89</v>
      </c>
      <c r="J3230" s="553">
        <v>36</v>
      </c>
      <c r="K3230" s="553">
        <v>17</v>
      </c>
      <c r="L3230" s="553">
        <v>2</v>
      </c>
      <c r="M3230" s="554" t="s">
        <v>137</v>
      </c>
      <c r="N3230" s="500">
        <v>43047559740000</v>
      </c>
      <c r="O3230" s="553" t="s">
        <v>3949</v>
      </c>
      <c r="P3230" s="650" t="s">
        <v>3961</v>
      </c>
      <c r="Q3230" s="564"/>
      <c r="R3230" s="564">
        <v>2</v>
      </c>
    </row>
    <row r="3231" spans="1:18" x14ac:dyDescent="0.25">
      <c r="A3231" s="553">
        <v>32</v>
      </c>
      <c r="B3231" s="553">
        <v>7</v>
      </c>
      <c r="C3231" s="553">
        <v>2</v>
      </c>
      <c r="D3231" s="553">
        <v>20</v>
      </c>
      <c r="E3231" s="553">
        <v>1</v>
      </c>
      <c r="F3231" s="553">
        <v>1</v>
      </c>
      <c r="G3231" s="553" t="s">
        <v>487</v>
      </c>
      <c r="H3231" s="553">
        <v>1321.385</v>
      </c>
      <c r="I3231" s="553">
        <v>89</v>
      </c>
      <c r="J3231" s="553">
        <v>28</v>
      </c>
      <c r="K3231" s="553">
        <v>44</v>
      </c>
      <c r="L3231" s="553">
        <v>2</v>
      </c>
      <c r="M3231" s="554" t="s">
        <v>137</v>
      </c>
      <c r="N3231" s="500">
        <v>43047559740000</v>
      </c>
      <c r="O3231" s="553" t="s">
        <v>3949</v>
      </c>
      <c r="P3231" s="650" t="s">
        <v>3962</v>
      </c>
      <c r="Q3231" s="564"/>
      <c r="R3231" s="564">
        <v>2</v>
      </c>
    </row>
    <row r="3232" spans="1:18" x14ac:dyDescent="0.25">
      <c r="A3232" s="553">
        <v>32</v>
      </c>
      <c r="B3232" s="553">
        <v>7</v>
      </c>
      <c r="C3232" s="553">
        <v>2</v>
      </c>
      <c r="D3232" s="553">
        <v>20</v>
      </c>
      <c r="E3232" s="553">
        <v>1</v>
      </c>
      <c r="F3232" s="553">
        <v>1</v>
      </c>
      <c r="G3232" s="502" t="s">
        <v>489</v>
      </c>
      <c r="H3232" s="553">
        <v>1321.385</v>
      </c>
      <c r="I3232" s="553">
        <v>89</v>
      </c>
      <c r="J3232" s="553">
        <v>28</v>
      </c>
      <c r="K3232" s="553">
        <v>44</v>
      </c>
      <c r="L3232" s="553">
        <v>2</v>
      </c>
      <c r="M3232" s="505" t="s">
        <v>137</v>
      </c>
      <c r="N3232" s="500">
        <v>43047559740000</v>
      </c>
      <c r="O3232" s="553" t="s">
        <v>3949</v>
      </c>
      <c r="P3232" s="650" t="s">
        <v>3963</v>
      </c>
      <c r="Q3232" s="564"/>
      <c r="R3232" s="564">
        <v>2</v>
      </c>
    </row>
    <row r="3233" spans="1:18" x14ac:dyDescent="0.25">
      <c r="A3233" s="553">
        <v>32</v>
      </c>
      <c r="B3233" s="553">
        <v>7</v>
      </c>
      <c r="C3233" s="553">
        <v>2</v>
      </c>
      <c r="D3233" s="553">
        <v>20</v>
      </c>
      <c r="E3233" s="553">
        <v>1</v>
      </c>
      <c r="F3233" s="553">
        <v>1</v>
      </c>
      <c r="G3233" s="553" t="s">
        <v>491</v>
      </c>
      <c r="H3233" s="553">
        <v>1326.19</v>
      </c>
      <c r="I3233" s="553">
        <v>89</v>
      </c>
      <c r="J3233" s="553">
        <v>44</v>
      </c>
      <c r="K3233" s="553">
        <v>53</v>
      </c>
      <c r="L3233" s="553">
        <v>2</v>
      </c>
      <c r="M3233" s="505" t="s">
        <v>137</v>
      </c>
      <c r="N3233" s="500">
        <v>43047559740000</v>
      </c>
      <c r="O3233" s="553" t="s">
        <v>3949</v>
      </c>
      <c r="P3233" s="650" t="s">
        <v>3964</v>
      </c>
      <c r="Q3233" s="564"/>
      <c r="R3233" s="564">
        <v>2</v>
      </c>
    </row>
    <row r="3234" spans="1:18" x14ac:dyDescent="0.25">
      <c r="A3234" s="553">
        <v>32</v>
      </c>
      <c r="B3234" s="553">
        <v>7</v>
      </c>
      <c r="C3234" s="553">
        <v>2</v>
      </c>
      <c r="D3234" s="553">
        <v>20</v>
      </c>
      <c r="E3234" s="553">
        <v>1</v>
      </c>
      <c r="F3234" s="553">
        <v>1</v>
      </c>
      <c r="G3234" s="553" t="s">
        <v>494</v>
      </c>
      <c r="H3234" s="553">
        <v>1326.19</v>
      </c>
      <c r="I3234" s="553">
        <v>89</v>
      </c>
      <c r="J3234" s="553">
        <v>44</v>
      </c>
      <c r="K3234" s="553">
        <v>53</v>
      </c>
      <c r="L3234" s="553">
        <v>2</v>
      </c>
      <c r="M3234" s="505" t="s">
        <v>137</v>
      </c>
      <c r="N3234" s="500">
        <v>43047559740000</v>
      </c>
      <c r="O3234" s="553" t="s">
        <v>3949</v>
      </c>
      <c r="P3234" s="650" t="s">
        <v>3965</v>
      </c>
      <c r="Q3234" s="564"/>
      <c r="R3234" s="564">
        <v>2</v>
      </c>
    </row>
    <row r="3235" spans="1:18" x14ac:dyDescent="0.25">
      <c r="A3235" s="553">
        <v>32</v>
      </c>
      <c r="B3235" s="553">
        <v>8</v>
      </c>
      <c r="C3235" s="553">
        <v>1</v>
      </c>
      <c r="D3235" s="553">
        <v>8</v>
      </c>
      <c r="E3235" s="553">
        <v>1</v>
      </c>
      <c r="F3235" s="553">
        <v>1</v>
      </c>
      <c r="G3235" s="553" t="s">
        <v>473</v>
      </c>
      <c r="H3235" s="553">
        <v>1384</v>
      </c>
      <c r="I3235" s="553">
        <v>0</v>
      </c>
      <c r="J3235" s="553">
        <v>49</v>
      </c>
      <c r="K3235" s="553">
        <v>22</v>
      </c>
      <c r="L3235" s="553">
        <v>4</v>
      </c>
      <c r="M3235" s="505" t="s">
        <v>137</v>
      </c>
      <c r="N3235" s="500">
        <v>43033500080000</v>
      </c>
      <c r="O3235" s="553" t="s">
        <v>3966</v>
      </c>
      <c r="P3235" s="650" t="s">
        <v>3967</v>
      </c>
      <c r="Q3235" s="564"/>
      <c r="R3235" s="564">
        <v>1</v>
      </c>
    </row>
    <row r="3236" spans="1:18" x14ac:dyDescent="0.25">
      <c r="A3236" s="553">
        <v>32</v>
      </c>
      <c r="B3236" s="553">
        <v>8</v>
      </c>
      <c r="C3236" s="553">
        <v>1</v>
      </c>
      <c r="D3236" s="553">
        <v>8</v>
      </c>
      <c r="E3236" s="553">
        <v>1</v>
      </c>
      <c r="F3236" s="553">
        <v>1</v>
      </c>
      <c r="G3236" s="502" t="s">
        <v>476</v>
      </c>
      <c r="H3236" s="553">
        <v>1384</v>
      </c>
      <c r="I3236" s="553">
        <v>0</v>
      </c>
      <c r="J3236" s="553">
        <v>49</v>
      </c>
      <c r="K3236" s="553">
        <v>22</v>
      </c>
      <c r="L3236" s="553">
        <v>4</v>
      </c>
      <c r="M3236" s="505" t="s">
        <v>137</v>
      </c>
      <c r="N3236" s="500">
        <v>43033500080000</v>
      </c>
      <c r="O3236" s="553" t="s">
        <v>3966</v>
      </c>
      <c r="P3236" s="650" t="s">
        <v>3968</v>
      </c>
      <c r="Q3236" s="564"/>
      <c r="R3236" s="564">
        <v>1</v>
      </c>
    </row>
    <row r="3237" spans="1:18" x14ac:dyDescent="0.25">
      <c r="A3237" s="553">
        <v>32</v>
      </c>
      <c r="B3237" s="553">
        <v>8</v>
      </c>
      <c r="C3237" s="553">
        <v>1</v>
      </c>
      <c r="D3237" s="553">
        <v>8</v>
      </c>
      <c r="E3237" s="553">
        <v>1</v>
      </c>
      <c r="F3237" s="553">
        <v>1</v>
      </c>
      <c r="G3237" s="553" t="s">
        <v>478</v>
      </c>
      <c r="H3237" s="553">
        <v>1319.51</v>
      </c>
      <c r="I3237" s="553">
        <v>0</v>
      </c>
      <c r="J3237" s="553">
        <v>57</v>
      </c>
      <c r="K3237" s="553">
        <v>52</v>
      </c>
      <c r="L3237" s="553">
        <v>4</v>
      </c>
      <c r="M3237" s="505" t="s">
        <v>137</v>
      </c>
      <c r="N3237" s="500">
        <v>43033500080000</v>
      </c>
      <c r="O3237" s="553" t="s">
        <v>3966</v>
      </c>
      <c r="P3237" s="650" t="s">
        <v>3969</v>
      </c>
      <c r="Q3237" s="564"/>
      <c r="R3237" s="564">
        <v>1</v>
      </c>
    </row>
    <row r="3238" spans="1:18" x14ac:dyDescent="0.25">
      <c r="A3238" s="553">
        <v>32</v>
      </c>
      <c r="B3238" s="553">
        <v>8</v>
      </c>
      <c r="C3238" s="553">
        <v>1</v>
      </c>
      <c r="D3238" s="553">
        <v>8</v>
      </c>
      <c r="E3238" s="553">
        <v>1</v>
      </c>
      <c r="F3238" s="553">
        <v>1</v>
      </c>
      <c r="G3238" s="553" t="s">
        <v>484</v>
      </c>
      <c r="H3238" s="553">
        <v>1319.51</v>
      </c>
      <c r="I3238" s="553">
        <v>0</v>
      </c>
      <c r="J3238" s="553">
        <v>57</v>
      </c>
      <c r="K3238" s="553">
        <v>52</v>
      </c>
      <c r="L3238" s="553">
        <v>4</v>
      </c>
      <c r="M3238" s="505" t="s">
        <v>137</v>
      </c>
      <c r="N3238" s="500">
        <v>43033500080000</v>
      </c>
      <c r="O3238" s="553" t="s">
        <v>3966</v>
      </c>
      <c r="P3238" s="650" t="s">
        <v>3970</v>
      </c>
      <c r="Q3238" s="564"/>
      <c r="R3238" s="564">
        <v>1</v>
      </c>
    </row>
    <row r="3239" spans="1:18" x14ac:dyDescent="0.25">
      <c r="A3239" s="553">
        <v>32</v>
      </c>
      <c r="B3239" s="553">
        <v>8</v>
      </c>
      <c r="C3239" s="553">
        <v>1</v>
      </c>
      <c r="D3239" s="553">
        <v>8</v>
      </c>
      <c r="E3239" s="553">
        <v>1</v>
      </c>
      <c r="F3239" s="553">
        <v>1</v>
      </c>
      <c r="G3239" s="553" t="s">
        <v>486</v>
      </c>
      <c r="H3239" s="553">
        <v>1384</v>
      </c>
      <c r="I3239" s="553">
        <v>0</v>
      </c>
      <c r="J3239" s="553">
        <v>49</v>
      </c>
      <c r="K3239" s="553">
        <v>22</v>
      </c>
      <c r="L3239" s="553">
        <v>4</v>
      </c>
      <c r="M3239" s="505" t="s">
        <v>137</v>
      </c>
      <c r="N3239" s="500">
        <v>43033500080000</v>
      </c>
      <c r="O3239" s="553" t="s">
        <v>3966</v>
      </c>
      <c r="P3239" s="650" t="s">
        <v>3971</v>
      </c>
      <c r="Q3239" s="564"/>
      <c r="R3239" s="564">
        <v>1</v>
      </c>
    </row>
    <row r="3240" spans="1:18" x14ac:dyDescent="0.25">
      <c r="A3240" s="553">
        <v>32</v>
      </c>
      <c r="B3240" s="553">
        <v>8</v>
      </c>
      <c r="C3240" s="553">
        <v>1</v>
      </c>
      <c r="D3240" s="553">
        <v>8</v>
      </c>
      <c r="E3240" s="553">
        <v>1</v>
      </c>
      <c r="F3240" s="553">
        <v>1</v>
      </c>
      <c r="G3240" s="502" t="s">
        <v>488</v>
      </c>
      <c r="H3240" s="553">
        <v>1384</v>
      </c>
      <c r="I3240" s="553">
        <v>0</v>
      </c>
      <c r="J3240" s="553">
        <v>49</v>
      </c>
      <c r="K3240" s="553">
        <v>22</v>
      </c>
      <c r="L3240" s="553">
        <v>4</v>
      </c>
      <c r="M3240" s="505" t="s">
        <v>137</v>
      </c>
      <c r="N3240" s="500">
        <v>43033500080000</v>
      </c>
      <c r="O3240" s="553" t="s">
        <v>3966</v>
      </c>
      <c r="P3240" s="650" t="s">
        <v>3972</v>
      </c>
      <c r="Q3240" s="564"/>
      <c r="R3240" s="564">
        <v>1</v>
      </c>
    </row>
    <row r="3241" spans="1:18" x14ac:dyDescent="0.25">
      <c r="A3241" s="553">
        <v>32</v>
      </c>
      <c r="B3241" s="553">
        <v>8</v>
      </c>
      <c r="C3241" s="553">
        <v>1</v>
      </c>
      <c r="D3241" s="553">
        <v>8</v>
      </c>
      <c r="E3241" s="553">
        <v>1</v>
      </c>
      <c r="F3241" s="553">
        <v>1</v>
      </c>
      <c r="G3241" s="553" t="s">
        <v>490</v>
      </c>
      <c r="H3241" s="553">
        <v>1319.51</v>
      </c>
      <c r="I3241" s="553">
        <v>0</v>
      </c>
      <c r="J3241" s="553">
        <v>57</v>
      </c>
      <c r="K3241" s="553">
        <v>52</v>
      </c>
      <c r="L3241" s="553">
        <v>4</v>
      </c>
      <c r="M3241" s="505" t="s">
        <v>137</v>
      </c>
      <c r="N3241" s="500">
        <v>43033500080000</v>
      </c>
      <c r="O3241" s="553" t="s">
        <v>3966</v>
      </c>
      <c r="P3241" s="650" t="s">
        <v>3973</v>
      </c>
      <c r="Q3241" s="564"/>
      <c r="R3241" s="564">
        <v>1</v>
      </c>
    </row>
    <row r="3242" spans="1:18" x14ac:dyDescent="0.25">
      <c r="A3242" s="553">
        <v>32</v>
      </c>
      <c r="B3242" s="553">
        <v>8</v>
      </c>
      <c r="C3242" s="553">
        <v>1</v>
      </c>
      <c r="D3242" s="553">
        <v>8</v>
      </c>
      <c r="E3242" s="553">
        <v>1</v>
      </c>
      <c r="F3242" s="553">
        <v>1</v>
      </c>
      <c r="G3242" s="553" t="s">
        <v>493</v>
      </c>
      <c r="H3242" s="553">
        <v>1319.51</v>
      </c>
      <c r="I3242" s="553">
        <v>0</v>
      </c>
      <c r="J3242" s="553">
        <v>57</v>
      </c>
      <c r="K3242" s="553">
        <v>52</v>
      </c>
      <c r="L3242" s="553">
        <v>4</v>
      </c>
      <c r="M3242" s="505" t="s">
        <v>137</v>
      </c>
      <c r="N3242" s="500">
        <v>43033500080000</v>
      </c>
      <c r="O3242" s="553" t="s">
        <v>3966</v>
      </c>
      <c r="P3242" s="650" t="s">
        <v>3974</v>
      </c>
      <c r="Q3242" s="564"/>
      <c r="R3242" s="564">
        <v>1</v>
      </c>
    </row>
    <row r="3243" spans="1:18" x14ac:dyDescent="0.25">
      <c r="A3243" s="553">
        <v>32</v>
      </c>
      <c r="B3243" s="553">
        <v>8</v>
      </c>
      <c r="C3243" s="553">
        <v>1</v>
      </c>
      <c r="D3243" s="553">
        <v>8</v>
      </c>
      <c r="E3243" s="553">
        <v>1</v>
      </c>
      <c r="F3243" s="553">
        <v>1</v>
      </c>
      <c r="G3243" s="553" t="s">
        <v>474</v>
      </c>
      <c r="H3243" s="553">
        <v>1321.1775</v>
      </c>
      <c r="I3243" s="553">
        <v>88</v>
      </c>
      <c r="J3243" s="553">
        <v>41</v>
      </c>
      <c r="K3243" s="553">
        <v>16</v>
      </c>
      <c r="L3243" s="553">
        <v>3</v>
      </c>
      <c r="M3243" s="505" t="s">
        <v>137</v>
      </c>
      <c r="N3243" s="500">
        <v>43033500080000</v>
      </c>
      <c r="O3243" s="553" t="s">
        <v>3966</v>
      </c>
      <c r="P3243" s="650" t="s">
        <v>3975</v>
      </c>
      <c r="Q3243" s="564"/>
      <c r="R3243" s="564">
        <v>1</v>
      </c>
    </row>
    <row r="3244" spans="1:18" x14ac:dyDescent="0.25">
      <c r="A3244" s="553">
        <v>32</v>
      </c>
      <c r="B3244" s="553">
        <v>8</v>
      </c>
      <c r="C3244" s="553">
        <v>1</v>
      </c>
      <c r="D3244" s="553">
        <v>8</v>
      </c>
      <c r="E3244" s="553">
        <v>1</v>
      </c>
      <c r="F3244" s="553">
        <v>1</v>
      </c>
      <c r="G3244" s="502" t="s">
        <v>477</v>
      </c>
      <c r="H3244" s="553">
        <v>1321.1775</v>
      </c>
      <c r="I3244" s="553">
        <v>88</v>
      </c>
      <c r="J3244" s="553">
        <v>41</v>
      </c>
      <c r="K3244" s="553">
        <v>16</v>
      </c>
      <c r="L3244" s="553">
        <v>3</v>
      </c>
      <c r="M3244" s="505" t="s">
        <v>137</v>
      </c>
      <c r="N3244" s="500">
        <v>43033500080000</v>
      </c>
      <c r="O3244" s="553" t="s">
        <v>3966</v>
      </c>
      <c r="P3244" s="650" t="s">
        <v>3976</v>
      </c>
      <c r="Q3244" s="564"/>
      <c r="R3244" s="564">
        <v>1</v>
      </c>
    </row>
    <row r="3245" spans="1:18" x14ac:dyDescent="0.25">
      <c r="A3245" s="553">
        <v>32</v>
      </c>
      <c r="B3245" s="553">
        <v>8</v>
      </c>
      <c r="C3245" s="553">
        <v>1</v>
      </c>
      <c r="D3245" s="553">
        <v>8</v>
      </c>
      <c r="E3245" s="553">
        <v>1</v>
      </c>
      <c r="F3245" s="553">
        <v>1</v>
      </c>
      <c r="G3245" s="553" t="s">
        <v>479</v>
      </c>
      <c r="H3245" s="553">
        <v>1321.1775</v>
      </c>
      <c r="I3245" s="553">
        <v>88</v>
      </c>
      <c r="J3245" s="553">
        <v>41</v>
      </c>
      <c r="K3245" s="553">
        <v>16</v>
      </c>
      <c r="L3245" s="553">
        <v>3</v>
      </c>
      <c r="M3245" s="505" t="s">
        <v>137</v>
      </c>
      <c r="N3245" s="500">
        <v>43033500080000</v>
      </c>
      <c r="O3245" s="553" t="s">
        <v>3966</v>
      </c>
      <c r="P3245" s="650" t="s">
        <v>3977</v>
      </c>
      <c r="Q3245" s="564"/>
      <c r="R3245" s="564">
        <v>1</v>
      </c>
    </row>
    <row r="3246" spans="1:18" x14ac:dyDescent="0.25">
      <c r="A3246" s="553">
        <v>32</v>
      </c>
      <c r="B3246" s="553">
        <v>8</v>
      </c>
      <c r="C3246" s="553">
        <v>1</v>
      </c>
      <c r="D3246" s="553">
        <v>8</v>
      </c>
      <c r="E3246" s="553">
        <v>1</v>
      </c>
      <c r="F3246" s="553">
        <v>1</v>
      </c>
      <c r="G3246" s="553" t="s">
        <v>485</v>
      </c>
      <c r="H3246" s="553">
        <v>1321.1775</v>
      </c>
      <c r="I3246" s="553">
        <v>88</v>
      </c>
      <c r="J3246" s="553">
        <v>41</v>
      </c>
      <c r="K3246" s="553">
        <v>16</v>
      </c>
      <c r="L3246" s="553">
        <v>3</v>
      </c>
      <c r="M3246" s="505" t="s">
        <v>137</v>
      </c>
      <c r="N3246" s="500">
        <v>43033500080000</v>
      </c>
      <c r="O3246" s="553" t="s">
        <v>3966</v>
      </c>
      <c r="P3246" s="650" t="s">
        <v>3978</v>
      </c>
      <c r="Q3246" s="564"/>
      <c r="R3246" s="564">
        <v>1</v>
      </c>
    </row>
    <row r="3247" spans="1:18" x14ac:dyDescent="0.25">
      <c r="A3247" s="553">
        <v>32</v>
      </c>
      <c r="B3247" s="553">
        <v>8</v>
      </c>
      <c r="C3247" s="553">
        <v>1</v>
      </c>
      <c r="D3247" s="553">
        <v>8</v>
      </c>
      <c r="E3247" s="553">
        <v>1</v>
      </c>
      <c r="F3247" s="553">
        <v>1</v>
      </c>
      <c r="G3247" s="553" t="s">
        <v>487</v>
      </c>
      <c r="H3247" s="553">
        <v>1316.425</v>
      </c>
      <c r="I3247" s="553">
        <v>89</v>
      </c>
      <c r="J3247" s="553">
        <v>5</v>
      </c>
      <c r="K3247" s="553">
        <v>57</v>
      </c>
      <c r="L3247" s="553">
        <v>3</v>
      </c>
      <c r="M3247" s="505" t="s">
        <v>137</v>
      </c>
      <c r="N3247" s="500">
        <v>43033500080000</v>
      </c>
      <c r="O3247" s="553" t="s">
        <v>3966</v>
      </c>
      <c r="P3247" s="650" t="s">
        <v>3979</v>
      </c>
      <c r="Q3247" s="564"/>
      <c r="R3247" s="564">
        <v>1</v>
      </c>
    </row>
    <row r="3248" spans="1:18" x14ac:dyDescent="0.25">
      <c r="A3248" s="553">
        <v>32</v>
      </c>
      <c r="B3248" s="553">
        <v>8</v>
      </c>
      <c r="C3248" s="553">
        <v>1</v>
      </c>
      <c r="D3248" s="553">
        <v>8</v>
      </c>
      <c r="E3248" s="553">
        <v>1</v>
      </c>
      <c r="F3248" s="553">
        <v>1</v>
      </c>
      <c r="G3248" s="502" t="s">
        <v>489</v>
      </c>
      <c r="H3248" s="553">
        <v>1316.425</v>
      </c>
      <c r="I3248" s="553">
        <v>89</v>
      </c>
      <c r="J3248" s="553">
        <v>5</v>
      </c>
      <c r="K3248" s="553">
        <v>57</v>
      </c>
      <c r="L3248" s="553">
        <v>3</v>
      </c>
      <c r="M3248" s="505" t="s">
        <v>137</v>
      </c>
      <c r="N3248" s="500">
        <v>43033500080000</v>
      </c>
      <c r="O3248" s="553" t="s">
        <v>3966</v>
      </c>
      <c r="P3248" s="650" t="s">
        <v>3980</v>
      </c>
      <c r="Q3248" s="564"/>
      <c r="R3248" s="564">
        <v>1</v>
      </c>
    </row>
    <row r="3249" spans="1:18" x14ac:dyDescent="0.25">
      <c r="A3249" s="553">
        <v>32</v>
      </c>
      <c r="B3249" s="553">
        <v>8</v>
      </c>
      <c r="C3249" s="553">
        <v>1</v>
      </c>
      <c r="D3249" s="553">
        <v>8</v>
      </c>
      <c r="E3249" s="553">
        <v>1</v>
      </c>
      <c r="F3249" s="553">
        <v>1</v>
      </c>
      <c r="G3249" s="553" t="s">
        <v>491</v>
      </c>
      <c r="H3249" s="553">
        <v>1320.595</v>
      </c>
      <c r="I3249" s="553">
        <v>89</v>
      </c>
      <c r="J3249" s="553">
        <v>17</v>
      </c>
      <c r="K3249" s="553">
        <v>32</v>
      </c>
      <c r="L3249" s="553">
        <v>3</v>
      </c>
      <c r="M3249" s="505" t="s">
        <v>137</v>
      </c>
      <c r="N3249" s="500">
        <v>43033500080000</v>
      </c>
      <c r="O3249" s="553" t="s">
        <v>3966</v>
      </c>
      <c r="P3249" s="650" t="s">
        <v>3981</v>
      </c>
      <c r="Q3249" s="564"/>
      <c r="R3249" s="564">
        <v>1</v>
      </c>
    </row>
    <row r="3250" spans="1:18" x14ac:dyDescent="0.25">
      <c r="A3250" s="553">
        <v>32</v>
      </c>
      <c r="B3250" s="553">
        <v>8</v>
      </c>
      <c r="C3250" s="553">
        <v>1</v>
      </c>
      <c r="D3250" s="553">
        <v>8</v>
      </c>
      <c r="E3250" s="553">
        <v>1</v>
      </c>
      <c r="F3250" s="553">
        <v>1</v>
      </c>
      <c r="G3250" s="553" t="s">
        <v>494</v>
      </c>
      <c r="H3250" s="553">
        <v>1320.595</v>
      </c>
      <c r="I3250" s="553">
        <v>89</v>
      </c>
      <c r="J3250" s="553">
        <v>17</v>
      </c>
      <c r="K3250" s="553">
        <v>32</v>
      </c>
      <c r="L3250" s="553">
        <v>3</v>
      </c>
      <c r="M3250" s="505" t="s">
        <v>137</v>
      </c>
      <c r="N3250" s="500">
        <v>43033500080000</v>
      </c>
      <c r="O3250" s="553" t="s">
        <v>3966</v>
      </c>
      <c r="P3250" s="650" t="s">
        <v>3982</v>
      </c>
      <c r="Q3250" s="564"/>
      <c r="R3250" s="564">
        <v>1</v>
      </c>
    </row>
    <row r="3251" spans="1:18" x14ac:dyDescent="0.25">
      <c r="A3251" s="553">
        <v>32</v>
      </c>
      <c r="B3251" s="553">
        <v>2</v>
      </c>
      <c r="C3251" s="553">
        <v>2</v>
      </c>
      <c r="D3251" s="553">
        <v>1</v>
      </c>
      <c r="E3251" s="553">
        <v>1</v>
      </c>
      <c r="F3251" s="553">
        <v>2</v>
      </c>
      <c r="G3251" s="553" t="s">
        <v>473</v>
      </c>
      <c r="H3251" s="553">
        <v>1319.0550000000001</v>
      </c>
      <c r="I3251" s="553">
        <v>0</v>
      </c>
      <c r="J3251" s="553">
        <v>23</v>
      </c>
      <c r="K3251" s="553">
        <v>39</v>
      </c>
      <c r="L3251" s="553">
        <v>4</v>
      </c>
      <c r="M3251" s="505" t="s">
        <v>137</v>
      </c>
      <c r="N3251" s="500">
        <v>43047556940000</v>
      </c>
      <c r="O3251" s="553" t="s">
        <v>3631</v>
      </c>
      <c r="P3251" s="650" t="s">
        <v>3983</v>
      </c>
      <c r="Q3251" s="564"/>
      <c r="R3251" s="564">
        <v>2</v>
      </c>
    </row>
    <row r="3252" spans="1:18" x14ac:dyDescent="0.25">
      <c r="A3252" s="553">
        <v>32</v>
      </c>
      <c r="B3252" s="553">
        <v>2</v>
      </c>
      <c r="C3252" s="553">
        <v>2</v>
      </c>
      <c r="D3252" s="553">
        <v>1</v>
      </c>
      <c r="E3252" s="553">
        <v>1</v>
      </c>
      <c r="F3252" s="553">
        <v>2</v>
      </c>
      <c r="G3252" s="502" t="s">
        <v>476</v>
      </c>
      <c r="H3252" s="553">
        <v>1319.0550000000001</v>
      </c>
      <c r="I3252" s="553">
        <v>0</v>
      </c>
      <c r="J3252" s="553">
        <v>23</v>
      </c>
      <c r="K3252" s="553">
        <v>39</v>
      </c>
      <c r="L3252" s="553">
        <v>4</v>
      </c>
      <c r="M3252" s="505" t="s">
        <v>137</v>
      </c>
      <c r="N3252" s="500">
        <v>43047556940000</v>
      </c>
      <c r="O3252" s="553" t="s">
        <v>3631</v>
      </c>
      <c r="P3252" s="650" t="s">
        <v>3984</v>
      </c>
      <c r="Q3252" s="564"/>
      <c r="R3252" s="564">
        <v>2</v>
      </c>
    </row>
    <row r="3253" spans="1:18" x14ac:dyDescent="0.25">
      <c r="A3253" s="553">
        <v>32</v>
      </c>
      <c r="B3253" s="553">
        <v>2</v>
      </c>
      <c r="C3253" s="553">
        <v>2</v>
      </c>
      <c r="D3253" s="553">
        <v>1</v>
      </c>
      <c r="E3253" s="553">
        <v>1</v>
      </c>
      <c r="F3253" s="553">
        <v>2</v>
      </c>
      <c r="G3253" s="553" t="s">
        <v>478</v>
      </c>
      <c r="H3253" s="553">
        <v>1320</v>
      </c>
      <c r="I3253" s="553">
        <v>0</v>
      </c>
      <c r="J3253" s="553">
        <v>7</v>
      </c>
      <c r="K3253" s="553">
        <v>0</v>
      </c>
      <c r="L3253" s="553">
        <v>4</v>
      </c>
      <c r="M3253" s="505" t="s">
        <v>137</v>
      </c>
      <c r="N3253" s="500">
        <v>43047556940000</v>
      </c>
      <c r="O3253" s="553" t="s">
        <v>3631</v>
      </c>
      <c r="P3253" s="650" t="s">
        <v>3985</v>
      </c>
      <c r="Q3253" s="564"/>
      <c r="R3253" s="564">
        <v>2</v>
      </c>
    </row>
    <row r="3254" spans="1:18" x14ac:dyDescent="0.25">
      <c r="A3254" s="553">
        <v>32</v>
      </c>
      <c r="B3254" s="553">
        <v>2</v>
      </c>
      <c r="C3254" s="553">
        <v>2</v>
      </c>
      <c r="D3254" s="553">
        <v>1</v>
      </c>
      <c r="E3254" s="553">
        <v>1</v>
      </c>
      <c r="F3254" s="553">
        <v>2</v>
      </c>
      <c r="G3254" s="553" t="s">
        <v>484</v>
      </c>
      <c r="H3254" s="553">
        <v>1320</v>
      </c>
      <c r="I3254" s="553">
        <v>0</v>
      </c>
      <c r="J3254" s="553">
        <v>7</v>
      </c>
      <c r="K3254" s="553">
        <v>0</v>
      </c>
      <c r="L3254" s="553">
        <v>4</v>
      </c>
      <c r="M3254" s="505" t="s">
        <v>137</v>
      </c>
      <c r="N3254" s="500">
        <v>43047556940000</v>
      </c>
      <c r="O3254" s="553" t="s">
        <v>3631</v>
      </c>
      <c r="P3254" s="650" t="s">
        <v>3986</v>
      </c>
      <c r="Q3254" s="564"/>
      <c r="R3254" s="564">
        <v>2</v>
      </c>
    </row>
    <row r="3255" spans="1:18" x14ac:dyDescent="0.25">
      <c r="A3255" s="553">
        <v>32</v>
      </c>
      <c r="B3255" s="553">
        <v>2</v>
      </c>
      <c r="C3255" s="553">
        <v>2</v>
      </c>
      <c r="D3255" s="553">
        <v>1</v>
      </c>
      <c r="E3255" s="553">
        <v>1</v>
      </c>
      <c r="F3255" s="553">
        <v>2</v>
      </c>
      <c r="G3255" s="553" t="s">
        <v>486</v>
      </c>
      <c r="H3255" s="553">
        <v>1321.73</v>
      </c>
      <c r="I3255" s="553">
        <v>0</v>
      </c>
      <c r="J3255" s="553">
        <v>8</v>
      </c>
      <c r="K3255" s="553">
        <v>38</v>
      </c>
      <c r="L3255" s="553">
        <v>4</v>
      </c>
      <c r="M3255" s="505" t="s">
        <v>137</v>
      </c>
      <c r="N3255" s="500">
        <v>43047556940000</v>
      </c>
      <c r="O3255" s="553" t="s">
        <v>3631</v>
      </c>
      <c r="P3255" s="650" t="s">
        <v>3987</v>
      </c>
      <c r="Q3255" s="564"/>
      <c r="R3255" s="564">
        <v>2</v>
      </c>
    </row>
    <row r="3256" spans="1:18" x14ac:dyDescent="0.25">
      <c r="A3256" s="553">
        <v>32</v>
      </c>
      <c r="B3256" s="553">
        <v>2</v>
      </c>
      <c r="C3256" s="553">
        <v>2</v>
      </c>
      <c r="D3256" s="553">
        <v>1</v>
      </c>
      <c r="E3256" s="553">
        <v>1</v>
      </c>
      <c r="F3256" s="553">
        <v>2</v>
      </c>
      <c r="G3256" s="502" t="s">
        <v>488</v>
      </c>
      <c r="H3256" s="553">
        <v>1321.75</v>
      </c>
      <c r="I3256" s="553">
        <v>0</v>
      </c>
      <c r="J3256" s="553">
        <v>6</v>
      </c>
      <c r="K3256" s="553">
        <v>20</v>
      </c>
      <c r="L3256" s="553">
        <v>3</v>
      </c>
      <c r="M3256" s="505" t="s">
        <v>137</v>
      </c>
      <c r="N3256" s="500">
        <v>43047556940000</v>
      </c>
      <c r="O3256" s="553" t="s">
        <v>3631</v>
      </c>
      <c r="P3256" s="650" t="s">
        <v>3988</v>
      </c>
      <c r="Q3256" s="564"/>
      <c r="R3256" s="564">
        <v>2</v>
      </c>
    </row>
    <row r="3257" spans="1:18" x14ac:dyDescent="0.25">
      <c r="A3257" s="553">
        <v>32</v>
      </c>
      <c r="B3257" s="553">
        <v>2</v>
      </c>
      <c r="C3257" s="553">
        <v>2</v>
      </c>
      <c r="D3257" s="553">
        <v>1</v>
      </c>
      <c r="E3257" s="553">
        <v>1</v>
      </c>
      <c r="F3257" s="553">
        <v>2</v>
      </c>
      <c r="G3257" s="553" t="s">
        <v>490</v>
      </c>
      <c r="H3257" s="553">
        <v>1316.48</v>
      </c>
      <c r="I3257" s="553">
        <v>0</v>
      </c>
      <c r="J3257" s="553">
        <v>22</v>
      </c>
      <c r="K3257" s="553">
        <v>2</v>
      </c>
      <c r="L3257" s="553">
        <v>4</v>
      </c>
      <c r="M3257" s="505" t="s">
        <v>137</v>
      </c>
      <c r="N3257" s="500">
        <v>43047556940000</v>
      </c>
      <c r="O3257" s="553" t="s">
        <v>3631</v>
      </c>
      <c r="P3257" s="650" t="s">
        <v>3989</v>
      </c>
      <c r="Q3257" s="564"/>
      <c r="R3257" s="564">
        <v>2</v>
      </c>
    </row>
    <row r="3258" spans="1:18" x14ac:dyDescent="0.25">
      <c r="A3258" s="553">
        <v>32</v>
      </c>
      <c r="B3258" s="553">
        <v>2</v>
      </c>
      <c r="C3258" s="553">
        <v>2</v>
      </c>
      <c r="D3258" s="553">
        <v>1</v>
      </c>
      <c r="E3258" s="553">
        <v>1</v>
      </c>
      <c r="F3258" s="553">
        <v>2</v>
      </c>
      <c r="G3258" s="553" t="s">
        <v>493</v>
      </c>
      <c r="H3258" s="553">
        <v>1316.48</v>
      </c>
      <c r="I3258" s="553">
        <v>0</v>
      </c>
      <c r="J3258" s="553">
        <v>22</v>
      </c>
      <c r="K3258" s="553">
        <v>2</v>
      </c>
      <c r="L3258" s="553">
        <v>4</v>
      </c>
      <c r="M3258" s="505" t="s">
        <v>137</v>
      </c>
      <c r="N3258" s="500">
        <v>43047556940000</v>
      </c>
      <c r="O3258" s="553" t="s">
        <v>3631</v>
      </c>
      <c r="P3258" s="650" t="s">
        <v>3990</v>
      </c>
      <c r="Q3258" s="564"/>
      <c r="R3258" s="564">
        <v>2</v>
      </c>
    </row>
    <row r="3259" spans="1:18" x14ac:dyDescent="0.25">
      <c r="A3259" s="553">
        <v>32</v>
      </c>
      <c r="B3259" s="553">
        <v>2</v>
      </c>
      <c r="C3259" s="553">
        <v>2</v>
      </c>
      <c r="D3259" s="553">
        <v>1</v>
      </c>
      <c r="E3259" s="553">
        <v>1</v>
      </c>
      <c r="F3259" s="553">
        <v>2</v>
      </c>
      <c r="G3259" s="553" t="s">
        <v>474</v>
      </c>
      <c r="H3259" s="553">
        <v>1320.8050000000001</v>
      </c>
      <c r="I3259" s="553">
        <v>89</v>
      </c>
      <c r="J3259" s="553">
        <v>48</v>
      </c>
      <c r="K3259" s="553">
        <v>53</v>
      </c>
      <c r="L3259" s="553">
        <v>4</v>
      </c>
      <c r="M3259" s="505" t="s">
        <v>137</v>
      </c>
      <c r="N3259" s="500">
        <v>43047556940000</v>
      </c>
      <c r="O3259" s="553" t="s">
        <v>3631</v>
      </c>
      <c r="P3259" s="650" t="s">
        <v>3991</v>
      </c>
      <c r="Q3259" s="564"/>
      <c r="R3259" s="564">
        <v>2</v>
      </c>
    </row>
    <row r="3260" spans="1:18" x14ac:dyDescent="0.25">
      <c r="A3260" s="553">
        <v>32</v>
      </c>
      <c r="B3260" s="553">
        <v>2</v>
      </c>
      <c r="C3260" s="553">
        <v>2</v>
      </c>
      <c r="D3260" s="553">
        <v>1</v>
      </c>
      <c r="E3260" s="553">
        <v>1</v>
      </c>
      <c r="F3260" s="553">
        <v>2</v>
      </c>
      <c r="G3260" s="502" t="s">
        <v>477</v>
      </c>
      <c r="H3260" s="553">
        <v>1320.8050000000001</v>
      </c>
      <c r="I3260" s="553">
        <v>89</v>
      </c>
      <c r="J3260" s="553">
        <v>48</v>
      </c>
      <c r="K3260" s="553">
        <v>53</v>
      </c>
      <c r="L3260" s="553">
        <v>4</v>
      </c>
      <c r="M3260" s="505" t="s">
        <v>137</v>
      </c>
      <c r="N3260" s="500">
        <v>43047556940000</v>
      </c>
      <c r="O3260" s="553" t="s">
        <v>3631</v>
      </c>
      <c r="P3260" s="650" t="s">
        <v>3992</v>
      </c>
      <c r="Q3260" s="564"/>
      <c r="R3260" s="564">
        <v>2</v>
      </c>
    </row>
    <row r="3261" spans="1:18" x14ac:dyDescent="0.25">
      <c r="A3261" s="553">
        <v>32</v>
      </c>
      <c r="B3261" s="553">
        <v>2</v>
      </c>
      <c r="C3261" s="553">
        <v>2</v>
      </c>
      <c r="D3261" s="553">
        <v>1</v>
      </c>
      <c r="E3261" s="553">
        <v>1</v>
      </c>
      <c r="F3261" s="553">
        <v>2</v>
      </c>
      <c r="G3261" s="553" t="s">
        <v>479</v>
      </c>
      <c r="H3261" s="553">
        <v>1320.8050000000001</v>
      </c>
      <c r="I3261" s="553">
        <v>89</v>
      </c>
      <c r="J3261" s="553">
        <v>48</v>
      </c>
      <c r="K3261" s="553">
        <v>53</v>
      </c>
      <c r="L3261" s="553">
        <v>4</v>
      </c>
      <c r="M3261" s="505" t="s">
        <v>137</v>
      </c>
      <c r="N3261" s="500">
        <v>43047556940000</v>
      </c>
      <c r="O3261" s="553" t="s">
        <v>3631</v>
      </c>
      <c r="P3261" s="650" t="s">
        <v>3993</v>
      </c>
      <c r="Q3261" s="564"/>
      <c r="R3261" s="564">
        <v>2</v>
      </c>
    </row>
    <row r="3262" spans="1:18" x14ac:dyDescent="0.25">
      <c r="A3262" s="553">
        <v>32</v>
      </c>
      <c r="B3262" s="553">
        <v>2</v>
      </c>
      <c r="C3262" s="553">
        <v>2</v>
      </c>
      <c r="D3262" s="553">
        <v>1</v>
      </c>
      <c r="E3262" s="553">
        <v>1</v>
      </c>
      <c r="F3262" s="553">
        <v>2</v>
      </c>
      <c r="G3262" s="553" t="s">
        <v>485</v>
      </c>
      <c r="H3262" s="553">
        <v>1320.8050000000001</v>
      </c>
      <c r="I3262" s="553">
        <v>89</v>
      </c>
      <c r="J3262" s="553">
        <v>48</v>
      </c>
      <c r="K3262" s="553">
        <v>53</v>
      </c>
      <c r="L3262" s="553">
        <v>4</v>
      </c>
      <c r="M3262" s="505" t="s">
        <v>137</v>
      </c>
      <c r="N3262" s="500">
        <v>43047556940000</v>
      </c>
      <c r="O3262" s="553" t="s">
        <v>3631</v>
      </c>
      <c r="P3262" s="650" t="s">
        <v>3994</v>
      </c>
      <c r="Q3262" s="564"/>
      <c r="R3262" s="564">
        <v>2</v>
      </c>
    </row>
    <row r="3263" spans="1:18" x14ac:dyDescent="0.25">
      <c r="A3263" s="553">
        <v>32</v>
      </c>
      <c r="B3263" s="553">
        <v>2</v>
      </c>
      <c r="C3263" s="553">
        <v>2</v>
      </c>
      <c r="D3263" s="553">
        <v>1</v>
      </c>
      <c r="E3263" s="553">
        <v>1</v>
      </c>
      <c r="F3263" s="553">
        <v>2</v>
      </c>
      <c r="G3263" s="553" t="s">
        <v>487</v>
      </c>
      <c r="H3263" s="553">
        <v>1318.35</v>
      </c>
      <c r="I3263" s="553">
        <v>89</v>
      </c>
      <c r="J3263" s="553">
        <v>52</v>
      </c>
      <c r="K3263" s="553">
        <v>0</v>
      </c>
      <c r="L3263" s="553">
        <v>4</v>
      </c>
      <c r="M3263" s="505" t="s">
        <v>137</v>
      </c>
      <c r="N3263" s="500">
        <v>43047556940000</v>
      </c>
      <c r="O3263" s="553" t="s">
        <v>3631</v>
      </c>
      <c r="P3263" s="650" t="s">
        <v>3995</v>
      </c>
      <c r="Q3263" s="564"/>
      <c r="R3263" s="564">
        <v>2</v>
      </c>
    </row>
    <row r="3264" spans="1:18" x14ac:dyDescent="0.25">
      <c r="A3264" s="553">
        <v>32</v>
      </c>
      <c r="B3264" s="553">
        <v>2</v>
      </c>
      <c r="C3264" s="553">
        <v>2</v>
      </c>
      <c r="D3264" s="553">
        <v>1</v>
      </c>
      <c r="E3264" s="553">
        <v>1</v>
      </c>
      <c r="F3264" s="553">
        <v>2</v>
      </c>
      <c r="G3264" s="502" t="s">
        <v>489</v>
      </c>
      <c r="H3264" s="553">
        <v>1318.35</v>
      </c>
      <c r="I3264" s="553">
        <v>89</v>
      </c>
      <c r="J3264" s="553">
        <v>52</v>
      </c>
      <c r="K3264" s="553">
        <v>0</v>
      </c>
      <c r="L3264" s="553">
        <v>4</v>
      </c>
      <c r="M3264" s="505" t="s">
        <v>137</v>
      </c>
      <c r="N3264" s="500">
        <v>43047556940000</v>
      </c>
      <c r="O3264" s="553" t="s">
        <v>3631</v>
      </c>
      <c r="P3264" s="650" t="s">
        <v>3996</v>
      </c>
      <c r="Q3264" s="564"/>
      <c r="R3264" s="564">
        <v>2</v>
      </c>
    </row>
    <row r="3265" spans="1:18" x14ac:dyDescent="0.25">
      <c r="A3265" s="553">
        <v>32</v>
      </c>
      <c r="B3265" s="553">
        <v>2</v>
      </c>
      <c r="C3265" s="553">
        <v>2</v>
      </c>
      <c r="D3265" s="553">
        <v>1</v>
      </c>
      <c r="E3265" s="553">
        <v>1</v>
      </c>
      <c r="F3265" s="553">
        <v>2</v>
      </c>
      <c r="G3265" s="553" t="s">
        <v>491</v>
      </c>
      <c r="H3265" s="553">
        <v>1323.98</v>
      </c>
      <c r="I3265" s="553">
        <v>89</v>
      </c>
      <c r="J3265" s="553">
        <v>46</v>
      </c>
      <c r="K3265" s="553">
        <v>30</v>
      </c>
      <c r="L3265" s="553">
        <v>4</v>
      </c>
      <c r="M3265" s="505" t="s">
        <v>137</v>
      </c>
      <c r="N3265" s="500">
        <v>43047556940000</v>
      </c>
      <c r="O3265" s="553" t="s">
        <v>3631</v>
      </c>
      <c r="P3265" s="650" t="s">
        <v>3997</v>
      </c>
      <c r="Q3265" s="564"/>
      <c r="R3265" s="564">
        <v>2</v>
      </c>
    </row>
    <row r="3266" spans="1:18" x14ac:dyDescent="0.25">
      <c r="A3266" s="553">
        <v>32</v>
      </c>
      <c r="B3266" s="553">
        <v>2</v>
      </c>
      <c r="C3266" s="553">
        <v>2</v>
      </c>
      <c r="D3266" s="553">
        <v>1</v>
      </c>
      <c r="E3266" s="553">
        <v>1</v>
      </c>
      <c r="F3266" s="553">
        <v>2</v>
      </c>
      <c r="G3266" s="553" t="s">
        <v>494</v>
      </c>
      <c r="H3266" s="553">
        <v>1323.98</v>
      </c>
      <c r="I3266" s="553">
        <v>89</v>
      </c>
      <c r="J3266" s="553">
        <v>46</v>
      </c>
      <c r="K3266" s="553">
        <v>30</v>
      </c>
      <c r="L3266" s="553">
        <v>4</v>
      </c>
      <c r="M3266" s="505" t="s">
        <v>137</v>
      </c>
      <c r="N3266" s="500">
        <v>43047556940000</v>
      </c>
      <c r="O3266" s="553" t="s">
        <v>3631</v>
      </c>
      <c r="P3266" s="650" t="s">
        <v>3998</v>
      </c>
      <c r="Q3266" s="564"/>
      <c r="R3266" s="564">
        <v>2</v>
      </c>
    </row>
    <row r="3267" spans="1:18" x14ac:dyDescent="0.25">
      <c r="A3267" s="553">
        <v>32</v>
      </c>
      <c r="B3267" s="553">
        <v>3</v>
      </c>
      <c r="C3267" s="553">
        <v>2</v>
      </c>
      <c r="D3267" s="553">
        <v>1</v>
      </c>
      <c r="E3267" s="553">
        <v>1</v>
      </c>
      <c r="F3267" s="553">
        <v>2</v>
      </c>
      <c r="G3267" s="553" t="s">
        <v>473</v>
      </c>
      <c r="H3267" s="553">
        <v>1328.1224999999999</v>
      </c>
      <c r="I3267" s="553">
        <v>0</v>
      </c>
      <c r="J3267" s="553">
        <v>57</v>
      </c>
      <c r="K3267" s="553">
        <v>38</v>
      </c>
      <c r="L3267" s="553">
        <v>1</v>
      </c>
      <c r="M3267" s="505" t="s">
        <v>312</v>
      </c>
      <c r="N3267" s="500">
        <v>43047560540000</v>
      </c>
      <c r="O3267" s="553" t="s">
        <v>3665</v>
      </c>
      <c r="P3267" s="650" t="s">
        <v>3999</v>
      </c>
      <c r="Q3267" s="564"/>
      <c r="R3267" s="564">
        <v>1</v>
      </c>
    </row>
    <row r="3268" spans="1:18" x14ac:dyDescent="0.25">
      <c r="A3268" s="553">
        <v>32</v>
      </c>
      <c r="B3268" s="553">
        <v>3</v>
      </c>
      <c r="C3268" s="553">
        <v>2</v>
      </c>
      <c r="D3268" s="553">
        <v>1</v>
      </c>
      <c r="E3268" s="553">
        <v>1</v>
      </c>
      <c r="F3268" s="553">
        <v>2</v>
      </c>
      <c r="G3268" s="502" t="s">
        <v>476</v>
      </c>
      <c r="H3268" s="553">
        <v>1328.1224999999999</v>
      </c>
      <c r="I3268" s="553">
        <v>0</v>
      </c>
      <c r="J3268" s="553">
        <v>57</v>
      </c>
      <c r="K3268" s="553">
        <v>38</v>
      </c>
      <c r="L3268" s="553">
        <v>1</v>
      </c>
      <c r="M3268" s="505" t="s">
        <v>312</v>
      </c>
      <c r="N3268" s="500">
        <v>43047560540000</v>
      </c>
      <c r="O3268" s="553" t="s">
        <v>3665</v>
      </c>
      <c r="P3268" s="650" t="s">
        <v>4000</v>
      </c>
      <c r="Q3268" s="564"/>
      <c r="R3268" s="564">
        <v>1</v>
      </c>
    </row>
    <row r="3269" spans="1:18" x14ac:dyDescent="0.25">
      <c r="A3269" s="553">
        <v>32</v>
      </c>
      <c r="B3269" s="553">
        <v>3</v>
      </c>
      <c r="C3269" s="553">
        <v>2</v>
      </c>
      <c r="D3269" s="553">
        <v>1</v>
      </c>
      <c r="E3269" s="553">
        <v>1</v>
      </c>
      <c r="F3269" s="553">
        <v>2</v>
      </c>
      <c r="G3269" s="553" t="s">
        <v>478</v>
      </c>
      <c r="H3269" s="553">
        <v>1328.1224999999999</v>
      </c>
      <c r="I3269" s="553">
        <v>0</v>
      </c>
      <c r="J3269" s="553">
        <v>57</v>
      </c>
      <c r="K3269" s="553">
        <v>38</v>
      </c>
      <c r="L3269" s="553">
        <v>1</v>
      </c>
      <c r="M3269" s="505" t="s">
        <v>312</v>
      </c>
      <c r="N3269" s="500">
        <v>43047560540000</v>
      </c>
      <c r="O3269" s="553" t="s">
        <v>3665</v>
      </c>
      <c r="P3269" s="650" t="s">
        <v>4001</v>
      </c>
      <c r="Q3269" s="564"/>
      <c r="R3269" s="564">
        <v>1</v>
      </c>
    </row>
    <row r="3270" spans="1:18" x14ac:dyDescent="0.25">
      <c r="A3270" s="553">
        <v>32</v>
      </c>
      <c r="B3270" s="553">
        <v>3</v>
      </c>
      <c r="C3270" s="553">
        <v>2</v>
      </c>
      <c r="D3270" s="553">
        <v>1</v>
      </c>
      <c r="E3270" s="553">
        <v>1</v>
      </c>
      <c r="F3270" s="553">
        <v>2</v>
      </c>
      <c r="G3270" s="553" t="s">
        <v>484</v>
      </c>
      <c r="H3270" s="553">
        <v>1328.1224999999999</v>
      </c>
      <c r="I3270" s="553">
        <v>0</v>
      </c>
      <c r="J3270" s="553">
        <v>57</v>
      </c>
      <c r="K3270" s="553">
        <v>38</v>
      </c>
      <c r="L3270" s="553">
        <v>1</v>
      </c>
      <c r="M3270" s="505" t="s">
        <v>312</v>
      </c>
      <c r="N3270" s="500">
        <v>43047560540000</v>
      </c>
      <c r="O3270" s="553" t="s">
        <v>3665</v>
      </c>
      <c r="P3270" s="650" t="s">
        <v>4002</v>
      </c>
      <c r="Q3270" s="564"/>
      <c r="R3270" s="564">
        <v>1</v>
      </c>
    </row>
    <row r="3271" spans="1:18" x14ac:dyDescent="0.25">
      <c r="A3271" s="553">
        <v>32</v>
      </c>
      <c r="B3271" s="553">
        <v>3</v>
      </c>
      <c r="C3271" s="553">
        <v>2</v>
      </c>
      <c r="D3271" s="553">
        <v>1</v>
      </c>
      <c r="E3271" s="553">
        <v>1</v>
      </c>
      <c r="F3271" s="553">
        <v>2</v>
      </c>
      <c r="G3271" s="553" t="s">
        <v>486</v>
      </c>
      <c r="H3271" s="553">
        <v>1321.62</v>
      </c>
      <c r="I3271" s="553">
        <v>1</v>
      </c>
      <c r="J3271" s="553">
        <v>1</v>
      </c>
      <c r="K3271" s="553">
        <v>55</v>
      </c>
      <c r="L3271" s="553">
        <v>4</v>
      </c>
      <c r="M3271" s="505" t="s">
        <v>312</v>
      </c>
      <c r="N3271" s="500">
        <v>43047560540000</v>
      </c>
      <c r="O3271" s="553" t="s">
        <v>3665</v>
      </c>
      <c r="P3271" s="650" t="s">
        <v>4003</v>
      </c>
      <c r="Q3271" s="564"/>
      <c r="R3271" s="564">
        <v>1</v>
      </c>
    </row>
    <row r="3272" spans="1:18" x14ac:dyDescent="0.25">
      <c r="A3272" s="553">
        <v>32</v>
      </c>
      <c r="B3272" s="553">
        <v>3</v>
      </c>
      <c r="C3272" s="553">
        <v>2</v>
      </c>
      <c r="D3272" s="553">
        <v>1</v>
      </c>
      <c r="E3272" s="553">
        <v>1</v>
      </c>
      <c r="F3272" s="553">
        <v>2</v>
      </c>
      <c r="G3272" s="502" t="s">
        <v>488</v>
      </c>
      <c r="H3272" s="553">
        <v>1321.62</v>
      </c>
      <c r="I3272" s="553">
        <v>1</v>
      </c>
      <c r="J3272" s="553">
        <v>1</v>
      </c>
      <c r="K3272" s="553">
        <v>55</v>
      </c>
      <c r="L3272" s="553">
        <v>4</v>
      </c>
      <c r="M3272" s="505" t="s">
        <v>312</v>
      </c>
      <c r="N3272" s="500">
        <v>43047560540000</v>
      </c>
      <c r="O3272" s="553" t="s">
        <v>3665</v>
      </c>
      <c r="P3272" s="650" t="s">
        <v>4004</v>
      </c>
      <c r="Q3272" s="564"/>
      <c r="R3272" s="564">
        <v>1</v>
      </c>
    </row>
    <row r="3273" spans="1:18" x14ac:dyDescent="0.25">
      <c r="A3273" s="553">
        <v>32</v>
      </c>
      <c r="B3273" s="553">
        <v>3</v>
      </c>
      <c r="C3273" s="553">
        <v>2</v>
      </c>
      <c r="D3273" s="553">
        <v>1</v>
      </c>
      <c r="E3273" s="553">
        <v>1</v>
      </c>
      <c r="F3273" s="553">
        <v>2</v>
      </c>
      <c r="G3273" s="553" t="s">
        <v>490</v>
      </c>
      <c r="H3273" s="553">
        <v>1320.395</v>
      </c>
      <c r="I3273" s="553">
        <v>0</v>
      </c>
      <c r="J3273" s="553">
        <v>58</v>
      </c>
      <c r="K3273" s="553">
        <v>46</v>
      </c>
      <c r="L3273" s="553">
        <v>1</v>
      </c>
      <c r="M3273" s="505" t="s">
        <v>312</v>
      </c>
      <c r="N3273" s="500">
        <v>43047560540000</v>
      </c>
      <c r="O3273" s="553" t="s">
        <v>3665</v>
      </c>
      <c r="P3273" s="650" t="s">
        <v>4005</v>
      </c>
      <c r="Q3273" s="564"/>
      <c r="R3273" s="564">
        <v>1</v>
      </c>
    </row>
    <row r="3274" spans="1:18" x14ac:dyDescent="0.25">
      <c r="A3274" s="553">
        <v>32</v>
      </c>
      <c r="B3274" s="553">
        <v>3</v>
      </c>
      <c r="C3274" s="553">
        <v>2</v>
      </c>
      <c r="D3274" s="553">
        <v>1</v>
      </c>
      <c r="E3274" s="553">
        <v>1</v>
      </c>
      <c r="F3274" s="553">
        <v>2</v>
      </c>
      <c r="G3274" s="553" t="s">
        <v>493</v>
      </c>
      <c r="H3274" s="553">
        <v>1320.395</v>
      </c>
      <c r="I3274" s="553">
        <v>0</v>
      </c>
      <c r="J3274" s="553">
        <v>58</v>
      </c>
      <c r="K3274" s="553">
        <v>46</v>
      </c>
      <c r="L3274" s="553">
        <v>1</v>
      </c>
      <c r="M3274" s="505" t="s">
        <v>312</v>
      </c>
      <c r="N3274" s="500">
        <v>43047560540000</v>
      </c>
      <c r="O3274" s="553" t="s">
        <v>3665</v>
      </c>
      <c r="P3274" s="650" t="s">
        <v>4006</v>
      </c>
      <c r="Q3274" s="564"/>
      <c r="R3274" s="564">
        <v>1</v>
      </c>
    </row>
    <row r="3275" spans="1:18" x14ac:dyDescent="0.25">
      <c r="A3275" s="553">
        <v>32</v>
      </c>
      <c r="B3275" s="553">
        <v>3</v>
      </c>
      <c r="C3275" s="553">
        <v>2</v>
      </c>
      <c r="D3275" s="553">
        <v>1</v>
      </c>
      <c r="E3275" s="553">
        <v>1</v>
      </c>
      <c r="F3275" s="553">
        <v>2</v>
      </c>
      <c r="G3275" s="553" t="s">
        <v>474</v>
      </c>
      <c r="H3275" s="553">
        <v>1313.95</v>
      </c>
      <c r="I3275" s="553">
        <v>89</v>
      </c>
      <c r="J3275" s="553">
        <v>3</v>
      </c>
      <c r="K3275" s="553">
        <v>34</v>
      </c>
      <c r="L3275" s="553">
        <v>2</v>
      </c>
      <c r="M3275" s="505" t="s">
        <v>312</v>
      </c>
      <c r="N3275" s="500">
        <v>43047560540000</v>
      </c>
      <c r="O3275" s="553" t="s">
        <v>3665</v>
      </c>
      <c r="P3275" s="650" t="s">
        <v>4007</v>
      </c>
      <c r="Q3275" s="564"/>
      <c r="R3275" s="564">
        <v>1</v>
      </c>
    </row>
    <row r="3276" spans="1:18" x14ac:dyDescent="0.25">
      <c r="A3276" s="553">
        <v>32</v>
      </c>
      <c r="B3276" s="553">
        <v>3</v>
      </c>
      <c r="C3276" s="553">
        <v>2</v>
      </c>
      <c r="D3276" s="553">
        <v>1</v>
      </c>
      <c r="E3276" s="553">
        <v>1</v>
      </c>
      <c r="F3276" s="553">
        <v>2</v>
      </c>
      <c r="G3276" s="502" t="s">
        <v>477</v>
      </c>
      <c r="H3276" s="553">
        <v>1313.95</v>
      </c>
      <c r="I3276" s="553">
        <v>89</v>
      </c>
      <c r="J3276" s="553">
        <v>3</v>
      </c>
      <c r="K3276" s="553">
        <v>34</v>
      </c>
      <c r="L3276" s="553">
        <v>2</v>
      </c>
      <c r="M3276" s="505" t="s">
        <v>312</v>
      </c>
      <c r="N3276" s="500">
        <v>43047560540000</v>
      </c>
      <c r="O3276" s="553" t="s">
        <v>3665</v>
      </c>
      <c r="P3276" s="650" t="s">
        <v>4008</v>
      </c>
      <c r="Q3276" s="564"/>
      <c r="R3276" s="564">
        <v>1</v>
      </c>
    </row>
    <row r="3277" spans="1:18" x14ac:dyDescent="0.25">
      <c r="A3277" s="553">
        <v>32</v>
      </c>
      <c r="B3277" s="553">
        <v>3</v>
      </c>
      <c r="C3277" s="553">
        <v>2</v>
      </c>
      <c r="D3277" s="553">
        <v>1</v>
      </c>
      <c r="E3277" s="553">
        <v>1</v>
      </c>
      <c r="F3277" s="553">
        <v>2</v>
      </c>
      <c r="G3277" s="553" t="s">
        <v>479</v>
      </c>
      <c r="H3277" s="553">
        <v>1313.95</v>
      </c>
      <c r="I3277" s="553">
        <v>89</v>
      </c>
      <c r="J3277" s="553">
        <v>3</v>
      </c>
      <c r="K3277" s="553">
        <v>34</v>
      </c>
      <c r="L3277" s="553">
        <v>2</v>
      </c>
      <c r="M3277" s="505" t="s">
        <v>312</v>
      </c>
      <c r="N3277" s="500">
        <v>43047560540000</v>
      </c>
      <c r="O3277" s="553" t="s">
        <v>3665</v>
      </c>
      <c r="P3277" s="650" t="s">
        <v>4009</v>
      </c>
      <c r="Q3277" s="564"/>
      <c r="R3277" s="564">
        <v>1</v>
      </c>
    </row>
    <row r="3278" spans="1:18" x14ac:dyDescent="0.25">
      <c r="A3278" s="553">
        <v>32</v>
      </c>
      <c r="B3278" s="553">
        <v>3</v>
      </c>
      <c r="C3278" s="553">
        <v>2</v>
      </c>
      <c r="D3278" s="553">
        <v>1</v>
      </c>
      <c r="E3278" s="553">
        <v>1</v>
      </c>
      <c r="F3278" s="553">
        <v>2</v>
      </c>
      <c r="G3278" s="553" t="s">
        <v>485</v>
      </c>
      <c r="H3278" s="553">
        <v>1313.95</v>
      </c>
      <c r="I3278" s="553">
        <v>89</v>
      </c>
      <c r="J3278" s="553">
        <v>3</v>
      </c>
      <c r="K3278" s="553">
        <v>34</v>
      </c>
      <c r="L3278" s="553">
        <v>2</v>
      </c>
      <c r="M3278" s="505" t="s">
        <v>312</v>
      </c>
      <c r="N3278" s="500">
        <v>43047560540000</v>
      </c>
      <c r="O3278" s="553" t="s">
        <v>3665</v>
      </c>
      <c r="P3278" s="650" t="s">
        <v>4010</v>
      </c>
      <c r="Q3278" s="564"/>
      <c r="R3278" s="564">
        <v>1</v>
      </c>
    </row>
    <row r="3279" spans="1:18" x14ac:dyDescent="0.25">
      <c r="A3279" s="553">
        <v>32</v>
      </c>
      <c r="B3279" s="553">
        <v>3</v>
      </c>
      <c r="C3279" s="553">
        <v>2</v>
      </c>
      <c r="D3279" s="553">
        <v>1</v>
      </c>
      <c r="E3279" s="553">
        <v>1</v>
      </c>
      <c r="F3279" s="553">
        <v>2</v>
      </c>
      <c r="G3279" s="553" t="s">
        <v>487</v>
      </c>
      <c r="H3279" s="553">
        <v>1288.9100000000001</v>
      </c>
      <c r="I3279" s="553">
        <v>88</v>
      </c>
      <c r="J3279" s="553">
        <v>41</v>
      </c>
      <c r="K3279" s="553">
        <v>27</v>
      </c>
      <c r="L3279" s="553">
        <v>2</v>
      </c>
      <c r="M3279" s="505" t="s">
        <v>312</v>
      </c>
      <c r="N3279" s="500">
        <v>43047560540000</v>
      </c>
      <c r="O3279" s="553" t="s">
        <v>3665</v>
      </c>
      <c r="P3279" s="650" t="s">
        <v>4011</v>
      </c>
      <c r="Q3279" s="564"/>
      <c r="R3279" s="564">
        <v>1</v>
      </c>
    </row>
    <row r="3280" spans="1:18" x14ac:dyDescent="0.25">
      <c r="A3280" s="553">
        <v>32</v>
      </c>
      <c r="B3280" s="553">
        <v>3</v>
      </c>
      <c r="C3280" s="553">
        <v>2</v>
      </c>
      <c r="D3280" s="553">
        <v>1</v>
      </c>
      <c r="E3280" s="553">
        <v>1</v>
      </c>
      <c r="F3280" s="553">
        <v>2</v>
      </c>
      <c r="G3280" s="502" t="s">
        <v>489</v>
      </c>
      <c r="H3280" s="553">
        <v>1288.9100000000001</v>
      </c>
      <c r="I3280" s="553">
        <v>88</v>
      </c>
      <c r="J3280" s="553">
        <v>41</v>
      </c>
      <c r="K3280" s="553">
        <v>27</v>
      </c>
      <c r="L3280" s="553">
        <v>2</v>
      </c>
      <c r="M3280" s="505" t="s">
        <v>312</v>
      </c>
      <c r="N3280" s="500">
        <v>43047560540000</v>
      </c>
      <c r="O3280" s="553" t="s">
        <v>3665</v>
      </c>
      <c r="P3280" s="650" t="s">
        <v>4012</v>
      </c>
      <c r="Q3280" s="564"/>
      <c r="R3280" s="564">
        <v>1</v>
      </c>
    </row>
    <row r="3281" spans="1:18" x14ac:dyDescent="0.25">
      <c r="A3281" s="553">
        <v>32</v>
      </c>
      <c r="B3281" s="553">
        <v>3</v>
      </c>
      <c r="C3281" s="553">
        <v>2</v>
      </c>
      <c r="D3281" s="553">
        <v>1</v>
      </c>
      <c r="E3281" s="553">
        <v>1</v>
      </c>
      <c r="F3281" s="553">
        <v>2</v>
      </c>
      <c r="G3281" s="553" t="s">
        <v>491</v>
      </c>
      <c r="H3281" s="553">
        <v>1284.9349999999999</v>
      </c>
      <c r="I3281" s="553">
        <v>88</v>
      </c>
      <c r="J3281" s="553">
        <v>48</v>
      </c>
      <c r="K3281" s="553">
        <v>21</v>
      </c>
      <c r="L3281" s="553">
        <v>2</v>
      </c>
      <c r="M3281" s="505" t="s">
        <v>312</v>
      </c>
      <c r="N3281" s="500">
        <v>43047560540000</v>
      </c>
      <c r="O3281" s="553" t="s">
        <v>3665</v>
      </c>
      <c r="P3281" s="650" t="s">
        <v>4013</v>
      </c>
      <c r="Q3281" s="564"/>
      <c r="R3281" s="564">
        <v>1</v>
      </c>
    </row>
    <row r="3282" spans="1:18" x14ac:dyDescent="0.25">
      <c r="A3282" s="553">
        <v>32</v>
      </c>
      <c r="B3282" s="553">
        <v>3</v>
      </c>
      <c r="C3282" s="553">
        <v>2</v>
      </c>
      <c r="D3282" s="553">
        <v>1</v>
      </c>
      <c r="E3282" s="553">
        <v>1</v>
      </c>
      <c r="F3282" s="553">
        <v>2</v>
      </c>
      <c r="G3282" s="553" t="s">
        <v>494</v>
      </c>
      <c r="H3282" s="553">
        <v>1284.9349999999999</v>
      </c>
      <c r="I3282" s="553">
        <v>88</v>
      </c>
      <c r="J3282" s="553">
        <v>48</v>
      </c>
      <c r="K3282" s="553">
        <v>21</v>
      </c>
      <c r="L3282" s="553">
        <v>2</v>
      </c>
      <c r="M3282" s="505" t="s">
        <v>312</v>
      </c>
      <c r="N3282" s="500">
        <v>43047560540000</v>
      </c>
      <c r="O3282" s="553" t="s">
        <v>3665</v>
      </c>
      <c r="P3282" s="650" t="s">
        <v>4014</v>
      </c>
      <c r="Q3282" s="564"/>
      <c r="R3282" s="564">
        <v>1</v>
      </c>
    </row>
    <row r="3283" spans="1:18" x14ac:dyDescent="0.25">
      <c r="A3283" s="553">
        <v>33</v>
      </c>
      <c r="B3283" s="553">
        <v>2</v>
      </c>
      <c r="C3283" s="553">
        <v>2</v>
      </c>
      <c r="D3283" s="553">
        <v>2</v>
      </c>
      <c r="E3283" s="553">
        <v>2</v>
      </c>
      <c r="F3283" s="553">
        <v>2</v>
      </c>
      <c r="G3283" s="553" t="s">
        <v>473</v>
      </c>
      <c r="H3283" s="553">
        <v>1285.345</v>
      </c>
      <c r="I3283" s="553">
        <v>0</v>
      </c>
      <c r="J3283" s="553">
        <v>7</v>
      </c>
      <c r="K3283" s="553">
        <v>49</v>
      </c>
      <c r="L3283" s="553">
        <v>4</v>
      </c>
      <c r="M3283" s="505" t="s">
        <v>137</v>
      </c>
      <c r="N3283" s="500">
        <v>43013537160000</v>
      </c>
      <c r="O3283" s="553" t="s">
        <v>3547</v>
      </c>
      <c r="P3283" s="650" t="s">
        <v>4015</v>
      </c>
      <c r="Q3283" s="564"/>
      <c r="R3283" s="564">
        <v>2</v>
      </c>
    </row>
    <row r="3284" spans="1:18" x14ac:dyDescent="0.25">
      <c r="A3284" s="553">
        <v>33</v>
      </c>
      <c r="B3284" s="553">
        <v>2</v>
      </c>
      <c r="C3284" s="553">
        <v>2</v>
      </c>
      <c r="D3284" s="553">
        <v>2</v>
      </c>
      <c r="E3284" s="553">
        <v>2</v>
      </c>
      <c r="F3284" s="553">
        <v>2</v>
      </c>
      <c r="G3284" s="502" t="s">
        <v>476</v>
      </c>
      <c r="H3284" s="553">
        <v>1285.345</v>
      </c>
      <c r="I3284" s="553">
        <v>0</v>
      </c>
      <c r="J3284" s="553">
        <v>7</v>
      </c>
      <c r="K3284" s="553">
        <v>49</v>
      </c>
      <c r="L3284" s="553">
        <v>4</v>
      </c>
      <c r="M3284" s="505" t="s">
        <v>137</v>
      </c>
      <c r="N3284" s="500">
        <v>43013537160000</v>
      </c>
      <c r="O3284" s="553" t="s">
        <v>3547</v>
      </c>
      <c r="P3284" s="650" t="s">
        <v>4016</v>
      </c>
      <c r="Q3284" s="564"/>
      <c r="R3284" s="564">
        <v>2</v>
      </c>
    </row>
    <row r="3285" spans="1:18" x14ac:dyDescent="0.25">
      <c r="A3285" s="553">
        <v>33</v>
      </c>
      <c r="B3285" s="553">
        <v>2</v>
      </c>
      <c r="C3285" s="553">
        <v>2</v>
      </c>
      <c r="D3285" s="553">
        <v>2</v>
      </c>
      <c r="E3285" s="553">
        <v>2</v>
      </c>
      <c r="F3285" s="553">
        <v>2</v>
      </c>
      <c r="G3285" s="553" t="s">
        <v>478</v>
      </c>
      <c r="H3285" s="553">
        <v>1308.92</v>
      </c>
      <c r="I3285" s="553">
        <v>0</v>
      </c>
      <c r="J3285" s="553">
        <v>15</v>
      </c>
      <c r="K3285" s="553">
        <v>45</v>
      </c>
      <c r="L3285" s="553">
        <v>4</v>
      </c>
      <c r="M3285" s="505" t="s">
        <v>137</v>
      </c>
      <c r="N3285" s="500">
        <v>43013537160000</v>
      </c>
      <c r="O3285" s="553" t="s">
        <v>3547</v>
      </c>
      <c r="P3285" s="650" t="s">
        <v>4017</v>
      </c>
      <c r="Q3285" s="564"/>
      <c r="R3285" s="564">
        <v>2</v>
      </c>
    </row>
    <row r="3286" spans="1:18" x14ac:dyDescent="0.25">
      <c r="A3286" s="553">
        <v>33</v>
      </c>
      <c r="B3286" s="553">
        <v>2</v>
      </c>
      <c r="C3286" s="553">
        <v>2</v>
      </c>
      <c r="D3286" s="553">
        <v>2</v>
      </c>
      <c r="E3286" s="553">
        <v>2</v>
      </c>
      <c r="F3286" s="553">
        <v>2</v>
      </c>
      <c r="G3286" s="553" t="s">
        <v>484</v>
      </c>
      <c r="H3286" s="553">
        <v>1311.8</v>
      </c>
      <c r="I3286" s="553">
        <v>0</v>
      </c>
      <c r="J3286" s="553">
        <v>17</v>
      </c>
      <c r="K3286" s="553">
        <v>40</v>
      </c>
      <c r="L3286" s="553">
        <v>4</v>
      </c>
      <c r="M3286" s="505" t="s">
        <v>137</v>
      </c>
      <c r="N3286" s="500">
        <v>43013537160000</v>
      </c>
      <c r="O3286" s="553" t="s">
        <v>3547</v>
      </c>
      <c r="P3286" s="650" t="s">
        <v>4018</v>
      </c>
      <c r="Q3286" s="564"/>
      <c r="R3286" s="564">
        <v>2</v>
      </c>
    </row>
    <row r="3287" spans="1:18" x14ac:dyDescent="0.25">
      <c r="A3287" s="553">
        <v>33</v>
      </c>
      <c r="B3287" s="553">
        <v>2</v>
      </c>
      <c r="C3287" s="553">
        <v>2</v>
      </c>
      <c r="D3287" s="553">
        <v>2</v>
      </c>
      <c r="E3287" s="553">
        <v>2</v>
      </c>
      <c r="F3287" s="553">
        <v>2</v>
      </c>
      <c r="G3287" s="553" t="s">
        <v>486</v>
      </c>
      <c r="H3287" s="553">
        <v>1287.5350000000001</v>
      </c>
      <c r="I3287" s="553">
        <v>0</v>
      </c>
      <c r="J3287" s="553">
        <v>1</v>
      </c>
      <c r="K3287" s="553">
        <v>32</v>
      </c>
      <c r="L3287" s="553">
        <v>2</v>
      </c>
      <c r="M3287" s="505" t="s">
        <v>137</v>
      </c>
      <c r="N3287" s="500">
        <v>43013537160000</v>
      </c>
      <c r="O3287" s="553" t="s">
        <v>3547</v>
      </c>
      <c r="P3287" s="650" t="s">
        <v>4019</v>
      </c>
      <c r="Q3287" s="564"/>
      <c r="R3287" s="564">
        <v>2</v>
      </c>
    </row>
    <row r="3288" spans="1:18" x14ac:dyDescent="0.25">
      <c r="A3288" s="553">
        <v>33</v>
      </c>
      <c r="B3288" s="553">
        <v>2</v>
      </c>
      <c r="C3288" s="553">
        <v>2</v>
      </c>
      <c r="D3288" s="553">
        <v>2</v>
      </c>
      <c r="E3288" s="553">
        <v>2</v>
      </c>
      <c r="F3288" s="553">
        <v>2</v>
      </c>
      <c r="G3288" s="502" t="s">
        <v>488</v>
      </c>
      <c r="H3288" s="553">
        <v>1287.5350000000001</v>
      </c>
      <c r="I3288" s="553">
        <v>0</v>
      </c>
      <c r="J3288" s="553">
        <v>1</v>
      </c>
      <c r="K3288" s="553">
        <v>32</v>
      </c>
      <c r="L3288" s="553">
        <v>2</v>
      </c>
      <c r="M3288" s="505" t="s">
        <v>137</v>
      </c>
      <c r="N3288" s="500">
        <v>43013537160000</v>
      </c>
      <c r="O3288" s="553" t="s">
        <v>3547</v>
      </c>
      <c r="P3288" s="650" t="s">
        <v>4020</v>
      </c>
      <c r="Q3288" s="564"/>
      <c r="R3288" s="564">
        <v>2</v>
      </c>
    </row>
    <row r="3289" spans="1:18" x14ac:dyDescent="0.25">
      <c r="A3289" s="553">
        <v>33</v>
      </c>
      <c r="B3289" s="553">
        <v>2</v>
      </c>
      <c r="C3289" s="553">
        <v>2</v>
      </c>
      <c r="D3289" s="553">
        <v>2</v>
      </c>
      <c r="E3289" s="553">
        <v>2</v>
      </c>
      <c r="F3289" s="553">
        <v>2</v>
      </c>
      <c r="G3289" s="553" t="s">
        <v>490</v>
      </c>
      <c r="H3289" s="553">
        <v>1317.05</v>
      </c>
      <c r="I3289" s="553">
        <v>0</v>
      </c>
      <c r="J3289" s="553">
        <v>20</v>
      </c>
      <c r="K3289" s="553">
        <v>18</v>
      </c>
      <c r="L3289" s="553">
        <v>4</v>
      </c>
      <c r="M3289" s="505" t="s">
        <v>137</v>
      </c>
      <c r="N3289" s="500">
        <v>43013537160000</v>
      </c>
      <c r="O3289" s="553" t="s">
        <v>3547</v>
      </c>
      <c r="P3289" s="650" t="s">
        <v>4021</v>
      </c>
      <c r="Q3289" s="564"/>
      <c r="R3289" s="564">
        <v>2</v>
      </c>
    </row>
    <row r="3290" spans="1:18" x14ac:dyDescent="0.25">
      <c r="A3290" s="553">
        <v>33</v>
      </c>
      <c r="B3290" s="553">
        <v>2</v>
      </c>
      <c r="C3290" s="553">
        <v>2</v>
      </c>
      <c r="D3290" s="553">
        <v>2</v>
      </c>
      <c r="E3290" s="553">
        <v>2</v>
      </c>
      <c r="F3290" s="553">
        <v>2</v>
      </c>
      <c r="G3290" s="553" t="s">
        <v>493</v>
      </c>
      <c r="H3290" s="553">
        <v>1318.09</v>
      </c>
      <c r="I3290" s="553">
        <v>0</v>
      </c>
      <c r="J3290" s="553">
        <v>7</v>
      </c>
      <c r="K3290" s="553">
        <v>13</v>
      </c>
      <c r="L3290" s="553">
        <v>4</v>
      </c>
      <c r="M3290" s="505" t="s">
        <v>137</v>
      </c>
      <c r="N3290" s="500">
        <v>43013537160000</v>
      </c>
      <c r="O3290" s="553" t="s">
        <v>3547</v>
      </c>
      <c r="P3290" s="650" t="s">
        <v>4022</v>
      </c>
      <c r="Q3290" s="564"/>
      <c r="R3290" s="564">
        <v>2</v>
      </c>
    </row>
    <row r="3291" spans="1:18" x14ac:dyDescent="0.25">
      <c r="A3291" s="553">
        <v>33</v>
      </c>
      <c r="B3291" s="553">
        <v>2</v>
      </c>
      <c r="C3291" s="553">
        <v>2</v>
      </c>
      <c r="D3291" s="553">
        <v>2</v>
      </c>
      <c r="E3291" s="553">
        <v>2</v>
      </c>
      <c r="F3291" s="553">
        <v>2</v>
      </c>
      <c r="G3291" s="553" t="s">
        <v>474</v>
      </c>
      <c r="H3291" s="553">
        <v>1319.886666666667</v>
      </c>
      <c r="I3291" s="553">
        <v>89</v>
      </c>
      <c r="J3291" s="553">
        <v>58</v>
      </c>
      <c r="K3291" s="553">
        <v>5</v>
      </c>
      <c r="L3291" s="553">
        <v>3</v>
      </c>
      <c r="M3291" s="505" t="s">
        <v>137</v>
      </c>
      <c r="N3291" s="500">
        <v>43013537160000</v>
      </c>
      <c r="O3291" s="553" t="s">
        <v>3547</v>
      </c>
      <c r="P3291" s="650" t="s">
        <v>4023</v>
      </c>
      <c r="Q3291" s="564"/>
      <c r="R3291" s="564">
        <v>2</v>
      </c>
    </row>
    <row r="3292" spans="1:18" x14ac:dyDescent="0.25">
      <c r="A3292" s="553">
        <v>33</v>
      </c>
      <c r="B3292" s="553">
        <v>2</v>
      </c>
      <c r="C3292" s="553">
        <v>2</v>
      </c>
      <c r="D3292" s="553">
        <v>2</v>
      </c>
      <c r="E3292" s="553">
        <v>2</v>
      </c>
      <c r="F3292" s="553">
        <v>2</v>
      </c>
      <c r="G3292" s="502" t="s">
        <v>477</v>
      </c>
      <c r="H3292" s="553">
        <v>1319.886666666667</v>
      </c>
      <c r="I3292" s="553">
        <v>89</v>
      </c>
      <c r="J3292" s="553">
        <v>58</v>
      </c>
      <c r="K3292" s="553">
        <v>5</v>
      </c>
      <c r="L3292" s="553">
        <v>3</v>
      </c>
      <c r="M3292" s="505" t="s">
        <v>137</v>
      </c>
      <c r="N3292" s="500">
        <v>43013537160000</v>
      </c>
      <c r="O3292" s="553" t="s">
        <v>3547</v>
      </c>
      <c r="P3292" s="650" t="s">
        <v>4024</v>
      </c>
      <c r="Q3292" s="564"/>
      <c r="R3292" s="564">
        <v>2</v>
      </c>
    </row>
    <row r="3293" spans="1:18" x14ac:dyDescent="0.25">
      <c r="A3293" s="553">
        <v>33</v>
      </c>
      <c r="B3293" s="553">
        <v>2</v>
      </c>
      <c r="C3293" s="553">
        <v>2</v>
      </c>
      <c r="D3293" s="553">
        <v>2</v>
      </c>
      <c r="E3293" s="553">
        <v>2</v>
      </c>
      <c r="F3293" s="553">
        <v>2</v>
      </c>
      <c r="G3293" s="553" t="s">
        <v>479</v>
      </c>
      <c r="H3293" s="553">
        <v>1319.886666666667</v>
      </c>
      <c r="I3293" s="553">
        <v>89</v>
      </c>
      <c r="J3293" s="553">
        <v>58</v>
      </c>
      <c r="K3293" s="553">
        <v>5</v>
      </c>
      <c r="L3293" s="553">
        <v>3</v>
      </c>
      <c r="M3293" s="505" t="s">
        <v>137</v>
      </c>
      <c r="N3293" s="500">
        <v>43013537160000</v>
      </c>
      <c r="O3293" s="553" t="s">
        <v>3547</v>
      </c>
      <c r="P3293" s="650" t="s">
        <v>4025</v>
      </c>
      <c r="Q3293" s="564"/>
      <c r="R3293" s="564">
        <v>2</v>
      </c>
    </row>
    <row r="3294" spans="1:18" x14ac:dyDescent="0.25">
      <c r="A3294" s="553">
        <v>33</v>
      </c>
      <c r="B3294" s="553">
        <v>2</v>
      </c>
      <c r="C3294" s="553">
        <v>2</v>
      </c>
      <c r="D3294" s="553">
        <v>2</v>
      </c>
      <c r="E3294" s="553">
        <v>2</v>
      </c>
      <c r="F3294" s="553">
        <v>2</v>
      </c>
      <c r="G3294" s="553" t="s">
        <v>485</v>
      </c>
      <c r="H3294" s="553">
        <v>1319.22</v>
      </c>
      <c r="I3294" s="553">
        <v>89</v>
      </c>
      <c r="J3294" s="553">
        <v>57</v>
      </c>
      <c r="K3294" s="553">
        <v>11</v>
      </c>
      <c r="L3294" s="553">
        <v>4</v>
      </c>
      <c r="M3294" s="505" t="s">
        <v>137</v>
      </c>
      <c r="N3294" s="500">
        <v>43013537160000</v>
      </c>
      <c r="O3294" s="553" t="s">
        <v>3547</v>
      </c>
      <c r="P3294" s="650" t="s">
        <v>4026</v>
      </c>
      <c r="Q3294" s="564"/>
      <c r="R3294" s="564">
        <v>2</v>
      </c>
    </row>
    <row r="3295" spans="1:18" x14ac:dyDescent="0.25">
      <c r="A3295" s="553">
        <v>33</v>
      </c>
      <c r="B3295" s="553">
        <v>2</v>
      </c>
      <c r="C3295" s="553">
        <v>2</v>
      </c>
      <c r="D3295" s="553">
        <v>2</v>
      </c>
      <c r="E3295" s="553">
        <v>2</v>
      </c>
      <c r="F3295" s="553">
        <v>2</v>
      </c>
      <c r="G3295" s="553" t="s">
        <v>487</v>
      </c>
      <c r="H3295" s="553">
        <v>1320.15</v>
      </c>
      <c r="I3295" s="553">
        <v>88</v>
      </c>
      <c r="J3295" s="553">
        <v>57</v>
      </c>
      <c r="K3295" s="553">
        <v>5</v>
      </c>
      <c r="L3295" s="553">
        <v>2</v>
      </c>
      <c r="M3295" s="505" t="s">
        <v>137</v>
      </c>
      <c r="N3295" s="500">
        <v>43013537160000</v>
      </c>
      <c r="O3295" s="553" t="s">
        <v>3547</v>
      </c>
      <c r="P3295" s="650" t="s">
        <v>4027</v>
      </c>
      <c r="Q3295" s="564"/>
      <c r="R3295" s="564">
        <v>2</v>
      </c>
    </row>
    <row r="3296" spans="1:18" x14ac:dyDescent="0.25">
      <c r="A3296" s="553">
        <v>33</v>
      </c>
      <c r="B3296" s="553">
        <v>2</v>
      </c>
      <c r="C3296" s="553">
        <v>2</v>
      </c>
      <c r="D3296" s="553">
        <v>2</v>
      </c>
      <c r="E3296" s="553">
        <v>2</v>
      </c>
      <c r="F3296" s="553">
        <v>2</v>
      </c>
      <c r="G3296" s="502" t="s">
        <v>489</v>
      </c>
      <c r="H3296" s="553">
        <v>1320</v>
      </c>
      <c r="I3296" s="553">
        <v>89</v>
      </c>
      <c r="J3296" s="553">
        <v>11</v>
      </c>
      <c r="K3296" s="553">
        <v>39</v>
      </c>
      <c r="L3296" s="553">
        <v>2</v>
      </c>
      <c r="M3296" s="505" t="s">
        <v>137</v>
      </c>
      <c r="N3296" s="500">
        <v>43013537160000</v>
      </c>
      <c r="O3296" s="553" t="s">
        <v>3547</v>
      </c>
      <c r="P3296" s="650" t="s">
        <v>4028</v>
      </c>
      <c r="Q3296" s="564"/>
      <c r="R3296" s="564">
        <v>2</v>
      </c>
    </row>
    <row r="3297" spans="1:18" x14ac:dyDescent="0.25">
      <c r="A3297" s="553">
        <v>33</v>
      </c>
      <c r="B3297" s="553">
        <v>2</v>
      </c>
      <c r="C3297" s="553">
        <v>2</v>
      </c>
      <c r="D3297" s="553">
        <v>2</v>
      </c>
      <c r="E3297" s="553">
        <v>2</v>
      </c>
      <c r="F3297" s="553">
        <v>2</v>
      </c>
      <c r="G3297" s="553" t="s">
        <v>491</v>
      </c>
      <c r="H3297" s="553">
        <v>1323.45</v>
      </c>
      <c r="I3297" s="553">
        <v>89</v>
      </c>
      <c r="J3297" s="553">
        <v>11</v>
      </c>
      <c r="K3297" s="553">
        <v>39</v>
      </c>
      <c r="L3297" s="553">
        <v>2</v>
      </c>
      <c r="M3297" s="505" t="s">
        <v>137</v>
      </c>
      <c r="N3297" s="500">
        <v>43013537160000</v>
      </c>
      <c r="O3297" s="553" t="s">
        <v>3547</v>
      </c>
      <c r="P3297" s="650" t="s">
        <v>4029</v>
      </c>
      <c r="Q3297" s="564"/>
      <c r="R3297" s="564">
        <v>2</v>
      </c>
    </row>
    <row r="3298" spans="1:18" x14ac:dyDescent="0.25">
      <c r="A3298" s="553">
        <v>33</v>
      </c>
      <c r="B3298" s="553">
        <v>2</v>
      </c>
      <c r="C3298" s="553">
        <v>2</v>
      </c>
      <c r="D3298" s="553">
        <v>2</v>
      </c>
      <c r="E3298" s="553">
        <v>2</v>
      </c>
      <c r="F3298" s="553">
        <v>2</v>
      </c>
      <c r="G3298" s="553" t="s">
        <v>494</v>
      </c>
      <c r="H3298" s="553">
        <v>1323.45</v>
      </c>
      <c r="I3298" s="553">
        <v>89</v>
      </c>
      <c r="J3298" s="553">
        <v>11</v>
      </c>
      <c r="K3298" s="553">
        <v>39</v>
      </c>
      <c r="L3298" s="553">
        <v>2</v>
      </c>
      <c r="M3298" s="505" t="s">
        <v>137</v>
      </c>
      <c r="N3298" s="500">
        <v>43013537160000</v>
      </c>
      <c r="O3298" s="553" t="s">
        <v>3547</v>
      </c>
      <c r="P3298" s="650" t="s">
        <v>4030</v>
      </c>
      <c r="Q3298" s="564"/>
      <c r="R3298" s="564">
        <v>2</v>
      </c>
    </row>
    <row r="3299" spans="1:18" x14ac:dyDescent="0.25">
      <c r="A3299" s="553">
        <v>33</v>
      </c>
      <c r="B3299" s="553">
        <v>2</v>
      </c>
      <c r="C3299" s="553">
        <v>2</v>
      </c>
      <c r="D3299" s="553">
        <v>4</v>
      </c>
      <c r="E3299" s="553">
        <v>2</v>
      </c>
      <c r="F3299" s="553">
        <v>2</v>
      </c>
      <c r="G3299" s="553" t="s">
        <v>473</v>
      </c>
      <c r="H3299" s="564">
        <v>1316.675</v>
      </c>
      <c r="I3299" s="564">
        <v>0</v>
      </c>
      <c r="J3299" s="564">
        <v>11</v>
      </c>
      <c r="K3299" s="564">
        <v>40</v>
      </c>
      <c r="L3299" s="564">
        <v>4</v>
      </c>
      <c r="M3299" s="561" t="s">
        <v>137</v>
      </c>
      <c r="N3299" s="500"/>
      <c r="O3299" s="564"/>
      <c r="P3299" s="518" t="s">
        <v>4031</v>
      </c>
      <c r="Q3299" s="564"/>
      <c r="R3299" s="564">
        <v>1</v>
      </c>
    </row>
    <row r="3300" spans="1:18" x14ac:dyDescent="0.25">
      <c r="A3300" s="553">
        <v>33</v>
      </c>
      <c r="B3300" s="553">
        <v>2</v>
      </c>
      <c r="C3300" s="553">
        <v>2</v>
      </c>
      <c r="D3300" s="553">
        <v>4</v>
      </c>
      <c r="E3300" s="553">
        <v>2</v>
      </c>
      <c r="F3300" s="553">
        <v>2</v>
      </c>
      <c r="G3300" s="502" t="s">
        <v>476</v>
      </c>
      <c r="H3300" s="564">
        <v>1316.675</v>
      </c>
      <c r="I3300" s="564">
        <v>0</v>
      </c>
      <c r="J3300" s="564">
        <v>11</v>
      </c>
      <c r="K3300" s="564">
        <v>40</v>
      </c>
      <c r="L3300" s="564">
        <v>4</v>
      </c>
      <c r="M3300" s="561" t="s">
        <v>137</v>
      </c>
      <c r="N3300" s="500"/>
      <c r="O3300" s="564"/>
      <c r="P3300" s="519" t="s">
        <v>4032</v>
      </c>
      <c r="Q3300" s="564"/>
      <c r="R3300" s="564">
        <v>1</v>
      </c>
    </row>
    <row r="3301" spans="1:18" x14ac:dyDescent="0.25">
      <c r="A3301" s="553">
        <v>33</v>
      </c>
      <c r="B3301" s="553">
        <v>2</v>
      </c>
      <c r="C3301" s="553">
        <v>2</v>
      </c>
      <c r="D3301" s="553">
        <v>4</v>
      </c>
      <c r="E3301" s="553">
        <v>2</v>
      </c>
      <c r="F3301" s="553">
        <v>2</v>
      </c>
      <c r="G3301" s="553" t="s">
        <v>478</v>
      </c>
      <c r="H3301" s="564">
        <v>1376.75</v>
      </c>
      <c r="I3301" s="564">
        <v>0</v>
      </c>
      <c r="J3301" s="564">
        <v>18</v>
      </c>
      <c r="K3301" s="564">
        <v>55</v>
      </c>
      <c r="L3301" s="564">
        <v>4</v>
      </c>
      <c r="M3301" s="561" t="s">
        <v>137</v>
      </c>
      <c r="N3301" s="500"/>
      <c r="O3301" s="564"/>
      <c r="P3301" s="518" t="s">
        <v>4033</v>
      </c>
      <c r="Q3301" s="564"/>
      <c r="R3301" s="564">
        <v>1</v>
      </c>
    </row>
    <row r="3302" spans="1:18" x14ac:dyDescent="0.25">
      <c r="A3302" s="553">
        <v>33</v>
      </c>
      <c r="B3302" s="553">
        <v>2</v>
      </c>
      <c r="C3302" s="553">
        <v>2</v>
      </c>
      <c r="D3302" s="553">
        <v>4</v>
      </c>
      <c r="E3302" s="553">
        <v>2</v>
      </c>
      <c r="F3302" s="553">
        <v>2</v>
      </c>
      <c r="G3302" s="553" t="s">
        <v>484</v>
      </c>
      <c r="H3302" s="553">
        <v>1376.75</v>
      </c>
      <c r="I3302" s="517">
        <v>0</v>
      </c>
      <c r="J3302" s="553">
        <v>18</v>
      </c>
      <c r="K3302" s="553">
        <v>55</v>
      </c>
      <c r="L3302" s="553">
        <v>4</v>
      </c>
      <c r="M3302" s="561" t="s">
        <v>137</v>
      </c>
      <c r="N3302" s="500"/>
      <c r="O3302" s="564"/>
      <c r="P3302" s="518" t="s">
        <v>4034</v>
      </c>
      <c r="Q3302" s="564"/>
      <c r="R3302" s="564">
        <v>1</v>
      </c>
    </row>
    <row r="3303" spans="1:18" x14ac:dyDescent="0.25">
      <c r="A3303" s="553">
        <v>33</v>
      </c>
      <c r="B3303" s="553">
        <v>2</v>
      </c>
      <c r="C3303" s="553">
        <v>2</v>
      </c>
      <c r="D3303" s="553">
        <v>4</v>
      </c>
      <c r="E3303" s="553">
        <v>2</v>
      </c>
      <c r="F3303" s="553">
        <v>2</v>
      </c>
      <c r="G3303" s="553" t="s">
        <v>486</v>
      </c>
      <c r="H3303" s="553">
        <v>1316.0250000000001</v>
      </c>
      <c r="I3303" s="517">
        <v>0</v>
      </c>
      <c r="J3303" s="553">
        <v>19</v>
      </c>
      <c r="K3303" s="553">
        <v>6</v>
      </c>
      <c r="L3303" s="553">
        <v>4</v>
      </c>
      <c r="M3303" s="561" t="s">
        <v>137</v>
      </c>
      <c r="N3303" s="500"/>
      <c r="O3303" s="564"/>
      <c r="P3303" s="518" t="s">
        <v>4035</v>
      </c>
      <c r="Q3303" s="564"/>
      <c r="R3303" s="564">
        <v>1</v>
      </c>
    </row>
    <row r="3304" spans="1:18" x14ac:dyDescent="0.25">
      <c r="A3304" s="553">
        <v>33</v>
      </c>
      <c r="B3304" s="553">
        <v>2</v>
      </c>
      <c r="C3304" s="553">
        <v>2</v>
      </c>
      <c r="D3304" s="553">
        <v>4</v>
      </c>
      <c r="E3304" s="553">
        <v>2</v>
      </c>
      <c r="F3304" s="553">
        <v>2</v>
      </c>
      <c r="G3304" s="502" t="s">
        <v>488</v>
      </c>
      <c r="H3304" s="564">
        <v>1316.0250000000001</v>
      </c>
      <c r="I3304" s="564">
        <v>0</v>
      </c>
      <c r="J3304" s="564">
        <v>19</v>
      </c>
      <c r="K3304" s="564">
        <v>6</v>
      </c>
      <c r="L3304" s="564">
        <v>4</v>
      </c>
      <c r="M3304" s="561" t="s">
        <v>137</v>
      </c>
      <c r="N3304" s="500"/>
      <c r="O3304" s="564"/>
      <c r="P3304" s="519" t="s">
        <v>4036</v>
      </c>
      <c r="Q3304" s="564"/>
      <c r="R3304" s="564">
        <v>1</v>
      </c>
    </row>
    <row r="3305" spans="1:18" x14ac:dyDescent="0.25">
      <c r="A3305" s="553">
        <v>33</v>
      </c>
      <c r="B3305" s="553">
        <v>2</v>
      </c>
      <c r="C3305" s="553">
        <v>2</v>
      </c>
      <c r="D3305" s="553">
        <v>4</v>
      </c>
      <c r="E3305" s="553">
        <v>2</v>
      </c>
      <c r="F3305" s="553">
        <v>2</v>
      </c>
      <c r="G3305" s="553" t="s">
        <v>490</v>
      </c>
      <c r="H3305" s="564">
        <v>1367.4649999999999</v>
      </c>
      <c r="I3305" s="564">
        <v>0</v>
      </c>
      <c r="J3305" s="564">
        <v>19</v>
      </c>
      <c r="K3305" s="564">
        <v>6</v>
      </c>
      <c r="L3305" s="564">
        <v>4</v>
      </c>
      <c r="M3305" s="561" t="s">
        <v>137</v>
      </c>
      <c r="N3305" s="500"/>
      <c r="O3305" s="564"/>
      <c r="P3305" s="518" t="s">
        <v>4037</v>
      </c>
      <c r="Q3305" s="564"/>
      <c r="R3305" s="564">
        <v>1</v>
      </c>
    </row>
    <row r="3306" spans="1:18" x14ac:dyDescent="0.25">
      <c r="A3306" s="553">
        <v>33</v>
      </c>
      <c r="B3306" s="553">
        <v>2</v>
      </c>
      <c r="C3306" s="553">
        <v>2</v>
      </c>
      <c r="D3306" s="553">
        <v>4</v>
      </c>
      <c r="E3306" s="553">
        <v>2</v>
      </c>
      <c r="F3306" s="553">
        <v>2</v>
      </c>
      <c r="G3306" s="553" t="s">
        <v>493</v>
      </c>
      <c r="H3306" s="553">
        <v>1367.4649999999999</v>
      </c>
      <c r="I3306" s="517">
        <v>0</v>
      </c>
      <c r="J3306" s="553">
        <v>19</v>
      </c>
      <c r="K3306" s="553">
        <v>6</v>
      </c>
      <c r="L3306" s="553">
        <v>4</v>
      </c>
      <c r="M3306" s="561" t="s">
        <v>137</v>
      </c>
      <c r="N3306" s="500"/>
      <c r="O3306" s="564"/>
      <c r="P3306" s="518" t="s">
        <v>4038</v>
      </c>
      <c r="Q3306" s="564"/>
      <c r="R3306" s="564">
        <v>1</v>
      </c>
    </row>
    <row r="3307" spans="1:18" x14ac:dyDescent="0.25">
      <c r="A3307" s="553">
        <v>33</v>
      </c>
      <c r="B3307" s="553">
        <v>2</v>
      </c>
      <c r="C3307" s="553">
        <v>2</v>
      </c>
      <c r="D3307" s="553">
        <v>4</v>
      </c>
      <c r="E3307" s="553">
        <v>2</v>
      </c>
      <c r="F3307" s="553">
        <v>2</v>
      </c>
      <c r="G3307" s="553" t="s">
        <v>474</v>
      </c>
      <c r="H3307" s="564">
        <v>1316.14</v>
      </c>
      <c r="I3307" s="564">
        <v>89</v>
      </c>
      <c r="J3307" s="564">
        <v>29</v>
      </c>
      <c r="K3307" s="564">
        <v>51</v>
      </c>
      <c r="L3307" s="564">
        <v>1</v>
      </c>
      <c r="M3307" s="561" t="s">
        <v>137</v>
      </c>
      <c r="N3307" s="500"/>
      <c r="O3307" s="564"/>
      <c r="P3307" s="518" t="s">
        <v>4039</v>
      </c>
      <c r="Q3307" s="564"/>
      <c r="R3307" s="564">
        <v>1</v>
      </c>
    </row>
    <row r="3308" spans="1:18" x14ac:dyDescent="0.25">
      <c r="A3308" s="553">
        <v>33</v>
      </c>
      <c r="B3308" s="553">
        <v>2</v>
      </c>
      <c r="C3308" s="553">
        <v>2</v>
      </c>
      <c r="D3308" s="553">
        <v>4</v>
      </c>
      <c r="E3308" s="553">
        <v>2</v>
      </c>
      <c r="F3308" s="553">
        <v>2</v>
      </c>
      <c r="G3308" s="502" t="s">
        <v>477</v>
      </c>
      <c r="H3308" s="564">
        <v>1316.14</v>
      </c>
      <c r="I3308" s="564">
        <v>89</v>
      </c>
      <c r="J3308" s="564">
        <v>29</v>
      </c>
      <c r="K3308" s="564">
        <v>51</v>
      </c>
      <c r="L3308" s="564">
        <v>1</v>
      </c>
      <c r="M3308" s="561" t="s">
        <v>137</v>
      </c>
      <c r="N3308" s="500"/>
      <c r="O3308" s="564"/>
      <c r="P3308" s="519" t="s">
        <v>4040</v>
      </c>
      <c r="Q3308" s="564"/>
      <c r="R3308" s="564">
        <v>1</v>
      </c>
    </row>
    <row r="3309" spans="1:18" x14ac:dyDescent="0.25">
      <c r="A3309" s="553">
        <v>33</v>
      </c>
      <c r="B3309" s="553">
        <v>2</v>
      </c>
      <c r="C3309" s="553">
        <v>2</v>
      </c>
      <c r="D3309" s="553">
        <v>4</v>
      </c>
      <c r="E3309" s="553">
        <v>2</v>
      </c>
      <c r="F3309" s="553">
        <v>2</v>
      </c>
      <c r="G3309" s="553" t="s">
        <v>479</v>
      </c>
      <c r="H3309" s="564">
        <v>1331.53</v>
      </c>
      <c r="I3309" s="564">
        <v>89</v>
      </c>
      <c r="J3309" s="564">
        <v>20</v>
      </c>
      <c r="K3309" s="564">
        <v>22</v>
      </c>
      <c r="L3309" s="564">
        <v>2</v>
      </c>
      <c r="M3309" s="561" t="s">
        <v>137</v>
      </c>
      <c r="N3309" s="500"/>
      <c r="O3309" s="564"/>
      <c r="P3309" s="518" t="s">
        <v>4041</v>
      </c>
      <c r="Q3309" s="564"/>
      <c r="R3309" s="564">
        <v>1</v>
      </c>
    </row>
    <row r="3310" spans="1:18" x14ac:dyDescent="0.25">
      <c r="A3310" s="553">
        <v>33</v>
      </c>
      <c r="B3310" s="553">
        <v>2</v>
      </c>
      <c r="C3310" s="553">
        <v>2</v>
      </c>
      <c r="D3310" s="553">
        <v>4</v>
      </c>
      <c r="E3310" s="553">
        <v>2</v>
      </c>
      <c r="F3310" s="553">
        <v>2</v>
      </c>
      <c r="G3310" s="553" t="s">
        <v>485</v>
      </c>
      <c r="H3310" s="553">
        <v>1331.53</v>
      </c>
      <c r="I3310" s="517">
        <v>89</v>
      </c>
      <c r="J3310" s="553">
        <v>20</v>
      </c>
      <c r="K3310" s="553">
        <v>22</v>
      </c>
      <c r="L3310" s="553">
        <v>2</v>
      </c>
      <c r="M3310" s="561" t="s">
        <v>137</v>
      </c>
      <c r="N3310" s="500"/>
      <c r="O3310" s="564"/>
      <c r="P3310" s="518" t="s">
        <v>4042</v>
      </c>
      <c r="Q3310" s="564"/>
      <c r="R3310" s="564">
        <v>1</v>
      </c>
    </row>
    <row r="3311" spans="1:18" x14ac:dyDescent="0.25">
      <c r="A3311" s="553">
        <v>33</v>
      </c>
      <c r="B3311" s="553">
        <v>2</v>
      </c>
      <c r="C3311" s="553">
        <v>2</v>
      </c>
      <c r="D3311" s="553">
        <v>4</v>
      </c>
      <c r="E3311" s="553">
        <v>2</v>
      </c>
      <c r="F3311" s="553">
        <v>2</v>
      </c>
      <c r="G3311" s="553" t="s">
        <v>487</v>
      </c>
      <c r="H3311" s="553">
        <v>126.54</v>
      </c>
      <c r="I3311" s="517">
        <v>89</v>
      </c>
      <c r="J3311" s="553">
        <v>32</v>
      </c>
      <c r="K3311" s="553">
        <v>32</v>
      </c>
      <c r="L3311" s="553">
        <v>3</v>
      </c>
      <c r="M3311" s="561" t="s">
        <v>137</v>
      </c>
      <c r="N3311" s="500"/>
      <c r="O3311" s="564"/>
      <c r="P3311" s="518" t="s">
        <v>4043</v>
      </c>
      <c r="Q3311" s="564"/>
      <c r="R3311" s="564">
        <v>1</v>
      </c>
    </row>
    <row r="3312" spans="1:18" x14ac:dyDescent="0.25">
      <c r="A3312" s="553">
        <v>33</v>
      </c>
      <c r="B3312" s="553">
        <v>2</v>
      </c>
      <c r="C3312" s="553">
        <v>2</v>
      </c>
      <c r="D3312" s="553">
        <v>4</v>
      </c>
      <c r="E3312" s="553">
        <v>2</v>
      </c>
      <c r="F3312" s="553">
        <v>2</v>
      </c>
      <c r="G3312" s="502" t="s">
        <v>489</v>
      </c>
      <c r="H3312" s="564">
        <v>2522.8200000000002</v>
      </c>
      <c r="I3312" s="564">
        <v>89</v>
      </c>
      <c r="J3312" s="564">
        <v>48</v>
      </c>
      <c r="K3312" s="564">
        <v>1</v>
      </c>
      <c r="L3312" s="564">
        <v>3</v>
      </c>
      <c r="M3312" s="561" t="s">
        <v>137</v>
      </c>
      <c r="N3312" s="500"/>
      <c r="O3312" s="564"/>
      <c r="P3312" s="519" t="s">
        <v>4044</v>
      </c>
      <c r="Q3312" s="564"/>
      <c r="R3312" s="564">
        <v>1</v>
      </c>
    </row>
    <row r="3313" spans="1:18" x14ac:dyDescent="0.25">
      <c r="A3313" s="553">
        <v>33</v>
      </c>
      <c r="B3313" s="553">
        <v>2</v>
      </c>
      <c r="C3313" s="553">
        <v>2</v>
      </c>
      <c r="D3313" s="553">
        <v>4</v>
      </c>
      <c r="E3313" s="553">
        <v>2</v>
      </c>
      <c r="F3313" s="553">
        <v>2</v>
      </c>
      <c r="G3313" s="553" t="s">
        <v>491</v>
      </c>
      <c r="H3313" s="553">
        <v>2530.25</v>
      </c>
      <c r="I3313" s="517">
        <v>89</v>
      </c>
      <c r="J3313" s="553">
        <v>37</v>
      </c>
      <c r="K3313" s="553">
        <v>59</v>
      </c>
      <c r="L3313" s="553">
        <v>3</v>
      </c>
      <c r="M3313" s="561" t="s">
        <v>137</v>
      </c>
      <c r="N3313" s="500"/>
      <c r="O3313" s="564"/>
      <c r="P3313" s="518" t="s">
        <v>4045</v>
      </c>
      <c r="Q3313" s="564"/>
      <c r="R3313" s="564">
        <v>1</v>
      </c>
    </row>
    <row r="3314" spans="1:18" x14ac:dyDescent="0.25">
      <c r="A3314" s="553">
        <v>33</v>
      </c>
      <c r="B3314" s="553">
        <v>2</v>
      </c>
      <c r="C3314" s="553">
        <v>2</v>
      </c>
      <c r="D3314" s="553">
        <v>4</v>
      </c>
      <c r="E3314" s="553">
        <v>2</v>
      </c>
      <c r="F3314" s="553">
        <v>2</v>
      </c>
      <c r="G3314" s="553" t="s">
        <v>494</v>
      </c>
      <c r="H3314" s="553">
        <v>121.27</v>
      </c>
      <c r="I3314" s="517">
        <v>89</v>
      </c>
      <c r="J3314" s="553">
        <v>17</v>
      </c>
      <c r="K3314" s="553">
        <v>39</v>
      </c>
      <c r="L3314" s="553">
        <v>2</v>
      </c>
      <c r="M3314" s="561" t="s">
        <v>137</v>
      </c>
      <c r="N3314" s="500"/>
      <c r="O3314" s="564"/>
      <c r="P3314" s="518" t="s">
        <v>4046</v>
      </c>
      <c r="Q3314" s="564"/>
      <c r="R3314" s="564">
        <v>1</v>
      </c>
    </row>
    <row r="3315" spans="1:18" x14ac:dyDescent="0.25">
      <c r="A3315" s="553">
        <v>34</v>
      </c>
      <c r="B3315" s="553">
        <v>7</v>
      </c>
      <c r="C3315" s="553">
        <v>2</v>
      </c>
      <c r="D3315" s="553">
        <v>20</v>
      </c>
      <c r="E3315" s="553">
        <v>1</v>
      </c>
      <c r="F3315" s="553">
        <v>1</v>
      </c>
      <c r="G3315" s="553" t="s">
        <v>473</v>
      </c>
      <c r="H3315" s="553">
        <v>1361.43</v>
      </c>
      <c r="I3315" s="553">
        <v>0</v>
      </c>
      <c r="J3315" s="553">
        <v>36</v>
      </c>
      <c r="K3315" s="553">
        <v>34</v>
      </c>
      <c r="L3315" s="553">
        <v>4</v>
      </c>
      <c r="M3315" s="505" t="s">
        <v>137</v>
      </c>
      <c r="N3315" s="500">
        <v>43047559240000</v>
      </c>
      <c r="O3315" s="553" t="s">
        <v>4047</v>
      </c>
      <c r="P3315" s="650" t="s">
        <v>4048</v>
      </c>
      <c r="Q3315" s="564"/>
      <c r="R3315" s="564">
        <v>2</v>
      </c>
    </row>
    <row r="3316" spans="1:18" x14ac:dyDescent="0.25">
      <c r="A3316" s="553">
        <v>34</v>
      </c>
      <c r="B3316" s="553">
        <v>7</v>
      </c>
      <c r="C3316" s="553">
        <v>2</v>
      </c>
      <c r="D3316" s="553">
        <v>20</v>
      </c>
      <c r="E3316" s="553">
        <v>1</v>
      </c>
      <c r="F3316" s="553">
        <v>1</v>
      </c>
      <c r="G3316" s="502" t="s">
        <v>476</v>
      </c>
      <c r="H3316" s="553">
        <v>1361.43</v>
      </c>
      <c r="I3316" s="553">
        <v>0</v>
      </c>
      <c r="J3316" s="553">
        <v>36</v>
      </c>
      <c r="K3316" s="553">
        <v>34</v>
      </c>
      <c r="L3316" s="553">
        <v>4</v>
      </c>
      <c r="M3316" s="505" t="s">
        <v>137</v>
      </c>
      <c r="N3316" s="500">
        <v>43047559240000</v>
      </c>
      <c r="O3316" s="553" t="s">
        <v>4047</v>
      </c>
      <c r="P3316" s="650" t="s">
        <v>4049</v>
      </c>
      <c r="Q3316" s="564"/>
      <c r="R3316" s="564">
        <v>2</v>
      </c>
    </row>
    <row r="3317" spans="1:18" x14ac:dyDescent="0.25">
      <c r="A3317" s="553">
        <v>34</v>
      </c>
      <c r="B3317" s="553">
        <v>7</v>
      </c>
      <c r="C3317" s="553">
        <v>2</v>
      </c>
      <c r="D3317" s="553">
        <v>20</v>
      </c>
      <c r="E3317" s="553">
        <v>1</v>
      </c>
      <c r="F3317" s="553">
        <v>1</v>
      </c>
      <c r="G3317" s="553" t="s">
        <v>478</v>
      </c>
      <c r="H3317" s="553">
        <v>1362.0450000000001</v>
      </c>
      <c r="I3317" s="553">
        <v>0</v>
      </c>
      <c r="J3317" s="553">
        <v>44</v>
      </c>
      <c r="K3317" s="553">
        <v>43</v>
      </c>
      <c r="L3317" s="499">
        <v>4</v>
      </c>
      <c r="M3317" s="505" t="s">
        <v>137</v>
      </c>
      <c r="N3317" s="500">
        <v>43047559240000</v>
      </c>
      <c r="O3317" s="553" t="s">
        <v>4047</v>
      </c>
      <c r="P3317" s="650" t="s">
        <v>4050</v>
      </c>
      <c r="Q3317" s="564"/>
      <c r="R3317" s="564">
        <v>2</v>
      </c>
    </row>
    <row r="3318" spans="1:18" x14ac:dyDescent="0.25">
      <c r="A3318" s="553">
        <v>34</v>
      </c>
      <c r="B3318" s="553">
        <v>7</v>
      </c>
      <c r="C3318" s="553">
        <v>2</v>
      </c>
      <c r="D3318" s="553">
        <v>20</v>
      </c>
      <c r="E3318" s="553">
        <v>1</v>
      </c>
      <c r="F3318" s="553">
        <v>1</v>
      </c>
      <c r="G3318" s="553" t="s">
        <v>484</v>
      </c>
      <c r="H3318" s="553">
        <v>1362.0450000000001</v>
      </c>
      <c r="I3318" s="553">
        <v>0</v>
      </c>
      <c r="J3318" s="553">
        <v>44</v>
      </c>
      <c r="K3318" s="553">
        <v>43</v>
      </c>
      <c r="L3318" s="553">
        <v>4</v>
      </c>
      <c r="M3318" s="505" t="s">
        <v>137</v>
      </c>
      <c r="N3318" s="500">
        <v>43047559240000</v>
      </c>
      <c r="O3318" s="553" t="s">
        <v>4047</v>
      </c>
      <c r="P3318" s="650" t="s">
        <v>4051</v>
      </c>
      <c r="Q3318" s="564"/>
      <c r="R3318" s="564">
        <v>2</v>
      </c>
    </row>
    <row r="3319" spans="1:18" x14ac:dyDescent="0.25">
      <c r="A3319" s="553">
        <v>34</v>
      </c>
      <c r="B3319" s="553">
        <v>7</v>
      </c>
      <c r="C3319" s="553">
        <v>2</v>
      </c>
      <c r="D3319" s="553">
        <v>20</v>
      </c>
      <c r="E3319" s="553">
        <v>1</v>
      </c>
      <c r="F3319" s="553">
        <v>1</v>
      </c>
      <c r="G3319" s="553" t="s">
        <v>486</v>
      </c>
      <c r="H3319" s="553">
        <v>1351.855</v>
      </c>
      <c r="I3319" s="553">
        <v>0</v>
      </c>
      <c r="J3319" s="553">
        <v>12</v>
      </c>
      <c r="K3319" s="553">
        <v>16</v>
      </c>
      <c r="L3319" s="553">
        <v>4</v>
      </c>
      <c r="M3319" s="505" t="s">
        <v>137</v>
      </c>
      <c r="N3319" s="500">
        <v>43047559240000</v>
      </c>
      <c r="O3319" s="553" t="s">
        <v>4047</v>
      </c>
      <c r="P3319" s="650" t="s">
        <v>4052</v>
      </c>
      <c r="Q3319" s="564"/>
      <c r="R3319" s="564">
        <v>2</v>
      </c>
    </row>
    <row r="3320" spans="1:18" x14ac:dyDescent="0.25">
      <c r="A3320" s="553">
        <v>34</v>
      </c>
      <c r="B3320" s="553">
        <v>7</v>
      </c>
      <c r="C3320" s="553">
        <v>2</v>
      </c>
      <c r="D3320" s="553">
        <v>20</v>
      </c>
      <c r="E3320" s="553">
        <v>1</v>
      </c>
      <c r="F3320" s="553">
        <v>1</v>
      </c>
      <c r="G3320" s="502" t="s">
        <v>488</v>
      </c>
      <c r="H3320" s="553">
        <v>1351.855</v>
      </c>
      <c r="I3320" s="553">
        <v>0</v>
      </c>
      <c r="J3320" s="553">
        <v>12</v>
      </c>
      <c r="K3320" s="553">
        <v>16</v>
      </c>
      <c r="L3320" s="553">
        <v>4</v>
      </c>
      <c r="M3320" s="505" t="s">
        <v>137</v>
      </c>
      <c r="N3320" s="500">
        <v>43047559240000</v>
      </c>
      <c r="O3320" s="553" t="s">
        <v>4047</v>
      </c>
      <c r="P3320" s="650" t="s">
        <v>4053</v>
      </c>
      <c r="Q3320" s="564"/>
      <c r="R3320" s="564">
        <v>2</v>
      </c>
    </row>
    <row r="3321" spans="1:18" x14ac:dyDescent="0.25">
      <c r="A3321" s="553">
        <v>34</v>
      </c>
      <c r="B3321" s="553">
        <v>7</v>
      </c>
      <c r="C3321" s="553">
        <v>2</v>
      </c>
      <c r="D3321" s="553">
        <v>20</v>
      </c>
      <c r="E3321" s="553">
        <v>1</v>
      </c>
      <c r="F3321" s="553">
        <v>1</v>
      </c>
      <c r="G3321" s="553" t="s">
        <v>490</v>
      </c>
      <c r="H3321" s="553">
        <v>1352.4349999999999</v>
      </c>
      <c r="I3321" s="553">
        <v>0</v>
      </c>
      <c r="J3321" s="553">
        <v>41</v>
      </c>
      <c r="K3321" s="553">
        <v>5</v>
      </c>
      <c r="L3321" s="553">
        <v>4</v>
      </c>
      <c r="M3321" s="505" t="s">
        <v>137</v>
      </c>
      <c r="N3321" s="500">
        <v>43047559240000</v>
      </c>
      <c r="O3321" s="553" t="s">
        <v>4047</v>
      </c>
      <c r="P3321" s="650" t="s">
        <v>4054</v>
      </c>
      <c r="Q3321" s="564"/>
      <c r="R3321" s="564">
        <v>2</v>
      </c>
    </row>
    <row r="3322" spans="1:18" x14ac:dyDescent="0.25">
      <c r="A3322" s="553">
        <v>34</v>
      </c>
      <c r="B3322" s="553">
        <v>7</v>
      </c>
      <c r="C3322" s="553">
        <v>2</v>
      </c>
      <c r="D3322" s="553">
        <v>20</v>
      </c>
      <c r="E3322" s="553">
        <v>1</v>
      </c>
      <c r="F3322" s="553">
        <v>1</v>
      </c>
      <c r="G3322" s="553" t="s">
        <v>493</v>
      </c>
      <c r="H3322" s="553">
        <v>1352.4349999999999</v>
      </c>
      <c r="I3322" s="553">
        <v>0</v>
      </c>
      <c r="J3322" s="553">
        <v>41</v>
      </c>
      <c r="K3322" s="553">
        <v>5</v>
      </c>
      <c r="L3322" s="553">
        <v>4</v>
      </c>
      <c r="M3322" s="505" t="s">
        <v>137</v>
      </c>
      <c r="N3322" s="500">
        <v>43047559240000</v>
      </c>
      <c r="O3322" s="553" t="s">
        <v>4047</v>
      </c>
      <c r="P3322" s="650" t="s">
        <v>4055</v>
      </c>
      <c r="Q3322" s="564"/>
      <c r="R3322" s="564">
        <v>2</v>
      </c>
    </row>
    <row r="3323" spans="1:18" x14ac:dyDescent="0.25">
      <c r="A3323" s="553">
        <v>34</v>
      </c>
      <c r="B3323" s="553">
        <v>7</v>
      </c>
      <c r="C3323" s="553">
        <v>2</v>
      </c>
      <c r="D3323" s="553">
        <v>20</v>
      </c>
      <c r="E3323" s="553">
        <v>1</v>
      </c>
      <c r="F3323" s="553">
        <v>1</v>
      </c>
      <c r="G3323" s="553" t="s">
        <v>474</v>
      </c>
      <c r="H3323" s="553">
        <v>1339.04</v>
      </c>
      <c r="I3323" s="553">
        <v>87</v>
      </c>
      <c r="J3323" s="553">
        <v>24</v>
      </c>
      <c r="K3323" s="553">
        <v>25</v>
      </c>
      <c r="L3323" s="553">
        <v>4</v>
      </c>
      <c r="M3323" s="505" t="s">
        <v>137</v>
      </c>
      <c r="N3323" s="500">
        <v>43047559240000</v>
      </c>
      <c r="O3323" s="553" t="s">
        <v>4047</v>
      </c>
      <c r="P3323" s="650" t="s">
        <v>4056</v>
      </c>
      <c r="Q3323" s="564"/>
      <c r="R3323" s="564">
        <v>2</v>
      </c>
    </row>
    <row r="3324" spans="1:18" x14ac:dyDescent="0.25">
      <c r="A3324" s="553">
        <v>34</v>
      </c>
      <c r="B3324" s="553">
        <v>7</v>
      </c>
      <c r="C3324" s="553">
        <v>2</v>
      </c>
      <c r="D3324" s="553">
        <v>20</v>
      </c>
      <c r="E3324" s="553">
        <v>1</v>
      </c>
      <c r="F3324" s="553">
        <v>1</v>
      </c>
      <c r="G3324" s="502" t="s">
        <v>477</v>
      </c>
      <c r="H3324" s="553">
        <v>1339.04</v>
      </c>
      <c r="I3324" s="553">
        <v>87</v>
      </c>
      <c r="J3324" s="553">
        <v>24</v>
      </c>
      <c r="K3324" s="553">
        <v>25</v>
      </c>
      <c r="L3324" s="553">
        <v>4</v>
      </c>
      <c r="M3324" s="505" t="s">
        <v>137</v>
      </c>
      <c r="N3324" s="500">
        <v>43047559240000</v>
      </c>
      <c r="O3324" s="553" t="s">
        <v>4047</v>
      </c>
      <c r="P3324" s="650" t="s">
        <v>4057</v>
      </c>
      <c r="Q3324" s="564"/>
      <c r="R3324" s="564">
        <v>2</v>
      </c>
    </row>
    <row r="3325" spans="1:18" x14ac:dyDescent="0.25">
      <c r="A3325" s="553">
        <v>34</v>
      </c>
      <c r="B3325" s="553">
        <v>7</v>
      </c>
      <c r="C3325" s="553">
        <v>2</v>
      </c>
      <c r="D3325" s="553">
        <v>20</v>
      </c>
      <c r="E3325" s="553">
        <v>1</v>
      </c>
      <c r="F3325" s="553">
        <v>1</v>
      </c>
      <c r="G3325" s="553" t="s">
        <v>479</v>
      </c>
      <c r="H3325" s="553">
        <v>1318.02</v>
      </c>
      <c r="I3325" s="553">
        <v>87</v>
      </c>
      <c r="J3325" s="553">
        <v>0</v>
      </c>
      <c r="K3325" s="553">
        <v>47</v>
      </c>
      <c r="L3325" s="553">
        <v>4</v>
      </c>
      <c r="M3325" s="505" t="s">
        <v>137</v>
      </c>
      <c r="N3325" s="500">
        <v>43047559240000</v>
      </c>
      <c r="O3325" s="553" t="s">
        <v>4047</v>
      </c>
      <c r="P3325" s="650" t="s">
        <v>4058</v>
      </c>
      <c r="Q3325" s="564"/>
      <c r="R3325" s="564">
        <v>2</v>
      </c>
    </row>
    <row r="3326" spans="1:18" x14ac:dyDescent="0.25">
      <c r="A3326" s="553">
        <v>34</v>
      </c>
      <c r="B3326" s="553">
        <v>7</v>
      </c>
      <c r="C3326" s="553">
        <v>2</v>
      </c>
      <c r="D3326" s="553">
        <v>20</v>
      </c>
      <c r="E3326" s="553">
        <v>1</v>
      </c>
      <c r="F3326" s="553">
        <v>1</v>
      </c>
      <c r="G3326" s="553" t="s">
        <v>485</v>
      </c>
      <c r="H3326" s="553">
        <v>1337.97</v>
      </c>
      <c r="I3326" s="553">
        <v>81</v>
      </c>
      <c r="J3326" s="553">
        <v>44</v>
      </c>
      <c r="K3326" s="553">
        <v>27</v>
      </c>
      <c r="L3326" s="553">
        <v>3</v>
      </c>
      <c r="M3326" s="505" t="s">
        <v>137</v>
      </c>
      <c r="N3326" s="500">
        <v>43047559240000</v>
      </c>
      <c r="O3326" s="553" t="s">
        <v>4047</v>
      </c>
      <c r="P3326" s="650" t="s">
        <v>4059</v>
      </c>
      <c r="Q3326" s="564"/>
      <c r="R3326" s="564">
        <v>2</v>
      </c>
    </row>
    <row r="3327" spans="1:18" x14ac:dyDescent="0.25">
      <c r="A3327" s="553">
        <v>34</v>
      </c>
      <c r="B3327" s="553">
        <v>7</v>
      </c>
      <c r="C3327" s="553">
        <v>2</v>
      </c>
      <c r="D3327" s="553">
        <v>20</v>
      </c>
      <c r="E3327" s="553">
        <v>1</v>
      </c>
      <c r="F3327" s="553">
        <v>1</v>
      </c>
      <c r="G3327" s="553" t="s">
        <v>487</v>
      </c>
      <c r="H3327" s="553">
        <v>1315.74</v>
      </c>
      <c r="I3327" s="553">
        <v>89</v>
      </c>
      <c r="J3327" s="553">
        <v>49</v>
      </c>
      <c r="K3327" s="553">
        <v>34</v>
      </c>
      <c r="L3327" s="553">
        <v>3</v>
      </c>
      <c r="M3327" s="505" t="s">
        <v>137</v>
      </c>
      <c r="N3327" s="500">
        <v>43047559240000</v>
      </c>
      <c r="O3327" s="553" t="s">
        <v>4047</v>
      </c>
      <c r="P3327" s="650" t="s">
        <v>4060</v>
      </c>
      <c r="Q3327" s="564"/>
      <c r="R3327" s="564">
        <v>2</v>
      </c>
    </row>
    <row r="3328" spans="1:18" x14ac:dyDescent="0.25">
      <c r="A3328" s="553">
        <v>34</v>
      </c>
      <c r="B3328" s="553">
        <v>7</v>
      </c>
      <c r="C3328" s="553">
        <v>2</v>
      </c>
      <c r="D3328" s="553">
        <v>20</v>
      </c>
      <c r="E3328" s="553">
        <v>1</v>
      </c>
      <c r="F3328" s="553">
        <v>1</v>
      </c>
      <c r="G3328" s="502" t="s">
        <v>489</v>
      </c>
      <c r="H3328" s="553">
        <v>1315.74</v>
      </c>
      <c r="I3328" s="553">
        <v>89</v>
      </c>
      <c r="J3328" s="553">
        <v>49</v>
      </c>
      <c r="K3328" s="553">
        <v>34</v>
      </c>
      <c r="L3328" s="553">
        <v>3</v>
      </c>
      <c r="M3328" s="505" t="s">
        <v>137</v>
      </c>
      <c r="N3328" s="500">
        <v>43047559240000</v>
      </c>
      <c r="O3328" s="553" t="s">
        <v>4047</v>
      </c>
      <c r="P3328" s="650" t="s">
        <v>4061</v>
      </c>
      <c r="Q3328" s="564"/>
      <c r="R3328" s="564">
        <v>2</v>
      </c>
    </row>
    <row r="3329" spans="1:18" x14ac:dyDescent="0.25">
      <c r="A3329" s="553">
        <v>34</v>
      </c>
      <c r="B3329" s="553">
        <v>7</v>
      </c>
      <c r="C3329" s="553">
        <v>2</v>
      </c>
      <c r="D3329" s="553">
        <v>20</v>
      </c>
      <c r="E3329" s="553">
        <v>1</v>
      </c>
      <c r="F3329" s="553">
        <v>1</v>
      </c>
      <c r="G3329" s="553" t="s">
        <v>491</v>
      </c>
      <c r="H3329" s="553">
        <v>1330.9849999999999</v>
      </c>
      <c r="I3329" s="553">
        <v>89</v>
      </c>
      <c r="J3329" s="553">
        <v>17</v>
      </c>
      <c r="K3329" s="553">
        <v>56</v>
      </c>
      <c r="L3329" s="553">
        <v>3</v>
      </c>
      <c r="M3329" s="505" t="s">
        <v>137</v>
      </c>
      <c r="N3329" s="500">
        <v>43047559240000</v>
      </c>
      <c r="O3329" s="553" t="s">
        <v>4047</v>
      </c>
      <c r="P3329" s="650" t="s">
        <v>4062</v>
      </c>
      <c r="Q3329" s="564"/>
      <c r="R3329" s="564">
        <v>2</v>
      </c>
    </row>
    <row r="3330" spans="1:18" x14ac:dyDescent="0.25">
      <c r="A3330" s="553">
        <v>34</v>
      </c>
      <c r="B3330" s="553">
        <v>7</v>
      </c>
      <c r="C3330" s="553">
        <v>2</v>
      </c>
      <c r="D3330" s="553">
        <v>20</v>
      </c>
      <c r="E3330" s="553">
        <v>1</v>
      </c>
      <c r="F3330" s="553">
        <v>1</v>
      </c>
      <c r="G3330" s="553" t="s">
        <v>494</v>
      </c>
      <c r="H3330" s="553">
        <v>1330.9849999999999</v>
      </c>
      <c r="I3330" s="553">
        <v>89</v>
      </c>
      <c r="J3330" s="553">
        <v>17</v>
      </c>
      <c r="K3330" s="553">
        <v>56</v>
      </c>
      <c r="L3330" s="553">
        <v>3</v>
      </c>
      <c r="M3330" s="505" t="s">
        <v>137</v>
      </c>
      <c r="N3330" s="500">
        <v>43047559240000</v>
      </c>
      <c r="O3330" s="553" t="s">
        <v>4047</v>
      </c>
      <c r="P3330" s="650" t="s">
        <v>4063</v>
      </c>
      <c r="Q3330" s="564"/>
      <c r="R3330" s="564">
        <v>2</v>
      </c>
    </row>
    <row r="3331" spans="1:18" x14ac:dyDescent="0.25">
      <c r="A3331" s="553">
        <v>34</v>
      </c>
      <c r="B3331" s="553">
        <v>2</v>
      </c>
      <c r="C3331" s="553">
        <v>2</v>
      </c>
      <c r="D3331" s="553">
        <v>2</v>
      </c>
      <c r="E3331" s="553">
        <v>2</v>
      </c>
      <c r="F3331" s="553">
        <v>2</v>
      </c>
      <c r="G3331" s="553" t="s">
        <v>473</v>
      </c>
      <c r="H3331" s="553">
        <v>1337.5350000000001</v>
      </c>
      <c r="I3331" s="553">
        <v>0</v>
      </c>
      <c r="J3331" s="553">
        <v>1</v>
      </c>
      <c r="K3331" s="553">
        <v>32</v>
      </c>
      <c r="L3331" s="553">
        <v>2</v>
      </c>
      <c r="M3331" s="505" t="s">
        <v>137</v>
      </c>
      <c r="N3331" s="500">
        <v>43013539590000</v>
      </c>
      <c r="O3331" s="553" t="s">
        <v>3432</v>
      </c>
      <c r="P3331" s="650" t="s">
        <v>4064</v>
      </c>
      <c r="Q3331" s="564"/>
      <c r="R3331" s="564">
        <v>1</v>
      </c>
    </row>
    <row r="3332" spans="1:18" x14ac:dyDescent="0.25">
      <c r="A3332" s="553">
        <v>34</v>
      </c>
      <c r="B3332" s="553">
        <v>2</v>
      </c>
      <c r="C3332" s="553">
        <v>2</v>
      </c>
      <c r="D3332" s="553">
        <v>2</v>
      </c>
      <c r="E3332" s="553">
        <v>2</v>
      </c>
      <c r="F3332" s="553">
        <v>2</v>
      </c>
      <c r="G3332" s="502" t="s">
        <v>476</v>
      </c>
      <c r="H3332" s="553">
        <v>1337.5350000000001</v>
      </c>
      <c r="I3332" s="553">
        <v>0</v>
      </c>
      <c r="J3332" s="553">
        <v>1</v>
      </c>
      <c r="K3332" s="553">
        <v>32</v>
      </c>
      <c r="L3332" s="553">
        <v>2</v>
      </c>
      <c r="M3332" s="505" t="s">
        <v>137</v>
      </c>
      <c r="N3332" s="500">
        <v>43013539590000</v>
      </c>
      <c r="O3332" s="553" t="s">
        <v>3432</v>
      </c>
      <c r="P3332" s="650" t="s">
        <v>4065</v>
      </c>
      <c r="Q3332" s="564"/>
      <c r="R3332" s="564">
        <v>1</v>
      </c>
    </row>
    <row r="3333" spans="1:18" x14ac:dyDescent="0.25">
      <c r="A3333" s="553">
        <v>34</v>
      </c>
      <c r="B3333" s="553">
        <v>2</v>
      </c>
      <c r="C3333" s="553">
        <v>2</v>
      </c>
      <c r="D3333" s="553">
        <v>2</v>
      </c>
      <c r="E3333" s="553">
        <v>2</v>
      </c>
      <c r="F3333" s="553">
        <v>2</v>
      </c>
      <c r="G3333" s="553" t="s">
        <v>478</v>
      </c>
      <c r="H3333" s="553">
        <v>1317.05</v>
      </c>
      <c r="I3333" s="553">
        <v>0</v>
      </c>
      <c r="J3333" s="553">
        <v>20</v>
      </c>
      <c r="K3333" s="553">
        <v>18</v>
      </c>
      <c r="L3333" s="553">
        <v>4</v>
      </c>
      <c r="M3333" s="505" t="s">
        <v>137</v>
      </c>
      <c r="N3333" s="500">
        <v>43013539590000</v>
      </c>
      <c r="O3333" s="553" t="s">
        <v>3432</v>
      </c>
      <c r="P3333" s="650" t="s">
        <v>4066</v>
      </c>
      <c r="Q3333" s="564"/>
      <c r="R3333" s="564">
        <v>1</v>
      </c>
    </row>
    <row r="3334" spans="1:18" x14ac:dyDescent="0.25">
      <c r="A3334" s="553">
        <v>34</v>
      </c>
      <c r="B3334" s="553">
        <v>2</v>
      </c>
      <c r="C3334" s="553">
        <v>2</v>
      </c>
      <c r="D3334" s="553">
        <v>2</v>
      </c>
      <c r="E3334" s="553">
        <v>2</v>
      </c>
      <c r="F3334" s="553">
        <v>2</v>
      </c>
      <c r="G3334" s="553" t="s">
        <v>484</v>
      </c>
      <c r="H3334" s="553">
        <v>1318.09</v>
      </c>
      <c r="I3334" s="553">
        <v>0</v>
      </c>
      <c r="J3334" s="553">
        <v>7</v>
      </c>
      <c r="K3334" s="553">
        <v>13</v>
      </c>
      <c r="L3334" s="553">
        <v>4</v>
      </c>
      <c r="M3334" s="505" t="s">
        <v>137</v>
      </c>
      <c r="N3334" s="500">
        <v>43013539590000</v>
      </c>
      <c r="O3334" s="553" t="s">
        <v>3432</v>
      </c>
      <c r="P3334" s="650" t="s">
        <v>4067</v>
      </c>
      <c r="Q3334" s="564"/>
      <c r="R3334" s="564">
        <v>1</v>
      </c>
    </row>
    <row r="3335" spans="1:18" x14ac:dyDescent="0.25">
      <c r="A3335" s="553">
        <v>34</v>
      </c>
      <c r="B3335" s="553">
        <v>2</v>
      </c>
      <c r="C3335" s="553">
        <v>2</v>
      </c>
      <c r="D3335" s="553">
        <v>2</v>
      </c>
      <c r="E3335" s="553">
        <v>2</v>
      </c>
      <c r="F3335" s="553">
        <v>2</v>
      </c>
      <c r="G3335" s="553" t="s">
        <v>486</v>
      </c>
      <c r="H3335" s="553">
        <v>1271.665</v>
      </c>
      <c r="I3335" s="553">
        <v>0</v>
      </c>
      <c r="J3335" s="553">
        <v>7</v>
      </c>
      <c r="K3335" s="553">
        <v>18</v>
      </c>
      <c r="L3335" s="553">
        <v>4</v>
      </c>
      <c r="M3335" s="505" t="s">
        <v>137</v>
      </c>
      <c r="N3335" s="500">
        <v>43013539590000</v>
      </c>
      <c r="O3335" s="553" t="s">
        <v>3432</v>
      </c>
      <c r="P3335" s="650" t="s">
        <v>4068</v>
      </c>
      <c r="Q3335" s="564"/>
      <c r="R3335" s="564">
        <v>1</v>
      </c>
    </row>
    <row r="3336" spans="1:18" x14ac:dyDescent="0.25">
      <c r="A3336" s="553">
        <v>34</v>
      </c>
      <c r="B3336" s="553">
        <v>2</v>
      </c>
      <c r="C3336" s="553">
        <v>2</v>
      </c>
      <c r="D3336" s="553">
        <v>2</v>
      </c>
      <c r="E3336" s="553">
        <v>2</v>
      </c>
      <c r="F3336" s="553">
        <v>2</v>
      </c>
      <c r="G3336" s="502" t="s">
        <v>488</v>
      </c>
      <c r="H3336" s="553">
        <v>1271.665</v>
      </c>
      <c r="I3336" s="553">
        <v>0</v>
      </c>
      <c r="J3336" s="553">
        <v>7</v>
      </c>
      <c r="K3336" s="553">
        <v>18</v>
      </c>
      <c r="L3336" s="553">
        <v>4</v>
      </c>
      <c r="M3336" s="505" t="s">
        <v>137</v>
      </c>
      <c r="N3336" s="500">
        <v>43013539590000</v>
      </c>
      <c r="O3336" s="553" t="s">
        <v>3432</v>
      </c>
      <c r="P3336" s="650" t="s">
        <v>4069</v>
      </c>
      <c r="Q3336" s="564"/>
      <c r="R3336" s="564">
        <v>1</v>
      </c>
    </row>
    <row r="3337" spans="1:18" x14ac:dyDescent="0.25">
      <c r="A3337" s="553">
        <v>34</v>
      </c>
      <c r="B3337" s="553">
        <v>2</v>
      </c>
      <c r="C3337" s="553">
        <v>2</v>
      </c>
      <c r="D3337" s="553">
        <v>2</v>
      </c>
      <c r="E3337" s="553">
        <v>2</v>
      </c>
      <c r="F3337" s="553">
        <v>2</v>
      </c>
      <c r="G3337" s="553" t="s">
        <v>490</v>
      </c>
      <c r="H3337" s="553">
        <v>1271.665</v>
      </c>
      <c r="I3337" s="553">
        <v>0</v>
      </c>
      <c r="J3337" s="553">
        <v>7</v>
      </c>
      <c r="K3337" s="553">
        <v>18</v>
      </c>
      <c r="L3337" s="553">
        <v>4</v>
      </c>
      <c r="M3337" s="505" t="s">
        <v>137</v>
      </c>
      <c r="N3337" s="500">
        <v>43013539590000</v>
      </c>
      <c r="O3337" s="553" t="s">
        <v>3432</v>
      </c>
      <c r="P3337" s="650" t="s">
        <v>4070</v>
      </c>
      <c r="Q3337" s="564"/>
      <c r="R3337" s="564">
        <v>1</v>
      </c>
    </row>
    <row r="3338" spans="1:18" x14ac:dyDescent="0.25">
      <c r="A3338" s="553">
        <v>34</v>
      </c>
      <c r="B3338" s="553">
        <v>2</v>
      </c>
      <c r="C3338" s="553">
        <v>2</v>
      </c>
      <c r="D3338" s="553">
        <v>2</v>
      </c>
      <c r="E3338" s="553">
        <v>2</v>
      </c>
      <c r="F3338" s="553">
        <v>2</v>
      </c>
      <c r="G3338" s="553" t="s">
        <v>493</v>
      </c>
      <c r="H3338" s="553">
        <v>1271.665</v>
      </c>
      <c r="I3338" s="553">
        <v>0</v>
      </c>
      <c r="J3338" s="553">
        <v>7</v>
      </c>
      <c r="K3338" s="553">
        <v>18</v>
      </c>
      <c r="L3338" s="553">
        <v>4</v>
      </c>
      <c r="M3338" s="505" t="s">
        <v>137</v>
      </c>
      <c r="N3338" s="500">
        <v>43013539590000</v>
      </c>
      <c r="O3338" s="553" t="s">
        <v>3432</v>
      </c>
      <c r="P3338" s="650" t="s">
        <v>4071</v>
      </c>
      <c r="Q3338" s="564"/>
      <c r="R3338" s="564">
        <v>1</v>
      </c>
    </row>
    <row r="3339" spans="1:18" x14ac:dyDescent="0.25">
      <c r="A3339" s="553">
        <v>34</v>
      </c>
      <c r="B3339" s="553">
        <v>2</v>
      </c>
      <c r="C3339" s="553">
        <v>2</v>
      </c>
      <c r="D3339" s="553">
        <v>2</v>
      </c>
      <c r="E3339" s="553">
        <v>2</v>
      </c>
      <c r="F3339" s="553">
        <v>2</v>
      </c>
      <c r="G3339" s="553" t="s">
        <v>474</v>
      </c>
      <c r="H3339" s="553">
        <v>1325.6575</v>
      </c>
      <c r="I3339" s="553">
        <v>89</v>
      </c>
      <c r="J3339" s="553">
        <v>22</v>
      </c>
      <c r="K3339" s="553">
        <v>41</v>
      </c>
      <c r="L3339" s="553">
        <v>4</v>
      </c>
      <c r="M3339" s="505" t="s">
        <v>137</v>
      </c>
      <c r="N3339" s="500">
        <v>43013539590000</v>
      </c>
      <c r="O3339" s="553" t="s">
        <v>3432</v>
      </c>
      <c r="P3339" s="650" t="s">
        <v>4072</v>
      </c>
      <c r="Q3339" s="564"/>
      <c r="R3339" s="564">
        <v>1</v>
      </c>
    </row>
    <row r="3340" spans="1:18" x14ac:dyDescent="0.25">
      <c r="A3340" s="553">
        <v>34</v>
      </c>
      <c r="B3340" s="553">
        <v>2</v>
      </c>
      <c r="C3340" s="553">
        <v>2</v>
      </c>
      <c r="D3340" s="553">
        <v>2</v>
      </c>
      <c r="E3340" s="553">
        <v>2</v>
      </c>
      <c r="F3340" s="553">
        <v>2</v>
      </c>
      <c r="G3340" s="502" t="s">
        <v>477</v>
      </c>
      <c r="H3340" s="553">
        <v>1325.6575</v>
      </c>
      <c r="I3340" s="553">
        <v>89</v>
      </c>
      <c r="J3340" s="553">
        <v>22</v>
      </c>
      <c r="K3340" s="553">
        <v>41</v>
      </c>
      <c r="L3340" s="553">
        <v>4</v>
      </c>
      <c r="M3340" s="505" t="s">
        <v>137</v>
      </c>
      <c r="N3340" s="500">
        <v>43013539590000</v>
      </c>
      <c r="O3340" s="553" t="s">
        <v>3432</v>
      </c>
      <c r="P3340" s="650" t="s">
        <v>4073</v>
      </c>
      <c r="Q3340" s="564"/>
      <c r="R3340" s="564">
        <v>1</v>
      </c>
    </row>
    <row r="3341" spans="1:18" x14ac:dyDescent="0.25">
      <c r="A3341" s="553">
        <v>34</v>
      </c>
      <c r="B3341" s="553">
        <v>2</v>
      </c>
      <c r="C3341" s="553">
        <v>2</v>
      </c>
      <c r="D3341" s="553">
        <v>2</v>
      </c>
      <c r="E3341" s="553">
        <v>2</v>
      </c>
      <c r="F3341" s="553">
        <v>2</v>
      </c>
      <c r="G3341" s="553" t="s">
        <v>479</v>
      </c>
      <c r="H3341" s="553">
        <v>1325.6575</v>
      </c>
      <c r="I3341" s="553">
        <v>89</v>
      </c>
      <c r="J3341" s="553">
        <v>22</v>
      </c>
      <c r="K3341" s="553">
        <v>41</v>
      </c>
      <c r="L3341" s="553">
        <v>4</v>
      </c>
      <c r="M3341" s="505" t="s">
        <v>137</v>
      </c>
      <c r="N3341" s="500">
        <v>43013539590000</v>
      </c>
      <c r="O3341" s="553" t="s">
        <v>3432</v>
      </c>
      <c r="P3341" s="650" t="s">
        <v>4074</v>
      </c>
      <c r="Q3341" s="564"/>
      <c r="R3341" s="564">
        <v>1</v>
      </c>
    </row>
    <row r="3342" spans="1:18" x14ac:dyDescent="0.25">
      <c r="A3342" s="553">
        <v>34</v>
      </c>
      <c r="B3342" s="553">
        <v>2</v>
      </c>
      <c r="C3342" s="553">
        <v>2</v>
      </c>
      <c r="D3342" s="553">
        <v>2</v>
      </c>
      <c r="E3342" s="553">
        <v>2</v>
      </c>
      <c r="F3342" s="553">
        <v>2</v>
      </c>
      <c r="G3342" s="553" t="s">
        <v>485</v>
      </c>
      <c r="H3342" s="553">
        <v>1325.6575</v>
      </c>
      <c r="I3342" s="553">
        <v>89</v>
      </c>
      <c r="J3342" s="553">
        <v>22</v>
      </c>
      <c r="K3342" s="553">
        <v>41</v>
      </c>
      <c r="L3342" s="553">
        <v>4</v>
      </c>
      <c r="M3342" s="505" t="s">
        <v>137</v>
      </c>
      <c r="N3342" s="500">
        <v>43013539590000</v>
      </c>
      <c r="O3342" s="553" t="s">
        <v>3432</v>
      </c>
      <c r="P3342" s="650" t="s">
        <v>4075</v>
      </c>
      <c r="Q3342" s="564"/>
      <c r="R3342" s="564">
        <v>1</v>
      </c>
    </row>
    <row r="3343" spans="1:18" x14ac:dyDescent="0.25">
      <c r="A3343" s="553">
        <v>34</v>
      </c>
      <c r="B3343" s="553">
        <v>2</v>
      </c>
      <c r="C3343" s="553">
        <v>2</v>
      </c>
      <c r="D3343" s="553">
        <v>2</v>
      </c>
      <c r="E3343" s="553">
        <v>2</v>
      </c>
      <c r="F3343" s="553">
        <v>2</v>
      </c>
      <c r="G3343" s="553" t="s">
        <v>487</v>
      </c>
      <c r="H3343" s="553">
        <v>1328.86</v>
      </c>
      <c r="I3343" s="553">
        <v>89</v>
      </c>
      <c r="J3343" s="553">
        <v>16</v>
      </c>
      <c r="K3343" s="553">
        <v>3</v>
      </c>
      <c r="L3343" s="553">
        <v>2</v>
      </c>
      <c r="M3343" s="505" t="s">
        <v>137</v>
      </c>
      <c r="N3343" s="500">
        <v>43013539590000</v>
      </c>
      <c r="O3343" s="553" t="s">
        <v>3432</v>
      </c>
      <c r="P3343" s="650" t="s">
        <v>4076</v>
      </c>
      <c r="Q3343" s="564"/>
      <c r="R3343" s="564">
        <v>1</v>
      </c>
    </row>
    <row r="3344" spans="1:18" x14ac:dyDescent="0.25">
      <c r="A3344" s="553">
        <v>34</v>
      </c>
      <c r="B3344" s="553">
        <v>2</v>
      </c>
      <c r="C3344" s="553">
        <v>2</v>
      </c>
      <c r="D3344" s="553">
        <v>2</v>
      </c>
      <c r="E3344" s="553">
        <v>2</v>
      </c>
      <c r="F3344" s="553">
        <v>2</v>
      </c>
      <c r="G3344" s="502" t="s">
        <v>489</v>
      </c>
      <c r="H3344" s="553">
        <v>1328.73</v>
      </c>
      <c r="I3344" s="553">
        <v>89</v>
      </c>
      <c r="J3344" s="553">
        <v>15</v>
      </c>
      <c r="K3344" s="553">
        <v>21</v>
      </c>
      <c r="L3344" s="553">
        <v>2</v>
      </c>
      <c r="M3344" s="505" t="s">
        <v>137</v>
      </c>
      <c r="N3344" s="500">
        <v>43013539590000</v>
      </c>
      <c r="O3344" s="553" t="s">
        <v>3432</v>
      </c>
      <c r="P3344" s="650" t="s">
        <v>4077</v>
      </c>
      <c r="Q3344" s="564"/>
      <c r="R3344" s="564">
        <v>1</v>
      </c>
    </row>
    <row r="3345" spans="1:18" x14ac:dyDescent="0.25">
      <c r="A3345" s="553">
        <v>34</v>
      </c>
      <c r="B3345" s="553">
        <v>2</v>
      </c>
      <c r="C3345" s="553">
        <v>2</v>
      </c>
      <c r="D3345" s="553">
        <v>2</v>
      </c>
      <c r="E3345" s="553">
        <v>2</v>
      </c>
      <c r="F3345" s="553">
        <v>2</v>
      </c>
      <c r="G3345" s="553" t="s">
        <v>491</v>
      </c>
      <c r="H3345" s="553">
        <v>1323.2750000000001</v>
      </c>
      <c r="I3345" s="553">
        <v>89</v>
      </c>
      <c r="J3345" s="553">
        <v>18</v>
      </c>
      <c r="K3345" s="553">
        <v>48</v>
      </c>
      <c r="L3345" s="553">
        <v>2</v>
      </c>
      <c r="M3345" s="505" t="s">
        <v>137</v>
      </c>
      <c r="N3345" s="500">
        <v>43013539590000</v>
      </c>
      <c r="O3345" s="553" t="s">
        <v>3432</v>
      </c>
      <c r="P3345" s="650" t="s">
        <v>4078</v>
      </c>
      <c r="Q3345" s="564"/>
      <c r="R3345" s="564">
        <v>1</v>
      </c>
    </row>
    <row r="3346" spans="1:18" x14ac:dyDescent="0.25">
      <c r="A3346" s="553">
        <v>34</v>
      </c>
      <c r="B3346" s="553">
        <v>2</v>
      </c>
      <c r="C3346" s="553">
        <v>2</v>
      </c>
      <c r="D3346" s="553">
        <v>2</v>
      </c>
      <c r="E3346" s="553">
        <v>2</v>
      </c>
      <c r="F3346" s="553">
        <v>2</v>
      </c>
      <c r="G3346" s="553" t="s">
        <v>494</v>
      </c>
      <c r="H3346" s="553">
        <v>1323.2750000000001</v>
      </c>
      <c r="I3346" s="553">
        <v>89</v>
      </c>
      <c r="J3346" s="553">
        <v>18</v>
      </c>
      <c r="K3346" s="553">
        <v>48</v>
      </c>
      <c r="L3346" s="553">
        <v>2</v>
      </c>
      <c r="M3346" s="505" t="s">
        <v>137</v>
      </c>
      <c r="N3346" s="500">
        <v>43013539590000</v>
      </c>
      <c r="O3346" s="553" t="s">
        <v>3432</v>
      </c>
      <c r="P3346" s="650" t="s">
        <v>4079</v>
      </c>
      <c r="Q3346" s="564"/>
      <c r="R3346" s="564">
        <v>1</v>
      </c>
    </row>
    <row r="3347" spans="1:18" x14ac:dyDescent="0.25">
      <c r="A3347" s="553">
        <v>34</v>
      </c>
      <c r="B3347" s="553">
        <v>3</v>
      </c>
      <c r="C3347" s="553">
        <v>2</v>
      </c>
      <c r="D3347" s="553">
        <v>1</v>
      </c>
      <c r="E3347" s="553">
        <v>2</v>
      </c>
      <c r="F3347" s="553">
        <v>2</v>
      </c>
      <c r="G3347" s="553" t="s">
        <v>473</v>
      </c>
      <c r="H3347" s="553">
        <v>1359.14</v>
      </c>
      <c r="I3347" s="553">
        <v>0</v>
      </c>
      <c r="J3347" s="553">
        <v>23</v>
      </c>
      <c r="K3347" s="553">
        <v>38</v>
      </c>
      <c r="L3347" s="553">
        <v>4</v>
      </c>
      <c r="M3347" s="505" t="s">
        <v>137</v>
      </c>
      <c r="N3347" s="500">
        <v>43013534790000</v>
      </c>
      <c r="O3347" s="553" t="s">
        <v>1931</v>
      </c>
      <c r="P3347" s="650" t="s">
        <v>4080</v>
      </c>
      <c r="Q3347" s="564"/>
      <c r="R3347" s="564">
        <v>2</v>
      </c>
    </row>
    <row r="3348" spans="1:18" x14ac:dyDescent="0.25">
      <c r="A3348" s="553">
        <v>34</v>
      </c>
      <c r="B3348" s="553">
        <v>3</v>
      </c>
      <c r="C3348" s="553">
        <v>2</v>
      </c>
      <c r="D3348" s="553">
        <v>1</v>
      </c>
      <c r="E3348" s="553">
        <v>2</v>
      </c>
      <c r="F3348" s="553">
        <v>2</v>
      </c>
      <c r="G3348" s="502" t="s">
        <v>476</v>
      </c>
      <c r="H3348" s="553">
        <v>1271.02</v>
      </c>
      <c r="I3348" s="553">
        <v>0</v>
      </c>
      <c r="J3348" s="553">
        <v>26</v>
      </c>
      <c r="K3348" s="553">
        <v>38</v>
      </c>
      <c r="L3348" s="553">
        <v>4</v>
      </c>
      <c r="M3348" s="505" t="s">
        <v>137</v>
      </c>
      <c r="N3348" s="500">
        <v>43013534790000</v>
      </c>
      <c r="O3348" s="553" t="s">
        <v>1931</v>
      </c>
      <c r="P3348" s="650" t="s">
        <v>4081</v>
      </c>
      <c r="Q3348" s="564"/>
      <c r="R3348" s="564">
        <v>2</v>
      </c>
    </row>
    <row r="3349" spans="1:18" x14ac:dyDescent="0.25">
      <c r="A3349" s="553">
        <v>34</v>
      </c>
      <c r="B3349" s="553">
        <v>3</v>
      </c>
      <c r="C3349" s="553">
        <v>2</v>
      </c>
      <c r="D3349" s="553">
        <v>1</v>
      </c>
      <c r="E3349" s="553">
        <v>2</v>
      </c>
      <c r="F3349" s="553">
        <v>2</v>
      </c>
      <c r="G3349" s="553" t="s">
        <v>478</v>
      </c>
      <c r="H3349" s="553">
        <v>1313.01</v>
      </c>
      <c r="I3349" s="553">
        <v>1</v>
      </c>
      <c r="J3349" s="553">
        <v>7</v>
      </c>
      <c r="K3349" s="553">
        <v>1</v>
      </c>
      <c r="L3349" s="553">
        <v>4</v>
      </c>
      <c r="M3349" s="505" t="s">
        <v>137</v>
      </c>
      <c r="N3349" s="500">
        <v>43013534790000</v>
      </c>
      <c r="O3349" s="553" t="s">
        <v>1931</v>
      </c>
      <c r="P3349" s="650" t="s">
        <v>4082</v>
      </c>
      <c r="Q3349" s="564"/>
      <c r="R3349" s="564">
        <v>2</v>
      </c>
    </row>
    <row r="3350" spans="1:18" x14ac:dyDescent="0.25">
      <c r="A3350" s="553">
        <v>34</v>
      </c>
      <c r="B3350" s="553">
        <v>3</v>
      </c>
      <c r="C3350" s="553">
        <v>2</v>
      </c>
      <c r="D3350" s="553">
        <v>1</v>
      </c>
      <c r="E3350" s="553">
        <v>2</v>
      </c>
      <c r="F3350" s="553">
        <v>2</v>
      </c>
      <c r="G3350" s="553" t="s">
        <v>484</v>
      </c>
      <c r="H3350" s="501">
        <v>1313.01</v>
      </c>
      <c r="I3350" s="501">
        <v>1</v>
      </c>
      <c r="J3350" s="501">
        <v>7</v>
      </c>
      <c r="K3350" s="501">
        <v>1</v>
      </c>
      <c r="L3350" s="501">
        <v>4</v>
      </c>
      <c r="M3350" s="505" t="s">
        <v>137</v>
      </c>
      <c r="N3350" s="500">
        <v>43013534790000</v>
      </c>
      <c r="O3350" s="553" t="s">
        <v>1931</v>
      </c>
      <c r="P3350" s="650" t="s">
        <v>4083</v>
      </c>
      <c r="Q3350" s="564"/>
      <c r="R3350" s="564">
        <v>2</v>
      </c>
    </row>
    <row r="3351" spans="1:18" x14ac:dyDescent="0.25">
      <c r="A3351" s="553">
        <v>34</v>
      </c>
      <c r="B3351" s="553">
        <v>3</v>
      </c>
      <c r="C3351" s="553">
        <v>2</v>
      </c>
      <c r="D3351" s="553">
        <v>1</v>
      </c>
      <c r="E3351" s="553">
        <v>2</v>
      </c>
      <c r="F3351" s="553">
        <v>2</v>
      </c>
      <c r="G3351" s="553" t="s">
        <v>486</v>
      </c>
      <c r="H3351" s="553">
        <v>1317.02</v>
      </c>
      <c r="I3351" s="553">
        <v>0</v>
      </c>
      <c r="J3351" s="553">
        <v>45</v>
      </c>
      <c r="K3351" s="553">
        <v>40</v>
      </c>
      <c r="L3351" s="553">
        <v>4</v>
      </c>
      <c r="M3351" s="505" t="s">
        <v>137</v>
      </c>
      <c r="N3351" s="500">
        <v>43013534790000</v>
      </c>
      <c r="O3351" s="553" t="s">
        <v>1931</v>
      </c>
      <c r="P3351" s="650" t="s">
        <v>4084</v>
      </c>
      <c r="Q3351" s="564"/>
      <c r="R3351" s="564">
        <v>2</v>
      </c>
    </row>
    <row r="3352" spans="1:18" x14ac:dyDescent="0.25">
      <c r="A3352" s="553">
        <v>34</v>
      </c>
      <c r="B3352" s="553">
        <v>3</v>
      </c>
      <c r="C3352" s="553">
        <v>2</v>
      </c>
      <c r="D3352" s="553">
        <v>1</v>
      </c>
      <c r="E3352" s="553">
        <v>2</v>
      </c>
      <c r="F3352" s="553">
        <v>2</v>
      </c>
      <c r="G3352" s="502" t="s">
        <v>488</v>
      </c>
      <c r="H3352" s="553">
        <v>1359.78</v>
      </c>
      <c r="I3352" s="553">
        <v>0</v>
      </c>
      <c r="J3352" s="553">
        <v>35</v>
      </c>
      <c r="K3352" s="553">
        <v>48</v>
      </c>
      <c r="L3352" s="553">
        <v>4</v>
      </c>
      <c r="M3352" s="505" t="s">
        <v>137</v>
      </c>
      <c r="N3352" s="500">
        <v>43013534790000</v>
      </c>
      <c r="O3352" s="553" t="s">
        <v>1931</v>
      </c>
      <c r="P3352" s="650" t="s">
        <v>4085</v>
      </c>
      <c r="Q3352" s="564"/>
      <c r="R3352" s="564">
        <v>2</v>
      </c>
    </row>
    <row r="3353" spans="1:18" x14ac:dyDescent="0.25">
      <c r="A3353" s="553">
        <v>34</v>
      </c>
      <c r="B3353" s="553">
        <v>3</v>
      </c>
      <c r="C3353" s="553">
        <v>2</v>
      </c>
      <c r="D3353" s="553">
        <v>1</v>
      </c>
      <c r="E3353" s="553">
        <v>2</v>
      </c>
      <c r="F3353" s="553">
        <v>2</v>
      </c>
      <c r="G3353" s="553" t="s">
        <v>490</v>
      </c>
      <c r="H3353" s="553">
        <v>1317.84</v>
      </c>
      <c r="I3353" s="553">
        <v>1</v>
      </c>
      <c r="J3353" s="553">
        <v>30</v>
      </c>
      <c r="K3353" s="553">
        <v>12</v>
      </c>
      <c r="L3353" s="553">
        <v>4</v>
      </c>
      <c r="M3353" s="505" t="s">
        <v>137</v>
      </c>
      <c r="N3353" s="500">
        <v>43013534790000</v>
      </c>
      <c r="O3353" s="553" t="s">
        <v>1931</v>
      </c>
      <c r="P3353" s="650" t="s">
        <v>4086</v>
      </c>
      <c r="Q3353" s="564"/>
      <c r="R3353" s="564">
        <v>2</v>
      </c>
    </row>
    <row r="3354" spans="1:18" x14ac:dyDescent="0.25">
      <c r="A3354" s="553">
        <v>34</v>
      </c>
      <c r="B3354" s="553">
        <v>3</v>
      </c>
      <c r="C3354" s="553">
        <v>2</v>
      </c>
      <c r="D3354" s="553">
        <v>1</v>
      </c>
      <c r="E3354" s="553">
        <v>2</v>
      </c>
      <c r="F3354" s="553">
        <v>2</v>
      </c>
      <c r="G3354" s="553" t="s">
        <v>493</v>
      </c>
      <c r="H3354" s="553">
        <v>1329.57</v>
      </c>
      <c r="I3354" s="553">
        <v>1</v>
      </c>
      <c r="J3354" s="553">
        <v>3</v>
      </c>
      <c r="K3354" s="553">
        <v>22</v>
      </c>
      <c r="L3354" s="553">
        <v>4</v>
      </c>
      <c r="M3354" s="505" t="s">
        <v>137</v>
      </c>
      <c r="N3354" s="500">
        <v>43013534790000</v>
      </c>
      <c r="O3354" s="553" t="s">
        <v>1931</v>
      </c>
      <c r="P3354" s="650" t="s">
        <v>4087</v>
      </c>
      <c r="Q3354" s="564"/>
      <c r="R3354" s="564">
        <v>2</v>
      </c>
    </row>
    <row r="3355" spans="1:18" x14ac:dyDescent="0.25">
      <c r="A3355" s="553">
        <v>34</v>
      </c>
      <c r="B3355" s="553">
        <v>3</v>
      </c>
      <c r="C3355" s="553">
        <v>2</v>
      </c>
      <c r="D3355" s="553">
        <v>1</v>
      </c>
      <c r="E3355" s="553">
        <v>2</v>
      </c>
      <c r="F3355" s="553">
        <v>2</v>
      </c>
      <c r="G3355" s="553" t="s">
        <v>474</v>
      </c>
      <c r="H3355" s="553">
        <v>1334.13</v>
      </c>
      <c r="I3355" s="553">
        <v>89</v>
      </c>
      <c r="J3355" s="553">
        <v>31</v>
      </c>
      <c r="K3355" s="553">
        <v>18</v>
      </c>
      <c r="L3355" s="553">
        <v>4</v>
      </c>
      <c r="M3355" s="505" t="s">
        <v>137</v>
      </c>
      <c r="N3355" s="500">
        <v>43013534790000</v>
      </c>
      <c r="O3355" s="553" t="s">
        <v>1931</v>
      </c>
      <c r="P3355" s="650" t="s">
        <v>4088</v>
      </c>
      <c r="Q3355" s="564"/>
      <c r="R3355" s="564">
        <v>2</v>
      </c>
    </row>
    <row r="3356" spans="1:18" x14ac:dyDescent="0.25">
      <c r="A3356" s="553">
        <v>34</v>
      </c>
      <c r="B3356" s="553">
        <v>3</v>
      </c>
      <c r="C3356" s="553">
        <v>2</v>
      </c>
      <c r="D3356" s="553">
        <v>1</v>
      </c>
      <c r="E3356" s="553">
        <v>2</v>
      </c>
      <c r="F3356" s="553">
        <v>2</v>
      </c>
      <c r="G3356" s="502" t="s">
        <v>477</v>
      </c>
      <c r="H3356" s="553">
        <v>1308.103333333333</v>
      </c>
      <c r="I3356" s="553">
        <v>88</v>
      </c>
      <c r="J3356" s="553">
        <v>30</v>
      </c>
      <c r="K3356" s="553">
        <v>72</v>
      </c>
      <c r="L3356" s="553">
        <v>3</v>
      </c>
      <c r="M3356" s="505" t="s">
        <v>137</v>
      </c>
      <c r="N3356" s="500">
        <v>43013534790000</v>
      </c>
      <c r="O3356" s="553" t="s">
        <v>1931</v>
      </c>
      <c r="P3356" s="650" t="s">
        <v>4089</v>
      </c>
      <c r="Q3356" s="564"/>
      <c r="R3356" s="564">
        <v>2</v>
      </c>
    </row>
    <row r="3357" spans="1:18" x14ac:dyDescent="0.25">
      <c r="A3357" s="553">
        <v>34</v>
      </c>
      <c r="B3357" s="553">
        <v>3</v>
      </c>
      <c r="C3357" s="553">
        <v>2</v>
      </c>
      <c r="D3357" s="553">
        <v>1</v>
      </c>
      <c r="E3357" s="553">
        <v>2</v>
      </c>
      <c r="F3357" s="553">
        <v>2</v>
      </c>
      <c r="G3357" s="553" t="s">
        <v>479</v>
      </c>
      <c r="H3357" s="553">
        <v>1308.103333333333</v>
      </c>
      <c r="I3357" s="553">
        <v>88</v>
      </c>
      <c r="J3357" s="553">
        <v>30</v>
      </c>
      <c r="K3357" s="553">
        <v>72</v>
      </c>
      <c r="L3357" s="553">
        <v>3</v>
      </c>
      <c r="M3357" s="505" t="s">
        <v>137</v>
      </c>
      <c r="N3357" s="500">
        <v>43013534790000</v>
      </c>
      <c r="O3357" s="553" t="s">
        <v>1931</v>
      </c>
      <c r="P3357" s="650" t="s">
        <v>4090</v>
      </c>
      <c r="Q3357" s="564"/>
      <c r="R3357" s="564">
        <v>2</v>
      </c>
    </row>
    <row r="3358" spans="1:18" x14ac:dyDescent="0.25">
      <c r="A3358" s="553">
        <v>34</v>
      </c>
      <c r="B3358" s="553">
        <v>3</v>
      </c>
      <c r="C3358" s="553">
        <v>2</v>
      </c>
      <c r="D3358" s="553">
        <v>1</v>
      </c>
      <c r="E3358" s="553">
        <v>2</v>
      </c>
      <c r="F3358" s="553">
        <v>2</v>
      </c>
      <c r="G3358" s="553" t="s">
        <v>485</v>
      </c>
      <c r="H3358" s="553">
        <v>1308.103333333333</v>
      </c>
      <c r="I3358" s="553">
        <v>88</v>
      </c>
      <c r="J3358" s="553">
        <v>30</v>
      </c>
      <c r="K3358" s="553">
        <v>72</v>
      </c>
      <c r="L3358" s="553">
        <v>3</v>
      </c>
      <c r="M3358" s="505" t="s">
        <v>137</v>
      </c>
      <c r="N3358" s="500">
        <v>43013534790000</v>
      </c>
      <c r="O3358" s="553" t="s">
        <v>1931</v>
      </c>
      <c r="P3358" s="650" t="s">
        <v>4091</v>
      </c>
      <c r="Q3358" s="564"/>
      <c r="R3358" s="564">
        <v>2</v>
      </c>
    </row>
    <row r="3359" spans="1:18" x14ac:dyDescent="0.25">
      <c r="A3359" s="553">
        <v>34</v>
      </c>
      <c r="B3359" s="553">
        <v>3</v>
      </c>
      <c r="C3359" s="553">
        <v>2</v>
      </c>
      <c r="D3359" s="553">
        <v>1</v>
      </c>
      <c r="E3359" s="553">
        <v>2</v>
      </c>
      <c r="F3359" s="553">
        <v>2</v>
      </c>
      <c r="G3359" s="553" t="s">
        <v>487</v>
      </c>
      <c r="H3359" s="553">
        <v>1328.03</v>
      </c>
      <c r="I3359" s="553">
        <v>89</v>
      </c>
      <c r="J3359" s="553">
        <v>8</v>
      </c>
      <c r="K3359" s="553">
        <v>16</v>
      </c>
      <c r="L3359" s="553">
        <v>2</v>
      </c>
      <c r="M3359" s="505" t="s">
        <v>137</v>
      </c>
      <c r="N3359" s="500">
        <v>43013534790000</v>
      </c>
      <c r="O3359" s="553" t="s">
        <v>1931</v>
      </c>
      <c r="P3359" s="650" t="s">
        <v>4092</v>
      </c>
      <c r="Q3359" s="564"/>
      <c r="R3359" s="564">
        <v>2</v>
      </c>
    </row>
    <row r="3360" spans="1:18" x14ac:dyDescent="0.25">
      <c r="A3360" s="553">
        <v>34</v>
      </c>
      <c r="B3360" s="553">
        <v>3</v>
      </c>
      <c r="C3360" s="553">
        <v>2</v>
      </c>
      <c r="D3360" s="553">
        <v>1</v>
      </c>
      <c r="E3360" s="553">
        <v>2</v>
      </c>
      <c r="F3360" s="553">
        <v>2</v>
      </c>
      <c r="G3360" s="502" t="s">
        <v>489</v>
      </c>
      <c r="H3360" s="553">
        <v>1284.8599999999999</v>
      </c>
      <c r="I3360" s="553">
        <v>89</v>
      </c>
      <c r="J3360" s="553">
        <v>7</v>
      </c>
      <c r="K3360" s="553">
        <v>12</v>
      </c>
      <c r="L3360" s="553">
        <v>2</v>
      </c>
      <c r="M3360" s="505" t="s">
        <v>137</v>
      </c>
      <c r="N3360" s="500">
        <v>43013534790000</v>
      </c>
      <c r="O3360" s="553" t="s">
        <v>1931</v>
      </c>
      <c r="P3360" s="650" t="s">
        <v>4093</v>
      </c>
      <c r="Q3360" s="564"/>
      <c r="R3360" s="564">
        <v>2</v>
      </c>
    </row>
    <row r="3361" spans="1:18" x14ac:dyDescent="0.25">
      <c r="A3361" s="553">
        <v>34</v>
      </c>
      <c r="B3361" s="553">
        <v>3</v>
      </c>
      <c r="C3361" s="553">
        <v>2</v>
      </c>
      <c r="D3361" s="553">
        <v>1</v>
      </c>
      <c r="E3361" s="553">
        <v>2</v>
      </c>
      <c r="F3361" s="553">
        <v>2</v>
      </c>
      <c r="G3361" s="553" t="s">
        <v>491</v>
      </c>
      <c r="H3361" s="553">
        <v>1332.45</v>
      </c>
      <c r="I3361" s="553">
        <v>89</v>
      </c>
      <c r="J3361" s="553">
        <v>38</v>
      </c>
      <c r="K3361" s="553">
        <v>31</v>
      </c>
      <c r="L3361" s="553">
        <v>1</v>
      </c>
      <c r="M3361" s="505" t="s">
        <v>137</v>
      </c>
      <c r="N3361" s="500">
        <v>43013534790000</v>
      </c>
      <c r="O3361" s="553" t="s">
        <v>1931</v>
      </c>
      <c r="P3361" s="650" t="s">
        <v>4094</v>
      </c>
      <c r="Q3361" s="564"/>
      <c r="R3361" s="564">
        <v>2</v>
      </c>
    </row>
    <row r="3362" spans="1:18" x14ac:dyDescent="0.25">
      <c r="A3362" s="553">
        <v>34</v>
      </c>
      <c r="B3362" s="553">
        <v>3</v>
      </c>
      <c r="C3362" s="553">
        <v>2</v>
      </c>
      <c r="D3362" s="553">
        <v>1</v>
      </c>
      <c r="E3362" s="553">
        <v>2</v>
      </c>
      <c r="F3362" s="553">
        <v>2</v>
      </c>
      <c r="G3362" s="553" t="s">
        <v>494</v>
      </c>
      <c r="H3362" s="553">
        <v>1332.45</v>
      </c>
      <c r="I3362" s="553">
        <v>89</v>
      </c>
      <c r="J3362" s="553">
        <v>38</v>
      </c>
      <c r="K3362" s="553">
        <v>31</v>
      </c>
      <c r="L3362" s="553">
        <v>1</v>
      </c>
      <c r="M3362" s="505" t="s">
        <v>137</v>
      </c>
      <c r="N3362" s="500">
        <v>43013534790000</v>
      </c>
      <c r="O3362" s="553" t="s">
        <v>1931</v>
      </c>
      <c r="P3362" s="650" t="s">
        <v>4095</v>
      </c>
      <c r="Q3362" s="564"/>
      <c r="R3362" s="564">
        <v>2</v>
      </c>
    </row>
    <row r="3363" spans="1:18" x14ac:dyDescent="0.25">
      <c r="A3363" s="553">
        <v>34</v>
      </c>
      <c r="B3363" s="553">
        <v>2</v>
      </c>
      <c r="C3363" s="553">
        <v>2</v>
      </c>
      <c r="D3363" s="553">
        <v>4</v>
      </c>
      <c r="E3363" s="553">
        <v>2</v>
      </c>
      <c r="F3363" s="553">
        <v>2</v>
      </c>
      <c r="G3363" s="553" t="s">
        <v>473</v>
      </c>
      <c r="H3363" s="553">
        <v>1316.0250000000001</v>
      </c>
      <c r="I3363" s="517">
        <v>0</v>
      </c>
      <c r="J3363" s="553">
        <v>19</v>
      </c>
      <c r="K3363" s="553">
        <v>6</v>
      </c>
      <c r="L3363" s="553">
        <v>4</v>
      </c>
      <c r="M3363" s="561" t="s">
        <v>137</v>
      </c>
      <c r="N3363" s="500"/>
      <c r="O3363" s="564"/>
      <c r="P3363" s="518" t="s">
        <v>4096</v>
      </c>
      <c r="Q3363" s="564"/>
      <c r="R3363" s="564">
        <v>1</v>
      </c>
    </row>
    <row r="3364" spans="1:18" x14ac:dyDescent="0.25">
      <c r="A3364" s="553">
        <v>34</v>
      </c>
      <c r="B3364" s="553">
        <v>2</v>
      </c>
      <c r="C3364" s="553">
        <v>2</v>
      </c>
      <c r="D3364" s="553">
        <v>4</v>
      </c>
      <c r="E3364" s="553">
        <v>2</v>
      </c>
      <c r="F3364" s="553">
        <v>2</v>
      </c>
      <c r="G3364" s="502" t="s">
        <v>476</v>
      </c>
      <c r="H3364" s="564">
        <v>1316.0250000000001</v>
      </c>
      <c r="I3364" s="564">
        <v>0</v>
      </c>
      <c r="J3364" s="564">
        <v>19</v>
      </c>
      <c r="K3364" s="564">
        <v>6</v>
      </c>
      <c r="L3364" s="564">
        <v>4</v>
      </c>
      <c r="M3364" s="561" t="s">
        <v>137</v>
      </c>
      <c r="N3364" s="500"/>
      <c r="O3364" s="564"/>
      <c r="P3364" s="519" t="s">
        <v>4097</v>
      </c>
      <c r="Q3364" s="564"/>
      <c r="R3364" s="564">
        <v>1</v>
      </c>
    </row>
    <row r="3365" spans="1:18" x14ac:dyDescent="0.25">
      <c r="A3365" s="553">
        <v>34</v>
      </c>
      <c r="B3365" s="553">
        <v>2</v>
      </c>
      <c r="C3365" s="553">
        <v>2</v>
      </c>
      <c r="D3365" s="553">
        <v>4</v>
      </c>
      <c r="E3365" s="553">
        <v>2</v>
      </c>
      <c r="F3365" s="553">
        <v>2</v>
      </c>
      <c r="G3365" s="553" t="s">
        <v>478</v>
      </c>
      <c r="H3365" s="564">
        <v>1367.4649999999999</v>
      </c>
      <c r="I3365" s="564">
        <v>0</v>
      </c>
      <c r="J3365" s="564">
        <v>19</v>
      </c>
      <c r="K3365" s="564">
        <v>6</v>
      </c>
      <c r="L3365" s="564">
        <v>4</v>
      </c>
      <c r="M3365" s="561" t="s">
        <v>137</v>
      </c>
      <c r="N3365" s="500"/>
      <c r="O3365" s="564"/>
      <c r="P3365" s="518" t="s">
        <v>4098</v>
      </c>
      <c r="Q3365" s="564"/>
      <c r="R3365" s="564">
        <v>1</v>
      </c>
    </row>
    <row r="3366" spans="1:18" x14ac:dyDescent="0.25">
      <c r="A3366" s="553">
        <v>34</v>
      </c>
      <c r="B3366" s="553">
        <v>2</v>
      </c>
      <c r="C3366" s="553">
        <v>2</v>
      </c>
      <c r="D3366" s="553">
        <v>4</v>
      </c>
      <c r="E3366" s="553">
        <v>2</v>
      </c>
      <c r="F3366" s="553">
        <v>2</v>
      </c>
      <c r="G3366" s="553" t="s">
        <v>484</v>
      </c>
      <c r="H3366" s="553">
        <v>1367.4649999999999</v>
      </c>
      <c r="I3366" s="517">
        <v>0</v>
      </c>
      <c r="J3366" s="553">
        <v>19</v>
      </c>
      <c r="K3366" s="553">
        <v>6</v>
      </c>
      <c r="L3366" s="553">
        <v>4</v>
      </c>
      <c r="M3366" s="561" t="s">
        <v>137</v>
      </c>
      <c r="N3366" s="500"/>
      <c r="O3366" s="564"/>
      <c r="P3366" s="518" t="s">
        <v>4099</v>
      </c>
      <c r="Q3366" s="564"/>
      <c r="R3366" s="564">
        <v>1</v>
      </c>
    </row>
    <row r="3367" spans="1:18" x14ac:dyDescent="0.25">
      <c r="A3367" s="553">
        <v>34</v>
      </c>
      <c r="B3367" s="553">
        <v>2</v>
      </c>
      <c r="C3367" s="553">
        <v>2</v>
      </c>
      <c r="D3367" s="553">
        <v>4</v>
      </c>
      <c r="E3367" s="553">
        <v>2</v>
      </c>
      <c r="F3367" s="553">
        <v>2</v>
      </c>
      <c r="G3367" s="553" t="s">
        <v>486</v>
      </c>
      <c r="H3367" s="553">
        <v>1314.405</v>
      </c>
      <c r="I3367" s="517">
        <v>0</v>
      </c>
      <c r="J3367" s="553">
        <v>3</v>
      </c>
      <c r="K3367" s="553">
        <v>24</v>
      </c>
      <c r="L3367" s="553">
        <v>3</v>
      </c>
      <c r="M3367" s="561" t="s">
        <v>137</v>
      </c>
      <c r="N3367" s="500"/>
      <c r="O3367" s="564"/>
      <c r="P3367" s="518" t="s">
        <v>4100</v>
      </c>
      <c r="Q3367" s="564"/>
      <c r="R3367" s="564">
        <v>1</v>
      </c>
    </row>
    <row r="3368" spans="1:18" x14ac:dyDescent="0.25">
      <c r="A3368" s="553">
        <v>34</v>
      </c>
      <c r="B3368" s="553">
        <v>2</v>
      </c>
      <c r="C3368" s="553">
        <v>2</v>
      </c>
      <c r="D3368" s="553">
        <v>4</v>
      </c>
      <c r="E3368" s="553">
        <v>2</v>
      </c>
      <c r="F3368" s="553">
        <v>2</v>
      </c>
      <c r="G3368" s="502" t="s">
        <v>488</v>
      </c>
      <c r="H3368" s="564">
        <v>1314.405</v>
      </c>
      <c r="I3368" s="564">
        <v>0</v>
      </c>
      <c r="J3368" s="564">
        <v>3</v>
      </c>
      <c r="K3368" s="564">
        <v>24</v>
      </c>
      <c r="L3368" s="564">
        <v>3</v>
      </c>
      <c r="M3368" s="561" t="s">
        <v>137</v>
      </c>
      <c r="N3368" s="500"/>
      <c r="O3368" s="564"/>
      <c r="P3368" s="519" t="s">
        <v>4101</v>
      </c>
      <c r="Q3368" s="564"/>
      <c r="R3368" s="564">
        <v>1</v>
      </c>
    </row>
    <row r="3369" spans="1:18" x14ac:dyDescent="0.25">
      <c r="A3369" s="553">
        <v>34</v>
      </c>
      <c r="B3369" s="553">
        <v>2</v>
      </c>
      <c r="C3369" s="553">
        <v>2</v>
      </c>
      <c r="D3369" s="553">
        <v>4</v>
      </c>
      <c r="E3369" s="553">
        <v>2</v>
      </c>
      <c r="F3369" s="553">
        <v>2</v>
      </c>
      <c r="G3369" s="553" t="s">
        <v>490</v>
      </c>
      <c r="H3369" s="564">
        <v>1353.84</v>
      </c>
      <c r="I3369" s="564">
        <v>0</v>
      </c>
      <c r="J3369" s="564">
        <v>3</v>
      </c>
      <c r="K3369" s="564">
        <v>24</v>
      </c>
      <c r="L3369" s="564">
        <v>3</v>
      </c>
      <c r="M3369" s="561" t="s">
        <v>137</v>
      </c>
      <c r="N3369" s="500"/>
      <c r="O3369" s="564"/>
      <c r="P3369" s="518" t="s">
        <v>4102</v>
      </c>
      <c r="Q3369" s="564"/>
      <c r="R3369" s="564">
        <v>1</v>
      </c>
    </row>
    <row r="3370" spans="1:18" x14ac:dyDescent="0.25">
      <c r="A3370" s="553">
        <v>34</v>
      </c>
      <c r="B3370" s="553">
        <v>2</v>
      </c>
      <c r="C3370" s="553">
        <v>2</v>
      </c>
      <c r="D3370" s="553">
        <v>4</v>
      </c>
      <c r="E3370" s="553">
        <v>2</v>
      </c>
      <c r="F3370" s="553">
        <v>2</v>
      </c>
      <c r="G3370" s="553" t="s">
        <v>493</v>
      </c>
      <c r="H3370" s="553">
        <v>1353.84</v>
      </c>
      <c r="I3370" s="517">
        <v>0</v>
      </c>
      <c r="J3370" s="553">
        <v>3</v>
      </c>
      <c r="K3370" s="553">
        <v>24</v>
      </c>
      <c r="L3370" s="553">
        <v>3</v>
      </c>
      <c r="M3370" s="561" t="s">
        <v>137</v>
      </c>
      <c r="N3370" s="500"/>
      <c r="O3370" s="564"/>
      <c r="P3370" s="518" t="s">
        <v>4103</v>
      </c>
      <c r="Q3370" s="564"/>
      <c r="R3370" s="564">
        <v>1</v>
      </c>
    </row>
    <row r="3371" spans="1:18" x14ac:dyDescent="0.25">
      <c r="A3371" s="553">
        <v>34</v>
      </c>
      <c r="B3371" s="553">
        <v>2</v>
      </c>
      <c r="C3371" s="553">
        <v>2</v>
      </c>
      <c r="D3371" s="553">
        <v>4</v>
      </c>
      <c r="E3371" s="553">
        <v>2</v>
      </c>
      <c r="F3371" s="553">
        <v>2</v>
      </c>
      <c r="G3371" s="553" t="s">
        <v>474</v>
      </c>
      <c r="H3371" s="553">
        <v>1325.24</v>
      </c>
      <c r="I3371" s="517">
        <v>89</v>
      </c>
      <c r="J3371" s="553">
        <v>39</v>
      </c>
      <c r="K3371" s="553">
        <v>23</v>
      </c>
      <c r="L3371" s="553">
        <v>1</v>
      </c>
      <c r="M3371" s="561" t="s">
        <v>137</v>
      </c>
      <c r="N3371" s="500"/>
      <c r="O3371" s="564"/>
      <c r="P3371" s="518" t="s">
        <v>4104</v>
      </c>
      <c r="Q3371" s="564"/>
      <c r="R3371" s="564">
        <v>1</v>
      </c>
    </row>
    <row r="3372" spans="1:18" x14ac:dyDescent="0.25">
      <c r="A3372" s="553">
        <v>34</v>
      </c>
      <c r="B3372" s="553">
        <v>2</v>
      </c>
      <c r="C3372" s="553">
        <v>2</v>
      </c>
      <c r="D3372" s="553">
        <v>4</v>
      </c>
      <c r="E3372" s="553">
        <v>2</v>
      </c>
      <c r="F3372" s="553">
        <v>2</v>
      </c>
      <c r="G3372" s="502" t="s">
        <v>477</v>
      </c>
      <c r="H3372" s="564">
        <v>1325.24</v>
      </c>
      <c r="I3372" s="564">
        <v>89</v>
      </c>
      <c r="J3372" s="564">
        <v>39</v>
      </c>
      <c r="K3372" s="564">
        <v>23</v>
      </c>
      <c r="L3372" s="564">
        <v>1</v>
      </c>
      <c r="M3372" s="561" t="s">
        <v>137</v>
      </c>
      <c r="N3372" s="500"/>
      <c r="O3372" s="564"/>
      <c r="P3372" s="519" t="s">
        <v>4105</v>
      </c>
      <c r="Q3372" s="564"/>
      <c r="R3372" s="564">
        <v>1</v>
      </c>
    </row>
    <row r="3373" spans="1:18" x14ac:dyDescent="0.25">
      <c r="A3373" s="553">
        <v>34</v>
      </c>
      <c r="B3373" s="553">
        <v>2</v>
      </c>
      <c r="C3373" s="553">
        <v>2</v>
      </c>
      <c r="D3373" s="553">
        <v>4</v>
      </c>
      <c r="E3373" s="553">
        <v>2</v>
      </c>
      <c r="F3373" s="553">
        <v>2</v>
      </c>
      <c r="G3373" s="553" t="s">
        <v>479</v>
      </c>
      <c r="H3373" s="553">
        <v>1317.8150000000001</v>
      </c>
      <c r="I3373" s="517">
        <v>89</v>
      </c>
      <c r="J3373" s="553">
        <v>58</v>
      </c>
      <c r="K3373" s="553">
        <v>49</v>
      </c>
      <c r="L3373" s="553">
        <v>2</v>
      </c>
      <c r="M3373" s="561" t="s">
        <v>137</v>
      </c>
      <c r="N3373" s="500"/>
      <c r="O3373" s="564"/>
      <c r="P3373" s="518" t="s">
        <v>4106</v>
      </c>
      <c r="Q3373" s="564"/>
      <c r="R3373" s="564">
        <v>1</v>
      </c>
    </row>
    <row r="3374" spans="1:18" x14ac:dyDescent="0.25">
      <c r="A3374" s="553">
        <v>34</v>
      </c>
      <c r="B3374" s="553">
        <v>2</v>
      </c>
      <c r="C3374" s="553">
        <v>2</v>
      </c>
      <c r="D3374" s="553">
        <v>4</v>
      </c>
      <c r="E3374" s="553">
        <v>2</v>
      </c>
      <c r="F3374" s="553">
        <v>2</v>
      </c>
      <c r="G3374" s="553" t="s">
        <v>485</v>
      </c>
      <c r="H3374" s="553">
        <v>1317.8150000000001</v>
      </c>
      <c r="I3374" s="517">
        <v>89</v>
      </c>
      <c r="J3374" s="553">
        <v>58</v>
      </c>
      <c r="K3374" s="553">
        <v>49</v>
      </c>
      <c r="L3374" s="553">
        <v>2</v>
      </c>
      <c r="M3374" s="561" t="s">
        <v>137</v>
      </c>
      <c r="N3374" s="500"/>
      <c r="O3374" s="564"/>
      <c r="P3374" s="518" t="s">
        <v>4107</v>
      </c>
      <c r="Q3374" s="564"/>
      <c r="R3374" s="564">
        <v>1</v>
      </c>
    </row>
    <row r="3375" spans="1:18" x14ac:dyDescent="0.25">
      <c r="A3375" s="553">
        <v>34</v>
      </c>
      <c r="B3375" s="553">
        <v>2</v>
      </c>
      <c r="C3375" s="553">
        <v>2</v>
      </c>
      <c r="D3375" s="553">
        <v>4</v>
      </c>
      <c r="E3375" s="553">
        <v>2</v>
      </c>
      <c r="F3375" s="553">
        <v>2</v>
      </c>
      <c r="G3375" s="553" t="s">
        <v>487</v>
      </c>
      <c r="H3375" s="564">
        <v>1312.6849999999999</v>
      </c>
      <c r="I3375" s="564">
        <v>89</v>
      </c>
      <c r="J3375" s="564">
        <v>50</v>
      </c>
      <c r="K3375" s="564">
        <v>14</v>
      </c>
      <c r="L3375" s="564">
        <v>3</v>
      </c>
      <c r="M3375" s="561" t="s">
        <v>137</v>
      </c>
      <c r="N3375" s="500"/>
      <c r="O3375" s="564"/>
      <c r="P3375" s="518" t="s">
        <v>4108</v>
      </c>
      <c r="Q3375" s="564"/>
      <c r="R3375" s="564">
        <v>1</v>
      </c>
    </row>
    <row r="3376" spans="1:18" x14ac:dyDescent="0.25">
      <c r="A3376" s="553">
        <v>34</v>
      </c>
      <c r="B3376" s="553">
        <v>2</v>
      </c>
      <c r="C3376" s="553">
        <v>2</v>
      </c>
      <c r="D3376" s="553">
        <v>4</v>
      </c>
      <c r="E3376" s="553">
        <v>2</v>
      </c>
      <c r="F3376" s="553">
        <v>2</v>
      </c>
      <c r="G3376" s="502" t="s">
        <v>489</v>
      </c>
      <c r="H3376" s="564">
        <v>1312.6849999999999</v>
      </c>
      <c r="I3376" s="564">
        <v>89</v>
      </c>
      <c r="J3376" s="564">
        <v>50</v>
      </c>
      <c r="K3376" s="564">
        <v>14</v>
      </c>
      <c r="L3376" s="564">
        <v>3</v>
      </c>
      <c r="M3376" s="561" t="s">
        <v>137</v>
      </c>
      <c r="N3376" s="500"/>
      <c r="O3376" s="564"/>
      <c r="P3376" s="519" t="s">
        <v>4109</v>
      </c>
      <c r="Q3376" s="564"/>
      <c r="R3376" s="564">
        <v>1</v>
      </c>
    </row>
    <row r="3377" spans="1:18" x14ac:dyDescent="0.25">
      <c r="A3377" s="553">
        <v>34</v>
      </c>
      <c r="B3377" s="553">
        <v>2</v>
      </c>
      <c r="C3377" s="553">
        <v>2</v>
      </c>
      <c r="D3377" s="553">
        <v>4</v>
      </c>
      <c r="E3377" s="553">
        <v>2</v>
      </c>
      <c r="F3377" s="553">
        <v>2</v>
      </c>
      <c r="G3377" s="553" t="s">
        <v>491</v>
      </c>
      <c r="H3377" s="564">
        <v>1312.81</v>
      </c>
      <c r="I3377" s="564">
        <v>89</v>
      </c>
      <c r="J3377" s="564">
        <v>48</v>
      </c>
      <c r="K3377" s="564">
        <v>47</v>
      </c>
      <c r="L3377" s="564">
        <v>3</v>
      </c>
      <c r="M3377" s="561" t="s">
        <v>137</v>
      </c>
      <c r="N3377" s="500"/>
      <c r="O3377" s="564"/>
      <c r="P3377" s="518" t="s">
        <v>4110</v>
      </c>
      <c r="Q3377" s="564"/>
      <c r="R3377" s="564">
        <v>1</v>
      </c>
    </row>
    <row r="3378" spans="1:18" x14ac:dyDescent="0.25">
      <c r="A3378" s="553">
        <v>34</v>
      </c>
      <c r="B3378" s="553">
        <v>2</v>
      </c>
      <c r="C3378" s="553">
        <v>2</v>
      </c>
      <c r="D3378" s="553">
        <v>4</v>
      </c>
      <c r="E3378" s="553">
        <v>2</v>
      </c>
      <c r="F3378" s="553">
        <v>2</v>
      </c>
      <c r="G3378" s="553" t="s">
        <v>494</v>
      </c>
      <c r="H3378" s="564">
        <v>1312.81</v>
      </c>
      <c r="I3378" s="564">
        <v>89</v>
      </c>
      <c r="J3378" s="564">
        <v>48</v>
      </c>
      <c r="K3378" s="564">
        <v>47</v>
      </c>
      <c r="L3378" s="564">
        <v>3</v>
      </c>
      <c r="M3378" s="561" t="s">
        <v>137</v>
      </c>
      <c r="N3378" s="500"/>
      <c r="O3378" s="564"/>
      <c r="P3378" s="518" t="s">
        <v>4111</v>
      </c>
      <c r="Q3378" s="564"/>
      <c r="R3378" s="564">
        <v>1</v>
      </c>
    </row>
    <row r="3379" spans="1:18" s="484" customFormat="1" x14ac:dyDescent="0.25">
      <c r="A3379" s="553">
        <v>35</v>
      </c>
      <c r="B3379" s="553">
        <v>3</v>
      </c>
      <c r="C3379" s="553">
        <v>2</v>
      </c>
      <c r="D3379" s="553">
        <v>2</v>
      </c>
      <c r="E3379" s="553">
        <v>2</v>
      </c>
      <c r="F3379" s="553">
        <v>2</v>
      </c>
      <c r="G3379" s="553" t="s">
        <v>473</v>
      </c>
      <c r="H3379" s="553">
        <v>1343.61</v>
      </c>
      <c r="I3379" s="553">
        <v>0</v>
      </c>
      <c r="J3379" s="553">
        <v>1</v>
      </c>
      <c r="K3379" s="553">
        <v>8</v>
      </c>
      <c r="L3379" s="553">
        <v>1</v>
      </c>
      <c r="M3379" s="505" t="s">
        <v>137</v>
      </c>
      <c r="N3379" s="500">
        <v>43013537280000</v>
      </c>
      <c r="O3379" s="553" t="s">
        <v>2935</v>
      </c>
      <c r="P3379" s="650" t="s">
        <v>4112</v>
      </c>
      <c r="Q3379" s="564"/>
      <c r="R3379" s="564">
        <v>2</v>
      </c>
    </row>
    <row r="3380" spans="1:18" s="484" customFormat="1" x14ac:dyDescent="0.25">
      <c r="A3380" s="553">
        <v>35</v>
      </c>
      <c r="B3380" s="553">
        <v>3</v>
      </c>
      <c r="C3380" s="553">
        <v>2</v>
      </c>
      <c r="D3380" s="553">
        <v>2</v>
      </c>
      <c r="E3380" s="553">
        <v>2</v>
      </c>
      <c r="F3380" s="553">
        <v>2</v>
      </c>
      <c r="G3380" s="502" t="s">
        <v>476</v>
      </c>
      <c r="H3380" s="553">
        <v>1260.51</v>
      </c>
      <c r="I3380" s="553">
        <v>0</v>
      </c>
      <c r="J3380" s="553">
        <v>2</v>
      </c>
      <c r="K3380" s="553">
        <v>13</v>
      </c>
      <c r="L3380" s="553">
        <v>1</v>
      </c>
      <c r="M3380" s="505" t="s">
        <v>137</v>
      </c>
      <c r="N3380" s="500">
        <v>43013537280000</v>
      </c>
      <c r="O3380" s="553" t="s">
        <v>2935</v>
      </c>
      <c r="P3380" s="650" t="s">
        <v>4113</v>
      </c>
      <c r="Q3380" s="564"/>
      <c r="R3380" s="564">
        <v>2</v>
      </c>
    </row>
    <row r="3381" spans="1:18" s="484" customFormat="1" x14ac:dyDescent="0.25">
      <c r="A3381" s="553">
        <v>35</v>
      </c>
      <c r="B3381" s="553">
        <v>3</v>
      </c>
      <c r="C3381" s="553">
        <v>2</v>
      </c>
      <c r="D3381" s="553">
        <v>2</v>
      </c>
      <c r="E3381" s="553">
        <v>2</v>
      </c>
      <c r="F3381" s="553">
        <v>2</v>
      </c>
      <c r="G3381" s="553" t="s">
        <v>478</v>
      </c>
      <c r="H3381" s="553">
        <v>1313.5350000000001</v>
      </c>
      <c r="I3381" s="553">
        <v>0</v>
      </c>
      <c r="J3381" s="553">
        <v>10</v>
      </c>
      <c r="K3381" s="553">
        <v>11</v>
      </c>
      <c r="L3381" s="553">
        <v>3</v>
      </c>
      <c r="M3381" s="505" t="s">
        <v>137</v>
      </c>
      <c r="N3381" s="500">
        <v>43013537280000</v>
      </c>
      <c r="O3381" s="553" t="s">
        <v>2935</v>
      </c>
      <c r="P3381" s="650" t="s">
        <v>4114</v>
      </c>
      <c r="Q3381" s="564"/>
      <c r="R3381" s="564">
        <v>2</v>
      </c>
    </row>
    <row r="3382" spans="1:18" s="484" customFormat="1" x14ac:dyDescent="0.25">
      <c r="A3382" s="553">
        <v>35</v>
      </c>
      <c r="B3382" s="553">
        <v>3</v>
      </c>
      <c r="C3382" s="553">
        <v>2</v>
      </c>
      <c r="D3382" s="553">
        <v>2</v>
      </c>
      <c r="E3382" s="553">
        <v>2</v>
      </c>
      <c r="F3382" s="553">
        <v>2</v>
      </c>
      <c r="G3382" s="553" t="s">
        <v>484</v>
      </c>
      <c r="H3382" s="553">
        <v>1313.5350000000001</v>
      </c>
      <c r="I3382" s="553">
        <v>0</v>
      </c>
      <c r="J3382" s="553">
        <v>10</v>
      </c>
      <c r="K3382" s="553">
        <v>11</v>
      </c>
      <c r="L3382" s="553">
        <v>3</v>
      </c>
      <c r="M3382" s="505" t="s">
        <v>137</v>
      </c>
      <c r="N3382" s="500">
        <v>43013537280000</v>
      </c>
      <c r="O3382" s="553" t="s">
        <v>2935</v>
      </c>
      <c r="P3382" s="650" t="s">
        <v>4115</v>
      </c>
      <c r="Q3382" s="564"/>
      <c r="R3382" s="564">
        <v>2</v>
      </c>
    </row>
    <row r="3383" spans="1:18" s="484" customFormat="1" x14ac:dyDescent="0.25">
      <c r="A3383" s="553">
        <v>35</v>
      </c>
      <c r="B3383" s="553">
        <v>3</v>
      </c>
      <c r="C3383" s="553">
        <v>2</v>
      </c>
      <c r="D3383" s="553">
        <v>2</v>
      </c>
      <c r="E3383" s="553">
        <v>2</v>
      </c>
      <c r="F3383" s="553">
        <v>2</v>
      </c>
      <c r="G3383" s="553" t="s">
        <v>486</v>
      </c>
      <c r="H3383" s="553">
        <v>1319.7474999999999</v>
      </c>
      <c r="I3383" s="553">
        <v>0</v>
      </c>
      <c r="J3383" s="553">
        <v>12</v>
      </c>
      <c r="K3383" s="553">
        <v>17</v>
      </c>
      <c r="L3383" s="553">
        <v>1</v>
      </c>
      <c r="M3383" s="505" t="s">
        <v>137</v>
      </c>
      <c r="N3383" s="500">
        <v>43013537280000</v>
      </c>
      <c r="O3383" s="553" t="s">
        <v>2935</v>
      </c>
      <c r="P3383" s="650" t="s">
        <v>4116</v>
      </c>
      <c r="Q3383" s="564"/>
      <c r="R3383" s="564">
        <v>2</v>
      </c>
    </row>
    <row r="3384" spans="1:18" s="484" customFormat="1" x14ac:dyDescent="0.25">
      <c r="A3384" s="553">
        <v>35</v>
      </c>
      <c r="B3384" s="553">
        <v>3</v>
      </c>
      <c r="C3384" s="553">
        <v>2</v>
      </c>
      <c r="D3384" s="553">
        <v>2</v>
      </c>
      <c r="E3384" s="553">
        <v>2</v>
      </c>
      <c r="F3384" s="553">
        <v>2</v>
      </c>
      <c r="G3384" s="502" t="s">
        <v>488</v>
      </c>
      <c r="H3384" s="553">
        <v>1319.7474999999999</v>
      </c>
      <c r="I3384" s="553">
        <v>0</v>
      </c>
      <c r="J3384" s="553">
        <v>12</v>
      </c>
      <c r="K3384" s="553">
        <v>17</v>
      </c>
      <c r="L3384" s="553">
        <v>1</v>
      </c>
      <c r="M3384" s="505" t="s">
        <v>137</v>
      </c>
      <c r="N3384" s="500">
        <v>43013537280000</v>
      </c>
      <c r="O3384" s="553" t="s">
        <v>2935</v>
      </c>
      <c r="P3384" s="650" t="s">
        <v>4117</v>
      </c>
      <c r="Q3384" s="564"/>
      <c r="R3384" s="564">
        <v>2</v>
      </c>
    </row>
    <row r="3385" spans="1:18" s="484" customFormat="1" x14ac:dyDescent="0.25">
      <c r="A3385" s="553">
        <v>35</v>
      </c>
      <c r="B3385" s="553">
        <v>3</v>
      </c>
      <c r="C3385" s="553">
        <v>2</v>
      </c>
      <c r="D3385" s="553">
        <v>2</v>
      </c>
      <c r="E3385" s="553">
        <v>2</v>
      </c>
      <c r="F3385" s="553">
        <v>2</v>
      </c>
      <c r="G3385" s="553" t="s">
        <v>490</v>
      </c>
      <c r="H3385" s="553">
        <v>1319.7474999999999</v>
      </c>
      <c r="I3385" s="553">
        <v>0</v>
      </c>
      <c r="J3385" s="553">
        <v>12</v>
      </c>
      <c r="K3385" s="553">
        <v>17</v>
      </c>
      <c r="L3385" s="553">
        <v>1</v>
      </c>
      <c r="M3385" s="505" t="s">
        <v>137</v>
      </c>
      <c r="N3385" s="500">
        <v>43013537280000</v>
      </c>
      <c r="O3385" s="553" t="s">
        <v>2935</v>
      </c>
      <c r="P3385" s="650" t="s">
        <v>4118</v>
      </c>
      <c r="Q3385" s="564"/>
      <c r="R3385" s="564">
        <v>2</v>
      </c>
    </row>
    <row r="3386" spans="1:18" s="484" customFormat="1" x14ac:dyDescent="0.25">
      <c r="A3386" s="553">
        <v>35</v>
      </c>
      <c r="B3386" s="553">
        <v>3</v>
      </c>
      <c r="C3386" s="553">
        <v>2</v>
      </c>
      <c r="D3386" s="553">
        <v>2</v>
      </c>
      <c r="E3386" s="553">
        <v>2</v>
      </c>
      <c r="F3386" s="553">
        <v>2</v>
      </c>
      <c r="G3386" s="553" t="s">
        <v>493</v>
      </c>
      <c r="H3386" s="553">
        <v>1319.7474999999999</v>
      </c>
      <c r="I3386" s="553">
        <v>0</v>
      </c>
      <c r="J3386" s="553">
        <v>12</v>
      </c>
      <c r="K3386" s="553">
        <v>17</v>
      </c>
      <c r="L3386" s="553">
        <v>1</v>
      </c>
      <c r="M3386" s="505" t="s">
        <v>137</v>
      </c>
      <c r="N3386" s="500">
        <v>43013537280000</v>
      </c>
      <c r="O3386" s="553" t="s">
        <v>2935</v>
      </c>
      <c r="P3386" s="650" t="s">
        <v>4119</v>
      </c>
      <c r="Q3386" s="564"/>
      <c r="R3386" s="564">
        <v>2</v>
      </c>
    </row>
    <row r="3387" spans="1:18" s="484" customFormat="1" x14ac:dyDescent="0.25">
      <c r="A3387" s="553">
        <v>35</v>
      </c>
      <c r="B3387" s="553">
        <v>3</v>
      </c>
      <c r="C3387" s="553">
        <v>2</v>
      </c>
      <c r="D3387" s="553">
        <v>2</v>
      </c>
      <c r="E3387" s="553">
        <v>2</v>
      </c>
      <c r="F3387" s="553">
        <v>2</v>
      </c>
      <c r="G3387" s="553" t="s">
        <v>474</v>
      </c>
      <c r="H3387" s="553">
        <v>1316.885</v>
      </c>
      <c r="I3387" s="553">
        <v>89</v>
      </c>
      <c r="J3387" s="553">
        <v>23</v>
      </c>
      <c r="K3387" s="553">
        <v>53</v>
      </c>
      <c r="L3387" s="553">
        <v>3</v>
      </c>
      <c r="M3387" s="505" t="s">
        <v>137</v>
      </c>
      <c r="N3387" s="500">
        <v>43013537280000</v>
      </c>
      <c r="O3387" s="553" t="s">
        <v>2935</v>
      </c>
      <c r="P3387" s="650" t="s">
        <v>4120</v>
      </c>
      <c r="Q3387" s="564"/>
      <c r="R3387" s="564">
        <v>2</v>
      </c>
    </row>
    <row r="3388" spans="1:18" s="484" customFormat="1" x14ac:dyDescent="0.25">
      <c r="A3388" s="553">
        <v>35</v>
      </c>
      <c r="B3388" s="553">
        <v>3</v>
      </c>
      <c r="C3388" s="553">
        <v>2</v>
      </c>
      <c r="D3388" s="553">
        <v>2</v>
      </c>
      <c r="E3388" s="553">
        <v>2</v>
      </c>
      <c r="F3388" s="553">
        <v>2</v>
      </c>
      <c r="G3388" s="502" t="s">
        <v>477</v>
      </c>
      <c r="H3388" s="553">
        <v>1316.885</v>
      </c>
      <c r="I3388" s="553">
        <v>89</v>
      </c>
      <c r="J3388" s="553">
        <v>23</v>
      </c>
      <c r="K3388" s="553">
        <v>53</v>
      </c>
      <c r="L3388" s="553">
        <v>3</v>
      </c>
      <c r="M3388" s="505" t="s">
        <v>137</v>
      </c>
      <c r="N3388" s="500">
        <v>43013537280000</v>
      </c>
      <c r="O3388" s="553" t="s">
        <v>2935</v>
      </c>
      <c r="P3388" s="650" t="s">
        <v>4121</v>
      </c>
      <c r="Q3388" s="564"/>
      <c r="R3388" s="564">
        <v>2</v>
      </c>
    </row>
    <row r="3389" spans="1:18" s="484" customFormat="1" x14ac:dyDescent="0.25">
      <c r="A3389" s="553">
        <v>35</v>
      </c>
      <c r="B3389" s="553">
        <v>3</v>
      </c>
      <c r="C3389" s="553">
        <v>2</v>
      </c>
      <c r="D3389" s="553">
        <v>2</v>
      </c>
      <c r="E3389" s="553">
        <v>2</v>
      </c>
      <c r="F3389" s="553">
        <v>2</v>
      </c>
      <c r="G3389" s="553" t="s">
        <v>479</v>
      </c>
      <c r="H3389" s="553">
        <v>1325.99</v>
      </c>
      <c r="I3389" s="553">
        <v>89</v>
      </c>
      <c r="J3389" s="553">
        <v>47</v>
      </c>
      <c r="K3389" s="553">
        <v>48</v>
      </c>
      <c r="L3389" s="553">
        <v>3</v>
      </c>
      <c r="M3389" s="505" t="s">
        <v>137</v>
      </c>
      <c r="N3389" s="500">
        <v>43013537280000</v>
      </c>
      <c r="O3389" s="553" t="s">
        <v>2935</v>
      </c>
      <c r="P3389" s="650" t="s">
        <v>4122</v>
      </c>
      <c r="Q3389" s="564"/>
      <c r="R3389" s="564">
        <v>2</v>
      </c>
    </row>
    <row r="3390" spans="1:18" s="484" customFormat="1" x14ac:dyDescent="0.25">
      <c r="A3390" s="553">
        <v>35</v>
      </c>
      <c r="B3390" s="553">
        <v>3</v>
      </c>
      <c r="C3390" s="553">
        <v>2</v>
      </c>
      <c r="D3390" s="553">
        <v>2</v>
      </c>
      <c r="E3390" s="553">
        <v>2</v>
      </c>
      <c r="F3390" s="553">
        <v>2</v>
      </c>
      <c r="G3390" s="553" t="s">
        <v>485</v>
      </c>
      <c r="H3390" s="553">
        <v>1322.75</v>
      </c>
      <c r="I3390" s="553">
        <v>89</v>
      </c>
      <c r="J3390" s="553">
        <v>47</v>
      </c>
      <c r="K3390" s="553">
        <v>34</v>
      </c>
      <c r="L3390" s="553">
        <v>3</v>
      </c>
      <c r="M3390" s="505" t="s">
        <v>137</v>
      </c>
      <c r="N3390" s="500">
        <v>43013537280000</v>
      </c>
      <c r="O3390" s="553" t="s">
        <v>2935</v>
      </c>
      <c r="P3390" s="650" t="s">
        <v>4123</v>
      </c>
      <c r="Q3390" s="564"/>
      <c r="R3390" s="564">
        <v>2</v>
      </c>
    </row>
    <row r="3391" spans="1:18" s="484" customFormat="1" x14ac:dyDescent="0.25">
      <c r="A3391" s="553">
        <v>35</v>
      </c>
      <c r="B3391" s="553">
        <v>3</v>
      </c>
      <c r="C3391" s="553">
        <v>2</v>
      </c>
      <c r="D3391" s="553">
        <v>2</v>
      </c>
      <c r="E3391" s="553">
        <v>2</v>
      </c>
      <c r="F3391" s="553">
        <v>2</v>
      </c>
      <c r="G3391" s="553" t="s">
        <v>487</v>
      </c>
      <c r="H3391" s="553">
        <v>1321.78</v>
      </c>
      <c r="I3391" s="553">
        <v>89</v>
      </c>
      <c r="J3391" s="553">
        <v>56</v>
      </c>
      <c r="K3391" s="553">
        <v>2</v>
      </c>
      <c r="L3391" s="553">
        <v>3</v>
      </c>
      <c r="M3391" s="505" t="s">
        <v>137</v>
      </c>
      <c r="N3391" s="500">
        <v>43013537280000</v>
      </c>
      <c r="O3391" s="553" t="s">
        <v>2935</v>
      </c>
      <c r="P3391" s="650" t="s">
        <v>4124</v>
      </c>
      <c r="Q3391" s="564"/>
      <c r="R3391" s="564">
        <v>2</v>
      </c>
    </row>
    <row r="3392" spans="1:18" s="484" customFormat="1" x14ac:dyDescent="0.25">
      <c r="A3392" s="553">
        <v>35</v>
      </c>
      <c r="B3392" s="553">
        <v>3</v>
      </c>
      <c r="C3392" s="553">
        <v>2</v>
      </c>
      <c r="D3392" s="553">
        <v>2</v>
      </c>
      <c r="E3392" s="553">
        <v>2</v>
      </c>
      <c r="F3392" s="553">
        <v>2</v>
      </c>
      <c r="G3392" s="502" t="s">
        <v>489</v>
      </c>
      <c r="H3392" s="553">
        <v>1321.78</v>
      </c>
      <c r="I3392" s="553">
        <v>89</v>
      </c>
      <c r="J3392" s="553">
        <v>56</v>
      </c>
      <c r="K3392" s="553">
        <v>2</v>
      </c>
      <c r="L3392" s="553">
        <v>3</v>
      </c>
      <c r="M3392" s="505" t="s">
        <v>137</v>
      </c>
      <c r="N3392" s="500">
        <v>43013537280000</v>
      </c>
      <c r="O3392" s="553" t="s">
        <v>2935</v>
      </c>
      <c r="P3392" s="650" t="s">
        <v>4125</v>
      </c>
      <c r="Q3392" s="564"/>
      <c r="R3392" s="564">
        <v>2</v>
      </c>
    </row>
    <row r="3393" spans="1:18" s="484" customFormat="1" x14ac:dyDescent="0.25">
      <c r="A3393" s="553">
        <v>35</v>
      </c>
      <c r="B3393" s="553">
        <v>3</v>
      </c>
      <c r="C3393" s="553">
        <v>2</v>
      </c>
      <c r="D3393" s="553">
        <v>2</v>
      </c>
      <c r="E3393" s="553">
        <v>2</v>
      </c>
      <c r="F3393" s="553">
        <v>2</v>
      </c>
      <c r="G3393" s="553" t="s">
        <v>491</v>
      </c>
      <c r="H3393" s="553">
        <v>1332.105</v>
      </c>
      <c r="I3393" s="553">
        <v>89</v>
      </c>
      <c r="J3393" s="553">
        <v>42</v>
      </c>
      <c r="K3393" s="553">
        <v>22</v>
      </c>
      <c r="L3393" s="553">
        <v>4</v>
      </c>
      <c r="M3393" s="505" t="s">
        <v>137</v>
      </c>
      <c r="N3393" s="500">
        <v>43013537280000</v>
      </c>
      <c r="O3393" s="553" t="s">
        <v>2935</v>
      </c>
      <c r="P3393" s="650" t="s">
        <v>4126</v>
      </c>
      <c r="Q3393" s="564"/>
      <c r="R3393" s="564">
        <v>2</v>
      </c>
    </row>
    <row r="3394" spans="1:18" s="484" customFormat="1" x14ac:dyDescent="0.25">
      <c r="A3394" s="553">
        <v>35</v>
      </c>
      <c r="B3394" s="553">
        <v>3</v>
      </c>
      <c r="C3394" s="553">
        <v>2</v>
      </c>
      <c r="D3394" s="553">
        <v>2</v>
      </c>
      <c r="E3394" s="553">
        <v>2</v>
      </c>
      <c r="F3394" s="553">
        <v>2</v>
      </c>
      <c r="G3394" s="553" t="s">
        <v>494</v>
      </c>
      <c r="H3394" s="553">
        <v>1332.105</v>
      </c>
      <c r="I3394" s="553">
        <v>89</v>
      </c>
      <c r="J3394" s="553">
        <v>42</v>
      </c>
      <c r="K3394" s="553">
        <v>22</v>
      </c>
      <c r="L3394" s="553">
        <v>4</v>
      </c>
      <c r="M3394" s="505" t="s">
        <v>137</v>
      </c>
      <c r="N3394" s="500">
        <v>43013537280000</v>
      </c>
      <c r="O3394" s="553" t="s">
        <v>2935</v>
      </c>
      <c r="P3394" s="650" t="s">
        <v>4127</v>
      </c>
      <c r="Q3394" s="564"/>
      <c r="R3394" s="564">
        <v>2</v>
      </c>
    </row>
    <row r="3395" spans="1:18" x14ac:dyDescent="0.25">
      <c r="A3395" s="553">
        <v>35</v>
      </c>
      <c r="B3395" s="553">
        <v>2</v>
      </c>
      <c r="C3395" s="553">
        <v>2</v>
      </c>
      <c r="D3395" s="553">
        <v>4</v>
      </c>
      <c r="E3395" s="553">
        <v>2</v>
      </c>
      <c r="F3395" s="553">
        <v>2</v>
      </c>
      <c r="G3395" s="553" t="s">
        <v>473</v>
      </c>
      <c r="H3395" s="553">
        <v>1314.405</v>
      </c>
      <c r="I3395" s="517">
        <v>0</v>
      </c>
      <c r="J3395" s="553">
        <v>3</v>
      </c>
      <c r="K3395" s="553">
        <v>24</v>
      </c>
      <c r="L3395" s="553">
        <v>3</v>
      </c>
      <c r="M3395" s="561" t="s">
        <v>137</v>
      </c>
      <c r="N3395" s="500"/>
      <c r="O3395" s="564"/>
      <c r="P3395" s="518" t="s">
        <v>4128</v>
      </c>
      <c r="Q3395" s="564"/>
      <c r="R3395" s="564">
        <v>1</v>
      </c>
    </row>
    <row r="3396" spans="1:18" x14ac:dyDescent="0.25">
      <c r="A3396" s="553">
        <v>35</v>
      </c>
      <c r="B3396" s="553">
        <v>2</v>
      </c>
      <c r="C3396" s="553">
        <v>2</v>
      </c>
      <c r="D3396" s="553">
        <v>4</v>
      </c>
      <c r="E3396" s="553">
        <v>2</v>
      </c>
      <c r="F3396" s="553">
        <v>2</v>
      </c>
      <c r="G3396" s="502" t="s">
        <v>476</v>
      </c>
      <c r="H3396" s="553">
        <v>1314.405</v>
      </c>
      <c r="I3396" s="517">
        <v>0</v>
      </c>
      <c r="J3396" s="553">
        <v>3</v>
      </c>
      <c r="K3396" s="553">
        <v>24</v>
      </c>
      <c r="L3396" s="553">
        <v>3</v>
      </c>
      <c r="M3396" s="561" t="s">
        <v>137</v>
      </c>
      <c r="N3396" s="500"/>
      <c r="O3396" s="564"/>
      <c r="P3396" s="519" t="s">
        <v>4129</v>
      </c>
      <c r="Q3396" s="564"/>
      <c r="R3396" s="564">
        <v>1</v>
      </c>
    </row>
    <row r="3397" spans="1:18" x14ac:dyDescent="0.25">
      <c r="A3397" s="553">
        <v>35</v>
      </c>
      <c r="B3397" s="553">
        <v>2</v>
      </c>
      <c r="C3397" s="553">
        <v>2</v>
      </c>
      <c r="D3397" s="553">
        <v>4</v>
      </c>
      <c r="E3397" s="553">
        <v>2</v>
      </c>
      <c r="F3397" s="553">
        <v>2</v>
      </c>
      <c r="G3397" s="553" t="s">
        <v>478</v>
      </c>
      <c r="H3397" s="553">
        <v>1353.84</v>
      </c>
      <c r="I3397" s="517">
        <v>0</v>
      </c>
      <c r="J3397" s="553">
        <v>3</v>
      </c>
      <c r="K3397" s="553">
        <v>24</v>
      </c>
      <c r="L3397" s="553">
        <v>3</v>
      </c>
      <c r="M3397" s="561" t="s">
        <v>137</v>
      </c>
      <c r="N3397" s="500"/>
      <c r="O3397" s="564"/>
      <c r="P3397" s="518" t="s">
        <v>4130</v>
      </c>
      <c r="Q3397" s="564"/>
      <c r="R3397" s="564">
        <v>1</v>
      </c>
    </row>
    <row r="3398" spans="1:18" x14ac:dyDescent="0.25">
      <c r="A3398" s="553">
        <v>35</v>
      </c>
      <c r="B3398" s="553">
        <v>2</v>
      </c>
      <c r="C3398" s="553">
        <v>2</v>
      </c>
      <c r="D3398" s="553">
        <v>4</v>
      </c>
      <c r="E3398" s="553">
        <v>2</v>
      </c>
      <c r="F3398" s="553">
        <v>2</v>
      </c>
      <c r="G3398" s="553" t="s">
        <v>484</v>
      </c>
      <c r="H3398" s="553">
        <v>1353.84</v>
      </c>
      <c r="I3398" s="517">
        <v>0</v>
      </c>
      <c r="J3398" s="553">
        <v>3</v>
      </c>
      <c r="K3398" s="553">
        <v>24</v>
      </c>
      <c r="L3398" s="553">
        <v>3</v>
      </c>
      <c r="M3398" s="561" t="s">
        <v>137</v>
      </c>
      <c r="N3398" s="500"/>
      <c r="O3398" s="564"/>
      <c r="P3398" s="518" t="s">
        <v>4131</v>
      </c>
      <c r="Q3398" s="564"/>
      <c r="R3398" s="564">
        <v>1</v>
      </c>
    </row>
    <row r="3399" spans="1:18" x14ac:dyDescent="0.25">
      <c r="A3399" s="553">
        <v>35</v>
      </c>
      <c r="B3399" s="553">
        <v>2</v>
      </c>
      <c r="C3399" s="553">
        <v>2</v>
      </c>
      <c r="D3399" s="553">
        <v>4</v>
      </c>
      <c r="E3399" s="553">
        <v>2</v>
      </c>
      <c r="F3399" s="553">
        <v>2</v>
      </c>
      <c r="G3399" s="553" t="s">
        <v>486</v>
      </c>
      <c r="H3399" s="553">
        <v>1319.7474999999999</v>
      </c>
      <c r="I3399" s="517">
        <v>0</v>
      </c>
      <c r="J3399" s="553">
        <v>12</v>
      </c>
      <c r="K3399" s="553">
        <v>17</v>
      </c>
      <c r="L3399" s="553">
        <v>1</v>
      </c>
      <c r="M3399" s="561" t="s">
        <v>137</v>
      </c>
      <c r="N3399" s="500"/>
      <c r="O3399" s="564"/>
      <c r="P3399" s="518" t="s">
        <v>4132</v>
      </c>
      <c r="Q3399" s="564"/>
      <c r="R3399" s="564">
        <v>1</v>
      </c>
    </row>
    <row r="3400" spans="1:18" x14ac:dyDescent="0.25">
      <c r="A3400" s="553">
        <v>35</v>
      </c>
      <c r="B3400" s="553">
        <v>2</v>
      </c>
      <c r="C3400" s="553">
        <v>2</v>
      </c>
      <c r="D3400" s="553">
        <v>4</v>
      </c>
      <c r="E3400" s="553">
        <v>2</v>
      </c>
      <c r="F3400" s="553">
        <v>2</v>
      </c>
      <c r="G3400" s="502" t="s">
        <v>488</v>
      </c>
      <c r="H3400" s="553">
        <v>1319.7474999999999</v>
      </c>
      <c r="I3400" s="517">
        <v>0</v>
      </c>
      <c r="J3400" s="553">
        <v>12</v>
      </c>
      <c r="K3400" s="553">
        <v>17</v>
      </c>
      <c r="L3400" s="553">
        <v>1</v>
      </c>
      <c r="M3400" s="561" t="s">
        <v>137</v>
      </c>
      <c r="N3400" s="500"/>
      <c r="O3400" s="564"/>
      <c r="P3400" s="519" t="s">
        <v>4133</v>
      </c>
      <c r="Q3400" s="564"/>
      <c r="R3400" s="564">
        <v>1</v>
      </c>
    </row>
    <row r="3401" spans="1:18" x14ac:dyDescent="0.25">
      <c r="A3401" s="553">
        <v>35</v>
      </c>
      <c r="B3401" s="553">
        <v>2</v>
      </c>
      <c r="C3401" s="553">
        <v>2</v>
      </c>
      <c r="D3401" s="553">
        <v>4</v>
      </c>
      <c r="E3401" s="553">
        <v>2</v>
      </c>
      <c r="F3401" s="553">
        <v>2</v>
      </c>
      <c r="G3401" s="553" t="s">
        <v>490</v>
      </c>
      <c r="H3401" s="553">
        <v>1319.7474999999999</v>
      </c>
      <c r="I3401" s="517">
        <v>0</v>
      </c>
      <c r="J3401" s="553">
        <v>12</v>
      </c>
      <c r="K3401" s="553">
        <v>17</v>
      </c>
      <c r="L3401" s="553">
        <v>1</v>
      </c>
      <c r="M3401" s="561" t="s">
        <v>137</v>
      </c>
      <c r="N3401" s="500"/>
      <c r="O3401" s="564"/>
      <c r="P3401" s="518" t="s">
        <v>4134</v>
      </c>
      <c r="Q3401" s="564"/>
      <c r="R3401" s="564">
        <v>1</v>
      </c>
    </row>
    <row r="3402" spans="1:18" x14ac:dyDescent="0.25">
      <c r="A3402" s="553">
        <v>35</v>
      </c>
      <c r="B3402" s="553">
        <v>2</v>
      </c>
      <c r="C3402" s="553">
        <v>2</v>
      </c>
      <c r="D3402" s="553">
        <v>4</v>
      </c>
      <c r="E3402" s="553">
        <v>2</v>
      </c>
      <c r="F3402" s="553">
        <v>2</v>
      </c>
      <c r="G3402" s="553" t="s">
        <v>493</v>
      </c>
      <c r="H3402" s="553">
        <v>1319.7474999999999</v>
      </c>
      <c r="I3402" s="517">
        <v>0</v>
      </c>
      <c r="J3402" s="553">
        <v>12</v>
      </c>
      <c r="K3402" s="553">
        <v>17</v>
      </c>
      <c r="L3402" s="553">
        <v>1</v>
      </c>
      <c r="M3402" s="561" t="s">
        <v>137</v>
      </c>
      <c r="N3402" s="500"/>
      <c r="O3402" s="564"/>
      <c r="P3402" s="518" t="s">
        <v>4135</v>
      </c>
      <c r="Q3402" s="564"/>
      <c r="R3402" s="564">
        <v>1</v>
      </c>
    </row>
    <row r="3403" spans="1:18" x14ac:dyDescent="0.25">
      <c r="A3403" s="553">
        <v>35</v>
      </c>
      <c r="B3403" s="553">
        <v>2</v>
      </c>
      <c r="C3403" s="553">
        <v>2</v>
      </c>
      <c r="D3403" s="553">
        <v>4</v>
      </c>
      <c r="E3403" s="553">
        <v>2</v>
      </c>
      <c r="F3403" s="553">
        <v>2</v>
      </c>
      <c r="G3403" s="553" t="s">
        <v>474</v>
      </c>
      <c r="H3403" s="553">
        <v>1318.81</v>
      </c>
      <c r="I3403" s="517">
        <v>89</v>
      </c>
      <c r="J3403" s="553">
        <v>58</v>
      </c>
      <c r="K3403" s="553">
        <v>57</v>
      </c>
      <c r="L3403" s="553">
        <v>2</v>
      </c>
      <c r="M3403" s="561" t="s">
        <v>137</v>
      </c>
      <c r="N3403" s="500"/>
      <c r="O3403" s="564"/>
      <c r="P3403" s="518" t="s">
        <v>4136</v>
      </c>
      <c r="Q3403" s="564"/>
      <c r="R3403" s="564">
        <v>1</v>
      </c>
    </row>
    <row r="3404" spans="1:18" x14ac:dyDescent="0.25">
      <c r="A3404" s="553">
        <v>35</v>
      </c>
      <c r="B3404" s="553">
        <v>2</v>
      </c>
      <c r="C3404" s="553">
        <v>2</v>
      </c>
      <c r="D3404" s="553">
        <v>4</v>
      </c>
      <c r="E3404" s="553">
        <v>2</v>
      </c>
      <c r="F3404" s="553">
        <v>2</v>
      </c>
      <c r="G3404" s="502" t="s">
        <v>477</v>
      </c>
      <c r="H3404" s="553">
        <v>1318.81</v>
      </c>
      <c r="I3404" s="553">
        <v>89</v>
      </c>
      <c r="J3404" s="553">
        <v>58</v>
      </c>
      <c r="K3404" s="553">
        <v>57</v>
      </c>
      <c r="L3404" s="553">
        <v>2</v>
      </c>
      <c r="M3404" s="561" t="s">
        <v>137</v>
      </c>
      <c r="N3404" s="500"/>
      <c r="O3404" s="564"/>
      <c r="P3404" s="519" t="s">
        <v>4137</v>
      </c>
      <c r="Q3404" s="564"/>
      <c r="R3404" s="564">
        <v>1</v>
      </c>
    </row>
    <row r="3405" spans="1:18" x14ac:dyDescent="0.25">
      <c r="A3405" s="553">
        <v>35</v>
      </c>
      <c r="B3405" s="553">
        <v>2</v>
      </c>
      <c r="C3405" s="553">
        <v>2</v>
      </c>
      <c r="D3405" s="553">
        <v>4</v>
      </c>
      <c r="E3405" s="553">
        <v>2</v>
      </c>
      <c r="F3405" s="553">
        <v>2</v>
      </c>
      <c r="G3405" s="553" t="s">
        <v>479</v>
      </c>
      <c r="H3405" s="553">
        <v>1318.81</v>
      </c>
      <c r="I3405" s="517">
        <v>89</v>
      </c>
      <c r="J3405" s="553">
        <v>58</v>
      </c>
      <c r="K3405" s="553">
        <v>57</v>
      </c>
      <c r="L3405" s="553">
        <v>2</v>
      </c>
      <c r="M3405" s="561" t="s">
        <v>137</v>
      </c>
      <c r="N3405" s="500"/>
      <c r="O3405" s="564"/>
      <c r="P3405" s="518" t="s">
        <v>4138</v>
      </c>
      <c r="Q3405" s="564"/>
      <c r="R3405" s="564">
        <v>1</v>
      </c>
    </row>
    <row r="3406" spans="1:18" x14ac:dyDescent="0.25">
      <c r="A3406" s="553">
        <v>35</v>
      </c>
      <c r="B3406" s="553">
        <v>2</v>
      </c>
      <c r="C3406" s="553">
        <v>2</v>
      </c>
      <c r="D3406" s="553">
        <v>4</v>
      </c>
      <c r="E3406" s="553">
        <v>2</v>
      </c>
      <c r="F3406" s="553">
        <v>2</v>
      </c>
      <c r="G3406" s="553" t="s">
        <v>485</v>
      </c>
      <c r="H3406" s="553">
        <v>1318.81</v>
      </c>
      <c r="I3406" s="517">
        <v>89</v>
      </c>
      <c r="J3406" s="553">
        <v>58</v>
      </c>
      <c r="K3406" s="553">
        <v>57</v>
      </c>
      <c r="L3406" s="553">
        <v>2</v>
      </c>
      <c r="M3406" s="561" t="s">
        <v>137</v>
      </c>
      <c r="N3406" s="500"/>
      <c r="O3406" s="564"/>
      <c r="P3406" s="518" t="s">
        <v>4139</v>
      </c>
      <c r="Q3406" s="564"/>
      <c r="R3406" s="564">
        <v>1</v>
      </c>
    </row>
    <row r="3407" spans="1:18" x14ac:dyDescent="0.25">
      <c r="A3407" s="553">
        <v>35</v>
      </c>
      <c r="B3407" s="553">
        <v>2</v>
      </c>
      <c r="C3407" s="553">
        <v>2</v>
      </c>
      <c r="D3407" s="553">
        <v>4</v>
      </c>
      <c r="E3407" s="553">
        <v>2</v>
      </c>
      <c r="F3407" s="553">
        <v>2</v>
      </c>
      <c r="G3407" s="553" t="s">
        <v>487</v>
      </c>
      <c r="H3407" s="553">
        <v>1319.88</v>
      </c>
      <c r="I3407" s="517">
        <v>89</v>
      </c>
      <c r="J3407" s="553">
        <v>43</v>
      </c>
      <c r="K3407" s="553">
        <v>11</v>
      </c>
      <c r="L3407" s="553">
        <v>4</v>
      </c>
      <c r="M3407" s="561" t="s">
        <v>137</v>
      </c>
      <c r="N3407" s="500"/>
      <c r="O3407" s="564"/>
      <c r="P3407" s="518" t="s">
        <v>4140</v>
      </c>
      <c r="Q3407" s="564"/>
      <c r="R3407" s="564">
        <v>1</v>
      </c>
    </row>
    <row r="3408" spans="1:18" x14ac:dyDescent="0.25">
      <c r="A3408" s="553">
        <v>35</v>
      </c>
      <c r="B3408" s="553">
        <v>2</v>
      </c>
      <c r="C3408" s="553">
        <v>2</v>
      </c>
      <c r="D3408" s="553">
        <v>4</v>
      </c>
      <c r="E3408" s="553">
        <v>2</v>
      </c>
      <c r="F3408" s="553">
        <v>2</v>
      </c>
      <c r="G3408" s="502" t="s">
        <v>489</v>
      </c>
      <c r="H3408" s="553">
        <v>1319.88</v>
      </c>
      <c r="I3408" s="553">
        <v>89</v>
      </c>
      <c r="J3408" s="553">
        <v>43</v>
      </c>
      <c r="K3408" s="553">
        <v>11</v>
      </c>
      <c r="L3408" s="553">
        <v>4</v>
      </c>
      <c r="M3408" s="561" t="s">
        <v>137</v>
      </c>
      <c r="N3408" s="500"/>
      <c r="O3408" s="564"/>
      <c r="P3408" s="519" t="s">
        <v>4141</v>
      </c>
      <c r="Q3408" s="564"/>
      <c r="R3408" s="564">
        <v>1</v>
      </c>
    </row>
    <row r="3409" spans="1:18" x14ac:dyDescent="0.25">
      <c r="A3409" s="553">
        <v>35</v>
      </c>
      <c r="B3409" s="553">
        <v>2</v>
      </c>
      <c r="C3409" s="553">
        <v>2</v>
      </c>
      <c r="D3409" s="553">
        <v>4</v>
      </c>
      <c r="E3409" s="553">
        <v>2</v>
      </c>
      <c r="F3409" s="553">
        <v>2</v>
      </c>
      <c r="G3409" s="553" t="s">
        <v>491</v>
      </c>
      <c r="H3409" s="553">
        <v>1332.105</v>
      </c>
      <c r="I3409" s="517">
        <v>89</v>
      </c>
      <c r="J3409" s="553">
        <v>42</v>
      </c>
      <c r="K3409" s="553">
        <v>22</v>
      </c>
      <c r="L3409" s="553">
        <v>4</v>
      </c>
      <c r="M3409" s="561" t="s">
        <v>137</v>
      </c>
      <c r="N3409" s="500"/>
      <c r="O3409" s="564"/>
      <c r="P3409" s="518" t="s">
        <v>4142</v>
      </c>
      <c r="Q3409" s="564"/>
      <c r="R3409" s="564">
        <v>1</v>
      </c>
    </row>
    <row r="3410" spans="1:18" x14ac:dyDescent="0.25">
      <c r="A3410" s="553">
        <v>35</v>
      </c>
      <c r="B3410" s="553">
        <v>2</v>
      </c>
      <c r="C3410" s="553">
        <v>2</v>
      </c>
      <c r="D3410" s="553">
        <v>4</v>
      </c>
      <c r="E3410" s="553">
        <v>2</v>
      </c>
      <c r="F3410" s="553">
        <v>2</v>
      </c>
      <c r="G3410" s="553" t="s">
        <v>494</v>
      </c>
      <c r="H3410" s="553">
        <v>1332.105</v>
      </c>
      <c r="I3410" s="517">
        <v>89</v>
      </c>
      <c r="J3410" s="553">
        <v>42</v>
      </c>
      <c r="K3410" s="553">
        <v>22</v>
      </c>
      <c r="L3410" s="553">
        <v>4</v>
      </c>
      <c r="M3410" s="561" t="s">
        <v>137</v>
      </c>
      <c r="N3410" s="500"/>
      <c r="O3410" s="564"/>
      <c r="P3410" s="518" t="s">
        <v>4143</v>
      </c>
      <c r="Q3410" s="564"/>
      <c r="R3410" s="564">
        <v>1</v>
      </c>
    </row>
    <row r="3411" spans="1:18" s="484" customFormat="1" x14ac:dyDescent="0.25">
      <c r="A3411" s="564">
        <v>35</v>
      </c>
      <c r="B3411" s="564">
        <v>3</v>
      </c>
      <c r="C3411" s="564">
        <v>2</v>
      </c>
      <c r="D3411" s="564">
        <v>5</v>
      </c>
      <c r="E3411" s="564">
        <v>2</v>
      </c>
      <c r="F3411" s="564">
        <v>2</v>
      </c>
      <c r="G3411" s="564" t="s">
        <v>473</v>
      </c>
      <c r="H3411" s="564">
        <v>1319.2249999999999</v>
      </c>
      <c r="I3411" s="564">
        <v>0</v>
      </c>
      <c r="J3411" s="564">
        <v>1</v>
      </c>
      <c r="K3411" s="564">
        <v>17</v>
      </c>
      <c r="L3411" s="564">
        <v>2</v>
      </c>
      <c r="M3411" s="561" t="s">
        <v>137</v>
      </c>
      <c r="N3411" s="520"/>
      <c r="O3411" s="564"/>
      <c r="P3411" s="564" t="s">
        <v>4144</v>
      </c>
      <c r="Q3411" s="564"/>
      <c r="R3411" s="564">
        <v>2</v>
      </c>
    </row>
    <row r="3412" spans="1:18" s="484" customFormat="1" x14ac:dyDescent="0.25">
      <c r="A3412" s="564">
        <v>35</v>
      </c>
      <c r="B3412" s="564">
        <v>3</v>
      </c>
      <c r="C3412" s="564">
        <v>2</v>
      </c>
      <c r="D3412" s="564">
        <v>5</v>
      </c>
      <c r="E3412" s="564">
        <v>2</v>
      </c>
      <c r="F3412" s="564">
        <v>2</v>
      </c>
      <c r="G3412" s="521" t="s">
        <v>476</v>
      </c>
      <c r="H3412" s="564">
        <v>1319.2249999999999</v>
      </c>
      <c r="I3412" s="564">
        <v>0</v>
      </c>
      <c r="J3412" s="564">
        <v>1</v>
      </c>
      <c r="K3412" s="564">
        <v>17</v>
      </c>
      <c r="L3412" s="564">
        <v>2</v>
      </c>
      <c r="M3412" s="561" t="s">
        <v>137</v>
      </c>
      <c r="N3412" s="520"/>
      <c r="O3412" s="564"/>
      <c r="P3412" s="564" t="s">
        <v>4145</v>
      </c>
      <c r="Q3412" s="564"/>
      <c r="R3412" s="564">
        <v>2</v>
      </c>
    </row>
    <row r="3413" spans="1:18" s="484" customFormat="1" x14ac:dyDescent="0.25">
      <c r="A3413" s="564">
        <v>35</v>
      </c>
      <c r="B3413" s="564">
        <v>3</v>
      </c>
      <c r="C3413" s="564">
        <v>2</v>
      </c>
      <c r="D3413" s="564">
        <v>5</v>
      </c>
      <c r="E3413" s="564">
        <v>2</v>
      </c>
      <c r="F3413" s="564">
        <v>2</v>
      </c>
      <c r="G3413" s="564" t="s">
        <v>478</v>
      </c>
      <c r="H3413" s="564">
        <v>1295</v>
      </c>
      <c r="I3413" s="564">
        <v>0</v>
      </c>
      <c r="J3413" s="564">
        <v>0</v>
      </c>
      <c r="K3413" s="564">
        <v>0</v>
      </c>
      <c r="L3413" s="564">
        <v>2</v>
      </c>
      <c r="M3413" s="561" t="s">
        <v>137</v>
      </c>
      <c r="N3413" s="520"/>
      <c r="O3413" s="564"/>
      <c r="P3413" s="564" t="s">
        <v>4146</v>
      </c>
      <c r="Q3413" s="564"/>
      <c r="R3413" s="564">
        <v>2</v>
      </c>
    </row>
    <row r="3414" spans="1:18" s="484" customFormat="1" x14ac:dyDescent="0.25">
      <c r="A3414" s="564">
        <v>35</v>
      </c>
      <c r="B3414" s="564">
        <v>3</v>
      </c>
      <c r="C3414" s="564">
        <v>2</v>
      </c>
      <c r="D3414" s="564">
        <v>5</v>
      </c>
      <c r="E3414" s="564">
        <v>2</v>
      </c>
      <c r="F3414" s="564">
        <v>2</v>
      </c>
      <c r="G3414" s="564" t="s">
        <v>484</v>
      </c>
      <c r="H3414" s="564">
        <v>1295</v>
      </c>
      <c r="I3414" s="564">
        <v>0</v>
      </c>
      <c r="J3414" s="564">
        <v>0</v>
      </c>
      <c r="K3414" s="564">
        <v>0</v>
      </c>
      <c r="L3414" s="564">
        <v>2</v>
      </c>
      <c r="M3414" s="561" t="s">
        <v>137</v>
      </c>
      <c r="N3414" s="520"/>
      <c r="O3414" s="564"/>
      <c r="P3414" s="564" t="s">
        <v>4147</v>
      </c>
      <c r="Q3414" s="564"/>
      <c r="R3414" s="564">
        <v>2</v>
      </c>
    </row>
    <row r="3415" spans="1:18" s="484" customFormat="1" x14ac:dyDescent="0.25">
      <c r="A3415" s="564">
        <v>35</v>
      </c>
      <c r="B3415" s="564">
        <v>3</v>
      </c>
      <c r="C3415" s="564">
        <v>2</v>
      </c>
      <c r="D3415" s="564">
        <v>5</v>
      </c>
      <c r="E3415" s="564">
        <v>2</v>
      </c>
      <c r="F3415" s="564">
        <v>2</v>
      </c>
      <c r="G3415" s="564" t="s">
        <v>486</v>
      </c>
      <c r="H3415" s="564">
        <v>1320</v>
      </c>
      <c r="I3415" s="564">
        <v>0</v>
      </c>
      <c r="J3415" s="564">
        <v>17</v>
      </c>
      <c r="K3415" s="564">
        <v>11</v>
      </c>
      <c r="L3415" s="564">
        <v>2</v>
      </c>
      <c r="M3415" s="561" t="s">
        <v>137</v>
      </c>
      <c r="N3415" s="520"/>
      <c r="O3415" s="564"/>
      <c r="P3415" s="564" t="s">
        <v>4148</v>
      </c>
      <c r="Q3415" s="564"/>
      <c r="R3415" s="564">
        <v>2</v>
      </c>
    </row>
    <row r="3416" spans="1:18" s="484" customFormat="1" x14ac:dyDescent="0.25">
      <c r="A3416" s="564">
        <v>35</v>
      </c>
      <c r="B3416" s="564">
        <v>3</v>
      </c>
      <c r="C3416" s="564">
        <v>2</v>
      </c>
      <c r="D3416" s="564">
        <v>5</v>
      </c>
      <c r="E3416" s="564">
        <v>2</v>
      </c>
      <c r="F3416" s="564">
        <v>2</v>
      </c>
      <c r="G3416" s="521" t="s">
        <v>488</v>
      </c>
      <c r="H3416" s="564">
        <v>1320</v>
      </c>
      <c r="I3416" s="564">
        <v>0</v>
      </c>
      <c r="J3416" s="564">
        <v>17</v>
      </c>
      <c r="K3416" s="564">
        <v>11</v>
      </c>
      <c r="L3416" s="564">
        <v>2</v>
      </c>
      <c r="M3416" s="561" t="s">
        <v>137</v>
      </c>
      <c r="N3416" s="520"/>
      <c r="O3416" s="564"/>
      <c r="P3416" s="564" t="s">
        <v>4149</v>
      </c>
      <c r="Q3416" s="564"/>
      <c r="R3416" s="564">
        <v>2</v>
      </c>
    </row>
    <row r="3417" spans="1:18" s="484" customFormat="1" x14ac:dyDescent="0.25">
      <c r="A3417" s="564">
        <v>35</v>
      </c>
      <c r="B3417" s="564">
        <v>3</v>
      </c>
      <c r="C3417" s="564">
        <v>2</v>
      </c>
      <c r="D3417" s="564">
        <v>5</v>
      </c>
      <c r="E3417" s="564">
        <v>2</v>
      </c>
      <c r="F3417" s="564">
        <v>2</v>
      </c>
      <c r="G3417" s="564" t="s">
        <v>490</v>
      </c>
      <c r="H3417" s="564">
        <v>1315.78</v>
      </c>
      <c r="I3417" s="564">
        <v>0</v>
      </c>
      <c r="J3417" s="564">
        <v>11</v>
      </c>
      <c r="K3417" s="564">
        <v>14</v>
      </c>
      <c r="L3417" s="564">
        <v>4</v>
      </c>
      <c r="M3417" s="561" t="s">
        <v>137</v>
      </c>
      <c r="N3417" s="520"/>
      <c r="O3417" s="564"/>
      <c r="P3417" s="564" t="s">
        <v>4150</v>
      </c>
      <c r="Q3417" s="564"/>
      <c r="R3417" s="564">
        <v>2</v>
      </c>
    </row>
    <row r="3418" spans="1:18" s="484" customFormat="1" x14ac:dyDescent="0.25">
      <c r="A3418" s="564">
        <v>35</v>
      </c>
      <c r="B3418" s="564">
        <v>3</v>
      </c>
      <c r="C3418" s="564">
        <v>2</v>
      </c>
      <c r="D3418" s="564">
        <v>5</v>
      </c>
      <c r="E3418" s="564">
        <v>2</v>
      </c>
      <c r="F3418" s="564">
        <v>2</v>
      </c>
      <c r="G3418" s="564" t="s">
        <v>493</v>
      </c>
      <c r="H3418" s="564">
        <v>1315.78</v>
      </c>
      <c r="I3418" s="564">
        <v>0</v>
      </c>
      <c r="J3418" s="564">
        <v>11</v>
      </c>
      <c r="K3418" s="564">
        <v>14</v>
      </c>
      <c r="L3418" s="564">
        <v>4</v>
      </c>
      <c r="M3418" s="561" t="s">
        <v>137</v>
      </c>
      <c r="N3418" s="520"/>
      <c r="O3418" s="564"/>
      <c r="P3418" s="564" t="s">
        <v>4151</v>
      </c>
      <c r="Q3418" s="564"/>
      <c r="R3418" s="564">
        <v>2</v>
      </c>
    </row>
    <row r="3419" spans="1:18" s="484" customFormat="1" x14ac:dyDescent="0.25">
      <c r="A3419" s="564">
        <v>35</v>
      </c>
      <c r="B3419" s="564">
        <v>3</v>
      </c>
      <c r="C3419" s="564">
        <v>2</v>
      </c>
      <c r="D3419" s="564">
        <v>5</v>
      </c>
      <c r="E3419" s="564">
        <v>2</v>
      </c>
      <c r="F3419" s="564">
        <v>2</v>
      </c>
      <c r="G3419" s="564" t="s">
        <v>474</v>
      </c>
      <c r="H3419" s="564">
        <v>1321.385</v>
      </c>
      <c r="I3419" s="564">
        <v>89</v>
      </c>
      <c r="J3419" s="564">
        <v>51</v>
      </c>
      <c r="K3419" s="564">
        <v>26</v>
      </c>
      <c r="L3419" s="564">
        <v>3</v>
      </c>
      <c r="M3419" s="561" t="s">
        <v>137</v>
      </c>
      <c r="N3419" s="520"/>
      <c r="O3419" s="564"/>
      <c r="P3419" s="564" t="s">
        <v>4152</v>
      </c>
      <c r="Q3419" s="564"/>
      <c r="R3419" s="564">
        <v>2</v>
      </c>
    </row>
    <row r="3420" spans="1:18" s="484" customFormat="1" x14ac:dyDescent="0.25">
      <c r="A3420" s="564">
        <v>35</v>
      </c>
      <c r="B3420" s="564">
        <v>3</v>
      </c>
      <c r="C3420" s="564">
        <v>2</v>
      </c>
      <c r="D3420" s="564">
        <v>5</v>
      </c>
      <c r="E3420" s="564">
        <v>2</v>
      </c>
      <c r="F3420" s="564">
        <v>2</v>
      </c>
      <c r="G3420" s="521" t="s">
        <v>477</v>
      </c>
      <c r="H3420" s="564">
        <v>1321.385</v>
      </c>
      <c r="I3420" s="564">
        <v>89</v>
      </c>
      <c r="J3420" s="564">
        <v>51</v>
      </c>
      <c r="K3420" s="564">
        <v>26</v>
      </c>
      <c r="L3420" s="564">
        <v>3</v>
      </c>
      <c r="M3420" s="561" t="s">
        <v>137</v>
      </c>
      <c r="N3420" s="520"/>
      <c r="O3420" s="564"/>
      <c r="P3420" s="564" t="s">
        <v>4153</v>
      </c>
      <c r="Q3420" s="564"/>
      <c r="R3420" s="564">
        <v>2</v>
      </c>
    </row>
    <row r="3421" spans="1:18" s="484" customFormat="1" x14ac:dyDescent="0.25">
      <c r="A3421" s="564">
        <v>35</v>
      </c>
      <c r="B3421" s="564">
        <v>3</v>
      </c>
      <c r="C3421" s="564">
        <v>2</v>
      </c>
      <c r="D3421" s="564">
        <v>5</v>
      </c>
      <c r="E3421" s="564">
        <v>2</v>
      </c>
      <c r="F3421" s="564">
        <v>2</v>
      </c>
      <c r="G3421" s="564" t="s">
        <v>479</v>
      </c>
      <c r="H3421" s="564">
        <v>1312.155</v>
      </c>
      <c r="I3421" s="564">
        <v>89</v>
      </c>
      <c r="J3421" s="564">
        <v>43</v>
      </c>
      <c r="K3421" s="564">
        <v>45</v>
      </c>
      <c r="L3421" s="564">
        <v>3</v>
      </c>
      <c r="M3421" s="561" t="s">
        <v>137</v>
      </c>
      <c r="N3421" s="520"/>
      <c r="O3421" s="564"/>
      <c r="P3421" s="564" t="s">
        <v>4154</v>
      </c>
      <c r="Q3421" s="564"/>
      <c r="R3421" s="564">
        <v>2</v>
      </c>
    </row>
    <row r="3422" spans="1:18" s="484" customFormat="1" x14ac:dyDescent="0.25">
      <c r="A3422" s="564">
        <v>35</v>
      </c>
      <c r="B3422" s="564">
        <v>3</v>
      </c>
      <c r="C3422" s="564">
        <v>2</v>
      </c>
      <c r="D3422" s="564">
        <v>5</v>
      </c>
      <c r="E3422" s="564">
        <v>2</v>
      </c>
      <c r="F3422" s="564">
        <v>2</v>
      </c>
      <c r="G3422" s="564" t="s">
        <v>485</v>
      </c>
      <c r="H3422" s="564">
        <v>1312.155</v>
      </c>
      <c r="I3422" s="564">
        <v>89</v>
      </c>
      <c r="J3422" s="564">
        <v>43</v>
      </c>
      <c r="K3422" s="564">
        <v>45</v>
      </c>
      <c r="L3422" s="564">
        <v>3</v>
      </c>
      <c r="M3422" s="561" t="s">
        <v>137</v>
      </c>
      <c r="N3422" s="520"/>
      <c r="O3422" s="564"/>
      <c r="P3422" s="564" t="s">
        <v>4155</v>
      </c>
      <c r="Q3422" s="564"/>
      <c r="R3422" s="564">
        <v>2</v>
      </c>
    </row>
    <row r="3423" spans="1:18" s="484" customFormat="1" x14ac:dyDescent="0.25">
      <c r="A3423" s="564">
        <v>35</v>
      </c>
      <c r="B3423" s="564">
        <v>3</v>
      </c>
      <c r="C3423" s="564">
        <v>2</v>
      </c>
      <c r="D3423" s="564">
        <v>5</v>
      </c>
      <c r="E3423" s="564">
        <v>2</v>
      </c>
      <c r="F3423" s="564">
        <v>2</v>
      </c>
      <c r="G3423" s="564" t="s">
        <v>487</v>
      </c>
      <c r="H3423" s="564">
        <v>1307.94</v>
      </c>
      <c r="I3423" s="564">
        <v>89</v>
      </c>
      <c r="J3423" s="564">
        <v>23</v>
      </c>
      <c r="K3423" s="564">
        <v>47</v>
      </c>
      <c r="L3423" s="564">
        <v>4</v>
      </c>
      <c r="M3423" s="561" t="s">
        <v>137</v>
      </c>
      <c r="N3423" s="520"/>
      <c r="O3423" s="564"/>
      <c r="P3423" s="564" t="s">
        <v>4156</v>
      </c>
      <c r="Q3423" s="564"/>
      <c r="R3423" s="564">
        <v>2</v>
      </c>
    </row>
    <row r="3424" spans="1:18" s="484" customFormat="1" x14ac:dyDescent="0.25">
      <c r="A3424" s="564">
        <v>35</v>
      </c>
      <c r="B3424" s="564">
        <v>3</v>
      </c>
      <c r="C3424" s="564">
        <v>2</v>
      </c>
      <c r="D3424" s="564">
        <v>5</v>
      </c>
      <c r="E3424" s="564">
        <v>2</v>
      </c>
      <c r="F3424" s="564">
        <v>2</v>
      </c>
      <c r="G3424" s="521" t="s">
        <v>489</v>
      </c>
      <c r="H3424" s="564">
        <v>1307.94</v>
      </c>
      <c r="I3424" s="564">
        <v>89</v>
      </c>
      <c r="J3424" s="564">
        <v>23</v>
      </c>
      <c r="K3424" s="564">
        <v>47</v>
      </c>
      <c r="L3424" s="564">
        <v>4</v>
      </c>
      <c r="M3424" s="561" t="s">
        <v>137</v>
      </c>
      <c r="N3424" s="520"/>
      <c r="O3424" s="564"/>
      <c r="P3424" s="564" t="s">
        <v>4157</v>
      </c>
      <c r="Q3424" s="564"/>
      <c r="R3424" s="564">
        <v>2</v>
      </c>
    </row>
    <row r="3425" spans="1:18" s="484" customFormat="1" x14ac:dyDescent="0.25">
      <c r="A3425" s="564">
        <v>35</v>
      </c>
      <c r="B3425" s="564">
        <v>3</v>
      </c>
      <c r="C3425" s="564">
        <v>2</v>
      </c>
      <c r="D3425" s="564">
        <v>5</v>
      </c>
      <c r="E3425" s="564">
        <v>2</v>
      </c>
      <c r="F3425" s="564">
        <v>2</v>
      </c>
      <c r="G3425" s="564" t="s">
        <v>491</v>
      </c>
      <c r="H3425" s="564">
        <v>1313.0550000000001</v>
      </c>
      <c r="I3425" s="564">
        <v>89</v>
      </c>
      <c r="J3425" s="564">
        <v>52</v>
      </c>
      <c r="K3425" s="564">
        <v>49</v>
      </c>
      <c r="L3425" s="564">
        <v>4</v>
      </c>
      <c r="M3425" s="561" t="s">
        <v>137</v>
      </c>
      <c r="N3425" s="520"/>
      <c r="O3425" s="564"/>
      <c r="P3425" s="564" t="s">
        <v>4158</v>
      </c>
      <c r="Q3425" s="564"/>
      <c r="R3425" s="564">
        <v>2</v>
      </c>
    </row>
    <row r="3426" spans="1:18" s="484" customFormat="1" x14ac:dyDescent="0.25">
      <c r="A3426" s="564">
        <v>35</v>
      </c>
      <c r="B3426" s="564">
        <v>3</v>
      </c>
      <c r="C3426" s="564">
        <v>2</v>
      </c>
      <c r="D3426" s="564">
        <v>5</v>
      </c>
      <c r="E3426" s="564">
        <v>2</v>
      </c>
      <c r="F3426" s="564">
        <v>2</v>
      </c>
      <c r="G3426" s="564" t="s">
        <v>494</v>
      </c>
      <c r="H3426" s="564">
        <v>1313.0550000000001</v>
      </c>
      <c r="I3426" s="564">
        <v>89</v>
      </c>
      <c r="J3426" s="564">
        <v>52</v>
      </c>
      <c r="K3426" s="564">
        <v>49</v>
      </c>
      <c r="L3426" s="564">
        <v>4</v>
      </c>
      <c r="M3426" s="561" t="s">
        <v>137</v>
      </c>
      <c r="N3426" s="520"/>
      <c r="O3426" s="564"/>
      <c r="P3426" s="564" t="s">
        <v>4159</v>
      </c>
      <c r="Q3426" s="564"/>
      <c r="R3426" s="564">
        <v>2</v>
      </c>
    </row>
    <row r="3427" spans="1:18" x14ac:dyDescent="0.25">
      <c r="A3427" s="564">
        <v>35</v>
      </c>
      <c r="B3427" s="564">
        <v>2</v>
      </c>
      <c r="C3427" s="564">
        <v>2</v>
      </c>
      <c r="D3427" s="564">
        <v>2</v>
      </c>
      <c r="E3427" s="564">
        <v>2</v>
      </c>
      <c r="F3427" s="564">
        <v>2</v>
      </c>
      <c r="G3427" s="564" t="s">
        <v>473</v>
      </c>
      <c r="H3427" s="564">
        <v>1271.665</v>
      </c>
      <c r="I3427" s="564">
        <v>0</v>
      </c>
      <c r="J3427" s="564">
        <v>7</v>
      </c>
      <c r="K3427" s="564">
        <v>18</v>
      </c>
      <c r="L3427" s="564">
        <v>4</v>
      </c>
      <c r="M3427" s="561" t="s">
        <v>137</v>
      </c>
      <c r="N3427" s="520"/>
      <c r="O3427" s="564"/>
      <c r="P3427" s="564" t="s">
        <v>4160</v>
      </c>
      <c r="Q3427" s="564"/>
      <c r="R3427" s="564">
        <v>1</v>
      </c>
    </row>
    <row r="3428" spans="1:18" x14ac:dyDescent="0.25">
      <c r="A3428" s="564">
        <v>35</v>
      </c>
      <c r="B3428" s="564">
        <v>2</v>
      </c>
      <c r="C3428" s="564">
        <v>2</v>
      </c>
      <c r="D3428" s="564">
        <v>2</v>
      </c>
      <c r="E3428" s="564">
        <v>2</v>
      </c>
      <c r="F3428" s="564">
        <v>2</v>
      </c>
      <c r="G3428" s="521" t="s">
        <v>476</v>
      </c>
      <c r="H3428" s="564">
        <v>1271.665</v>
      </c>
      <c r="I3428" s="564">
        <v>0</v>
      </c>
      <c r="J3428" s="564">
        <v>7</v>
      </c>
      <c r="K3428" s="564">
        <v>18</v>
      </c>
      <c r="L3428" s="564">
        <v>4</v>
      </c>
      <c r="M3428" s="561" t="s">
        <v>137</v>
      </c>
      <c r="N3428" s="520"/>
      <c r="O3428" s="564"/>
      <c r="P3428" s="564" t="s">
        <v>4161</v>
      </c>
      <c r="Q3428" s="564"/>
      <c r="R3428" s="564">
        <v>1</v>
      </c>
    </row>
    <row r="3429" spans="1:18" x14ac:dyDescent="0.25">
      <c r="A3429" s="564">
        <v>35</v>
      </c>
      <c r="B3429" s="564">
        <v>2</v>
      </c>
      <c r="C3429" s="564">
        <v>2</v>
      </c>
      <c r="D3429" s="564">
        <v>2</v>
      </c>
      <c r="E3429" s="564">
        <v>2</v>
      </c>
      <c r="F3429" s="564">
        <v>2</v>
      </c>
      <c r="G3429" s="564" t="s">
        <v>478</v>
      </c>
      <c r="H3429" s="564">
        <v>1271.665</v>
      </c>
      <c r="I3429" s="564">
        <v>0</v>
      </c>
      <c r="J3429" s="564">
        <v>7</v>
      </c>
      <c r="K3429" s="564">
        <v>18</v>
      </c>
      <c r="L3429" s="564">
        <v>4</v>
      </c>
      <c r="M3429" s="561" t="s">
        <v>137</v>
      </c>
      <c r="N3429" s="520"/>
      <c r="O3429" s="564"/>
      <c r="P3429" s="564" t="s">
        <v>4162</v>
      </c>
      <c r="Q3429" s="564"/>
      <c r="R3429" s="564">
        <v>1</v>
      </c>
    </row>
    <row r="3430" spans="1:18" x14ac:dyDescent="0.25">
      <c r="A3430" s="564">
        <v>35</v>
      </c>
      <c r="B3430" s="564">
        <v>2</v>
      </c>
      <c r="C3430" s="564">
        <v>2</v>
      </c>
      <c r="D3430" s="564">
        <v>2</v>
      </c>
      <c r="E3430" s="564">
        <v>2</v>
      </c>
      <c r="F3430" s="564">
        <v>2</v>
      </c>
      <c r="G3430" s="564" t="s">
        <v>484</v>
      </c>
      <c r="H3430" s="564">
        <v>1271.665</v>
      </c>
      <c r="I3430" s="564">
        <v>0</v>
      </c>
      <c r="J3430" s="564">
        <v>7</v>
      </c>
      <c r="K3430" s="564">
        <v>18</v>
      </c>
      <c r="L3430" s="564">
        <v>4</v>
      </c>
      <c r="M3430" s="561" t="s">
        <v>137</v>
      </c>
      <c r="N3430" s="520"/>
      <c r="O3430" s="564"/>
      <c r="P3430" s="564" t="s">
        <v>4163</v>
      </c>
      <c r="Q3430" s="564"/>
      <c r="R3430" s="564">
        <v>1</v>
      </c>
    </row>
    <row r="3431" spans="1:18" x14ac:dyDescent="0.25">
      <c r="A3431" s="564">
        <v>35</v>
      </c>
      <c r="B3431" s="564">
        <v>2</v>
      </c>
      <c r="C3431" s="564">
        <v>2</v>
      </c>
      <c r="D3431" s="564">
        <v>2</v>
      </c>
      <c r="E3431" s="564">
        <v>2</v>
      </c>
      <c r="F3431" s="564">
        <v>2</v>
      </c>
      <c r="G3431" s="564" t="s">
        <v>486</v>
      </c>
      <c r="H3431" s="564">
        <v>1315.38</v>
      </c>
      <c r="I3431" s="564">
        <v>0</v>
      </c>
      <c r="J3431" s="564">
        <v>23</v>
      </c>
      <c r="K3431" s="564">
        <v>38</v>
      </c>
      <c r="L3431" s="564">
        <v>2</v>
      </c>
      <c r="M3431" s="561" t="s">
        <v>137</v>
      </c>
      <c r="N3431" s="520"/>
      <c r="O3431" s="564"/>
      <c r="P3431" s="564" t="s">
        <v>4164</v>
      </c>
      <c r="Q3431" s="564"/>
      <c r="R3431" s="564">
        <v>1</v>
      </c>
    </row>
    <row r="3432" spans="1:18" x14ac:dyDescent="0.25">
      <c r="A3432" s="564">
        <v>35</v>
      </c>
      <c r="B3432" s="564">
        <v>2</v>
      </c>
      <c r="C3432" s="564">
        <v>2</v>
      </c>
      <c r="D3432" s="564">
        <v>2</v>
      </c>
      <c r="E3432" s="564">
        <v>2</v>
      </c>
      <c r="F3432" s="564">
        <v>2</v>
      </c>
      <c r="G3432" s="521" t="s">
        <v>488</v>
      </c>
      <c r="H3432" s="564">
        <v>1315.38</v>
      </c>
      <c r="I3432" s="564">
        <v>0</v>
      </c>
      <c r="J3432" s="564">
        <v>23</v>
      </c>
      <c r="K3432" s="564">
        <v>38</v>
      </c>
      <c r="L3432" s="564">
        <v>2</v>
      </c>
      <c r="M3432" s="561" t="s">
        <v>137</v>
      </c>
      <c r="N3432" s="520"/>
      <c r="O3432" s="564"/>
      <c r="P3432" s="564" t="s">
        <v>4165</v>
      </c>
      <c r="Q3432" s="564"/>
      <c r="R3432" s="564">
        <v>1</v>
      </c>
    </row>
    <row r="3433" spans="1:18" x14ac:dyDescent="0.25">
      <c r="A3433" s="564">
        <v>35</v>
      </c>
      <c r="B3433" s="564">
        <v>2</v>
      </c>
      <c r="C3433" s="564">
        <v>2</v>
      </c>
      <c r="D3433" s="564">
        <v>2</v>
      </c>
      <c r="E3433" s="564">
        <v>2</v>
      </c>
      <c r="F3433" s="564">
        <v>2</v>
      </c>
      <c r="G3433" s="564" t="s">
        <v>490</v>
      </c>
      <c r="H3433" s="564">
        <v>1315.92</v>
      </c>
      <c r="I3433" s="564">
        <v>0</v>
      </c>
      <c r="J3433" s="564">
        <v>0</v>
      </c>
      <c r="K3433" s="564">
        <v>22</v>
      </c>
      <c r="L3433" s="564">
        <v>2</v>
      </c>
      <c r="M3433" s="561" t="s">
        <v>137</v>
      </c>
      <c r="N3433" s="520"/>
      <c r="O3433" s="564"/>
      <c r="P3433" s="564" t="s">
        <v>4166</v>
      </c>
      <c r="Q3433" s="564"/>
      <c r="R3433" s="564">
        <v>1</v>
      </c>
    </row>
    <row r="3434" spans="1:18" x14ac:dyDescent="0.25">
      <c r="A3434" s="564">
        <v>35</v>
      </c>
      <c r="B3434" s="564">
        <v>2</v>
      </c>
      <c r="C3434" s="564">
        <v>2</v>
      </c>
      <c r="D3434" s="564">
        <v>2</v>
      </c>
      <c r="E3434" s="564">
        <v>2</v>
      </c>
      <c r="F3434" s="564">
        <v>2</v>
      </c>
      <c r="G3434" s="564" t="s">
        <v>493</v>
      </c>
      <c r="H3434" s="564">
        <v>1315.92</v>
      </c>
      <c r="I3434" s="564">
        <v>0</v>
      </c>
      <c r="J3434" s="564">
        <v>0</v>
      </c>
      <c r="K3434" s="564">
        <v>22</v>
      </c>
      <c r="L3434" s="564">
        <v>2</v>
      </c>
      <c r="M3434" s="561" t="s">
        <v>137</v>
      </c>
      <c r="N3434" s="520"/>
      <c r="O3434" s="564"/>
      <c r="P3434" s="564" t="s">
        <v>4167</v>
      </c>
      <c r="Q3434" s="564"/>
      <c r="R3434" s="564">
        <v>1</v>
      </c>
    </row>
    <row r="3435" spans="1:18" x14ac:dyDescent="0.25">
      <c r="A3435" s="564">
        <v>35</v>
      </c>
      <c r="B3435" s="564">
        <v>2</v>
      </c>
      <c r="C3435" s="564">
        <v>2</v>
      </c>
      <c r="D3435" s="564">
        <v>2</v>
      </c>
      <c r="E3435" s="564">
        <v>2</v>
      </c>
      <c r="F3435" s="564">
        <v>2</v>
      </c>
      <c r="G3435" s="564" t="s">
        <v>474</v>
      </c>
      <c r="H3435" s="564">
        <v>1347.23</v>
      </c>
      <c r="I3435" s="564">
        <v>88</v>
      </c>
      <c r="J3435" s="564">
        <v>3</v>
      </c>
      <c r="K3435" s="564">
        <v>3</v>
      </c>
      <c r="L3435" s="564">
        <v>3</v>
      </c>
      <c r="M3435" s="561" t="s">
        <v>137</v>
      </c>
      <c r="N3435" s="520"/>
      <c r="O3435" s="564"/>
      <c r="P3435" s="564" t="s">
        <v>4168</v>
      </c>
      <c r="Q3435" s="564"/>
      <c r="R3435" s="564">
        <v>1</v>
      </c>
    </row>
    <row r="3436" spans="1:18" x14ac:dyDescent="0.25">
      <c r="A3436" s="564">
        <v>35</v>
      </c>
      <c r="B3436" s="564">
        <v>2</v>
      </c>
      <c r="C3436" s="564">
        <v>2</v>
      </c>
      <c r="D3436" s="564">
        <v>2</v>
      </c>
      <c r="E3436" s="564">
        <v>2</v>
      </c>
      <c r="F3436" s="564">
        <v>2</v>
      </c>
      <c r="G3436" s="521" t="s">
        <v>477</v>
      </c>
      <c r="H3436" s="564">
        <v>1347.23</v>
      </c>
      <c r="I3436" s="564">
        <v>88</v>
      </c>
      <c r="J3436" s="564">
        <v>3</v>
      </c>
      <c r="K3436" s="564">
        <v>3</v>
      </c>
      <c r="L3436" s="564">
        <v>3</v>
      </c>
      <c r="M3436" s="561" t="s">
        <v>137</v>
      </c>
      <c r="N3436" s="520"/>
      <c r="O3436" s="564"/>
      <c r="P3436" s="564" t="s">
        <v>4169</v>
      </c>
      <c r="Q3436" s="564"/>
      <c r="R3436" s="564">
        <v>1</v>
      </c>
    </row>
    <row r="3437" spans="1:18" x14ac:dyDescent="0.25">
      <c r="A3437" s="564">
        <v>35</v>
      </c>
      <c r="B3437" s="564">
        <v>2</v>
      </c>
      <c r="C3437" s="564">
        <v>2</v>
      </c>
      <c r="D3437" s="564">
        <v>2</v>
      </c>
      <c r="E3437" s="564">
        <v>2</v>
      </c>
      <c r="F3437" s="564">
        <v>2</v>
      </c>
      <c r="G3437" s="564" t="s">
        <v>479</v>
      </c>
      <c r="H3437" s="564">
        <v>1311.2550000000001</v>
      </c>
      <c r="I3437" s="564">
        <v>88</v>
      </c>
      <c r="J3437" s="564">
        <v>2</v>
      </c>
      <c r="K3437" s="564">
        <v>1</v>
      </c>
      <c r="L3437" s="564">
        <v>3</v>
      </c>
      <c r="M3437" s="561" t="s">
        <v>137</v>
      </c>
      <c r="N3437" s="520"/>
      <c r="O3437" s="564"/>
      <c r="P3437" s="564" t="s">
        <v>4170</v>
      </c>
      <c r="Q3437" s="564"/>
      <c r="R3437" s="564">
        <v>1</v>
      </c>
    </row>
    <row r="3438" spans="1:18" x14ac:dyDescent="0.25">
      <c r="A3438" s="564">
        <v>35</v>
      </c>
      <c r="B3438" s="564">
        <v>2</v>
      </c>
      <c r="C3438" s="564">
        <v>2</v>
      </c>
      <c r="D3438" s="564">
        <v>2</v>
      </c>
      <c r="E3438" s="564">
        <v>2</v>
      </c>
      <c r="F3438" s="564">
        <v>2</v>
      </c>
      <c r="G3438" s="564" t="s">
        <v>485</v>
      </c>
      <c r="H3438" s="564">
        <v>1311.2550000000001</v>
      </c>
      <c r="I3438" s="564">
        <v>88</v>
      </c>
      <c r="J3438" s="564">
        <v>2</v>
      </c>
      <c r="K3438" s="564">
        <v>1</v>
      </c>
      <c r="L3438" s="564">
        <v>3</v>
      </c>
      <c r="M3438" s="561" t="s">
        <v>137</v>
      </c>
      <c r="N3438" s="520"/>
      <c r="O3438" s="564"/>
      <c r="P3438" s="564" t="s">
        <v>4171</v>
      </c>
      <c r="Q3438" s="564"/>
      <c r="R3438" s="564">
        <v>1</v>
      </c>
    </row>
    <row r="3439" spans="1:18" x14ac:dyDescent="0.25">
      <c r="A3439" s="564">
        <v>35</v>
      </c>
      <c r="B3439" s="564">
        <v>2</v>
      </c>
      <c r="C3439" s="564">
        <v>2</v>
      </c>
      <c r="D3439" s="564">
        <v>2</v>
      </c>
      <c r="E3439" s="564">
        <v>2</v>
      </c>
      <c r="F3439" s="564">
        <v>2</v>
      </c>
      <c r="G3439" s="564" t="s">
        <v>487</v>
      </c>
      <c r="H3439" s="564">
        <v>1322.24</v>
      </c>
      <c r="I3439" s="564">
        <v>89</v>
      </c>
      <c r="J3439" s="564">
        <v>55</v>
      </c>
      <c r="K3439" s="564">
        <v>43</v>
      </c>
      <c r="L3439" s="564">
        <v>4</v>
      </c>
      <c r="M3439" s="561" t="s">
        <v>137</v>
      </c>
      <c r="N3439" s="520"/>
      <c r="O3439" s="564"/>
      <c r="P3439" s="564" t="s">
        <v>4172</v>
      </c>
      <c r="Q3439" s="564"/>
      <c r="R3439" s="564">
        <v>1</v>
      </c>
    </row>
    <row r="3440" spans="1:18" x14ac:dyDescent="0.25">
      <c r="A3440" s="564">
        <v>35</v>
      </c>
      <c r="B3440" s="564">
        <v>2</v>
      </c>
      <c r="C3440" s="564">
        <v>2</v>
      </c>
      <c r="D3440" s="564">
        <v>2</v>
      </c>
      <c r="E3440" s="564">
        <v>2</v>
      </c>
      <c r="F3440" s="564">
        <v>2</v>
      </c>
      <c r="G3440" s="521" t="s">
        <v>489</v>
      </c>
      <c r="H3440" s="564">
        <v>1322.4</v>
      </c>
      <c r="I3440" s="564">
        <v>89</v>
      </c>
      <c r="J3440" s="564">
        <v>55</v>
      </c>
      <c r="K3440" s="564">
        <v>37</v>
      </c>
      <c r="L3440" s="564">
        <v>4</v>
      </c>
      <c r="M3440" s="561" t="s">
        <v>137</v>
      </c>
      <c r="N3440" s="520"/>
      <c r="O3440" s="564"/>
      <c r="P3440" s="564" t="s">
        <v>4173</v>
      </c>
      <c r="Q3440" s="564"/>
      <c r="R3440" s="564">
        <v>1</v>
      </c>
    </row>
    <row r="3441" spans="1:18" x14ac:dyDescent="0.25">
      <c r="A3441" s="564">
        <v>35</v>
      </c>
      <c r="B3441" s="564">
        <v>2</v>
      </c>
      <c r="C3441" s="564">
        <v>2</v>
      </c>
      <c r="D3441" s="564">
        <v>2</v>
      </c>
      <c r="E3441" s="564">
        <v>2</v>
      </c>
      <c r="F3441" s="564">
        <v>2</v>
      </c>
      <c r="G3441" s="564" t="s">
        <v>491</v>
      </c>
      <c r="H3441" s="564">
        <v>1320.33</v>
      </c>
      <c r="I3441" s="564">
        <v>89</v>
      </c>
      <c r="J3441" s="564">
        <v>48</v>
      </c>
      <c r="K3441" s="564">
        <v>0</v>
      </c>
      <c r="L3441" s="564">
        <v>3</v>
      </c>
      <c r="M3441" s="561" t="s">
        <v>137</v>
      </c>
      <c r="N3441" s="520"/>
      <c r="O3441" s="564"/>
      <c r="P3441" s="564" t="s">
        <v>4174</v>
      </c>
      <c r="Q3441" s="564"/>
      <c r="R3441" s="564">
        <v>1</v>
      </c>
    </row>
    <row r="3442" spans="1:18" x14ac:dyDescent="0.25">
      <c r="A3442" s="564">
        <v>35</v>
      </c>
      <c r="B3442" s="564">
        <v>2</v>
      </c>
      <c r="C3442" s="564">
        <v>2</v>
      </c>
      <c r="D3442" s="564">
        <v>2</v>
      </c>
      <c r="E3442" s="564">
        <v>2</v>
      </c>
      <c r="F3442" s="564">
        <v>2</v>
      </c>
      <c r="G3442" s="564" t="s">
        <v>494</v>
      </c>
      <c r="H3442" s="564">
        <v>1319.65</v>
      </c>
      <c r="I3442" s="564">
        <v>89</v>
      </c>
      <c r="J3442" s="564">
        <v>48</v>
      </c>
      <c r="K3442" s="564">
        <v>6</v>
      </c>
      <c r="L3442" s="564">
        <v>3</v>
      </c>
      <c r="M3442" s="561" t="s">
        <v>137</v>
      </c>
      <c r="N3442" s="520"/>
      <c r="O3442" s="564"/>
      <c r="P3442" s="564" t="s">
        <v>4175</v>
      </c>
      <c r="Q3442" s="564"/>
      <c r="R3442" s="564">
        <v>1</v>
      </c>
    </row>
    <row r="3443" spans="1:18" x14ac:dyDescent="0.25">
      <c r="A3443" s="564">
        <v>35</v>
      </c>
      <c r="B3443" s="564">
        <v>2</v>
      </c>
      <c r="C3443" s="564">
        <v>2</v>
      </c>
      <c r="D3443" s="564">
        <v>1</v>
      </c>
      <c r="E3443" s="564">
        <v>2</v>
      </c>
      <c r="F3443" s="564">
        <v>2</v>
      </c>
      <c r="G3443" s="564" t="s">
        <v>473</v>
      </c>
      <c r="H3443" s="564">
        <v>1321.855</v>
      </c>
      <c r="I3443" s="564">
        <v>0</v>
      </c>
      <c r="J3443" s="564">
        <v>2</v>
      </c>
      <c r="K3443" s="564">
        <v>51</v>
      </c>
      <c r="L3443" s="564">
        <v>4</v>
      </c>
      <c r="M3443" s="561" t="s">
        <v>137</v>
      </c>
      <c r="N3443" s="651">
        <v>4304756623</v>
      </c>
      <c r="O3443" s="564" t="s">
        <v>2985</v>
      </c>
      <c r="P3443" s="564" t="s">
        <v>4176</v>
      </c>
      <c r="Q3443" s="564"/>
      <c r="R3443" s="564">
        <v>2</v>
      </c>
    </row>
    <row r="3444" spans="1:18" x14ac:dyDescent="0.25">
      <c r="A3444" s="564">
        <v>35</v>
      </c>
      <c r="B3444" s="564">
        <v>2</v>
      </c>
      <c r="C3444" s="564">
        <v>2</v>
      </c>
      <c r="D3444" s="564">
        <v>1</v>
      </c>
      <c r="E3444" s="564">
        <v>2</v>
      </c>
      <c r="F3444" s="564">
        <v>2</v>
      </c>
      <c r="G3444" s="521" t="s">
        <v>476</v>
      </c>
      <c r="H3444" s="564">
        <v>1321.855</v>
      </c>
      <c r="I3444" s="564">
        <v>0</v>
      </c>
      <c r="J3444" s="564">
        <v>2</v>
      </c>
      <c r="K3444" s="564">
        <v>51</v>
      </c>
      <c r="L3444" s="564">
        <v>4</v>
      </c>
      <c r="M3444" s="561" t="s">
        <v>137</v>
      </c>
      <c r="N3444" s="651">
        <v>4304756623</v>
      </c>
      <c r="O3444" s="564" t="s">
        <v>2985</v>
      </c>
      <c r="P3444" s="564" t="s">
        <v>4177</v>
      </c>
      <c r="Q3444" s="564"/>
      <c r="R3444" s="564">
        <v>2</v>
      </c>
    </row>
    <row r="3445" spans="1:18" x14ac:dyDescent="0.25">
      <c r="A3445" s="564">
        <v>35</v>
      </c>
      <c r="B3445" s="564">
        <v>2</v>
      </c>
      <c r="C3445" s="564">
        <v>2</v>
      </c>
      <c r="D3445" s="564">
        <v>1</v>
      </c>
      <c r="E3445" s="564">
        <v>2</v>
      </c>
      <c r="F3445" s="564">
        <v>2</v>
      </c>
      <c r="G3445" s="564" t="s">
        <v>478</v>
      </c>
      <c r="H3445" s="564">
        <v>1319.37</v>
      </c>
      <c r="I3445" s="564">
        <v>0</v>
      </c>
      <c r="J3445" s="564">
        <v>7</v>
      </c>
      <c r="K3445" s="564">
        <v>33</v>
      </c>
      <c r="L3445" s="564">
        <v>4</v>
      </c>
      <c r="M3445" s="561" t="s">
        <v>137</v>
      </c>
      <c r="N3445" s="651">
        <v>4304756623</v>
      </c>
      <c r="O3445" s="564" t="s">
        <v>2985</v>
      </c>
      <c r="P3445" s="564" t="s">
        <v>4178</v>
      </c>
      <c r="Q3445" s="564"/>
      <c r="R3445" s="564">
        <v>2</v>
      </c>
    </row>
    <row r="3446" spans="1:18" x14ac:dyDescent="0.25">
      <c r="A3446" s="564">
        <v>35</v>
      </c>
      <c r="B3446" s="564">
        <v>2</v>
      </c>
      <c r="C3446" s="564">
        <v>2</v>
      </c>
      <c r="D3446" s="564">
        <v>1</v>
      </c>
      <c r="E3446" s="564">
        <v>2</v>
      </c>
      <c r="F3446" s="564">
        <v>2</v>
      </c>
      <c r="G3446" s="564" t="s">
        <v>484</v>
      </c>
      <c r="H3446" s="564">
        <v>1316.98</v>
      </c>
      <c r="I3446" s="564">
        <v>0</v>
      </c>
      <c r="J3446" s="564">
        <v>7</v>
      </c>
      <c r="K3446" s="564">
        <v>55</v>
      </c>
      <c r="L3446" s="564">
        <v>4</v>
      </c>
      <c r="M3446" s="561" t="s">
        <v>137</v>
      </c>
      <c r="N3446" s="651">
        <v>4304756623</v>
      </c>
      <c r="O3446" s="564" t="s">
        <v>2985</v>
      </c>
      <c r="P3446" s="564" t="s">
        <v>4179</v>
      </c>
      <c r="Q3446" s="564"/>
      <c r="R3446" s="564">
        <v>2</v>
      </c>
    </row>
    <row r="3447" spans="1:18" x14ac:dyDescent="0.25">
      <c r="A3447" s="564">
        <v>35</v>
      </c>
      <c r="B3447" s="564">
        <v>2</v>
      </c>
      <c r="C3447" s="564">
        <v>2</v>
      </c>
      <c r="D3447" s="564">
        <v>1</v>
      </c>
      <c r="E3447" s="564">
        <v>2</v>
      </c>
      <c r="F3447" s="564">
        <v>2</v>
      </c>
      <c r="G3447" s="564" t="s">
        <v>486</v>
      </c>
      <c r="H3447" s="564">
        <v>1280.8699999999999</v>
      </c>
      <c r="I3447" s="564">
        <v>0</v>
      </c>
      <c r="J3447" s="564">
        <v>10</v>
      </c>
      <c r="K3447" s="564">
        <v>18</v>
      </c>
      <c r="L3447" s="564">
        <v>3</v>
      </c>
      <c r="M3447" s="561" t="s">
        <v>137</v>
      </c>
      <c r="N3447" s="651">
        <v>4304756623</v>
      </c>
      <c r="O3447" s="564" t="s">
        <v>2985</v>
      </c>
      <c r="P3447" s="564" t="s">
        <v>4180</v>
      </c>
      <c r="Q3447" s="564"/>
      <c r="R3447" s="564">
        <v>2</v>
      </c>
    </row>
    <row r="3448" spans="1:18" x14ac:dyDescent="0.25">
      <c r="A3448" s="564">
        <v>35</v>
      </c>
      <c r="B3448" s="564">
        <v>2</v>
      </c>
      <c r="C3448" s="564">
        <v>2</v>
      </c>
      <c r="D3448" s="564">
        <v>1</v>
      </c>
      <c r="E3448" s="564">
        <v>2</v>
      </c>
      <c r="F3448" s="564">
        <v>2</v>
      </c>
      <c r="G3448" s="521" t="s">
        <v>488</v>
      </c>
      <c r="H3448" s="564">
        <v>1339.18</v>
      </c>
      <c r="I3448" s="564">
        <v>0</v>
      </c>
      <c r="J3448" s="564">
        <v>6</v>
      </c>
      <c r="K3448" s="564">
        <v>2</v>
      </c>
      <c r="L3448" s="564">
        <v>4</v>
      </c>
      <c r="M3448" s="561" t="s">
        <v>137</v>
      </c>
      <c r="N3448" s="651">
        <v>4304756623</v>
      </c>
      <c r="O3448" s="564" t="s">
        <v>2985</v>
      </c>
      <c r="P3448" s="564" t="s">
        <v>4181</v>
      </c>
      <c r="Q3448" s="564"/>
      <c r="R3448" s="564">
        <v>2</v>
      </c>
    </row>
    <row r="3449" spans="1:18" x14ac:dyDescent="0.25">
      <c r="A3449" s="564">
        <v>35</v>
      </c>
      <c r="B3449" s="564">
        <v>2</v>
      </c>
      <c r="C3449" s="564">
        <v>2</v>
      </c>
      <c r="D3449" s="564">
        <v>1</v>
      </c>
      <c r="E3449" s="564">
        <v>2</v>
      </c>
      <c r="F3449" s="564">
        <v>2</v>
      </c>
      <c r="G3449" s="564" t="s">
        <v>490</v>
      </c>
      <c r="H3449" s="564">
        <v>1343.16</v>
      </c>
      <c r="I3449" s="564">
        <v>0</v>
      </c>
      <c r="J3449" s="564">
        <v>40</v>
      </c>
      <c r="K3449" s="564">
        <v>37</v>
      </c>
      <c r="L3449" s="564">
        <v>1</v>
      </c>
      <c r="M3449" s="561" t="s">
        <v>137</v>
      </c>
      <c r="N3449" s="651">
        <v>4304756623</v>
      </c>
      <c r="O3449" s="564" t="s">
        <v>2985</v>
      </c>
      <c r="P3449" s="564" t="s">
        <v>4182</v>
      </c>
      <c r="Q3449" s="564"/>
      <c r="R3449" s="564">
        <v>2</v>
      </c>
    </row>
    <row r="3450" spans="1:18" x14ac:dyDescent="0.25">
      <c r="A3450" s="564">
        <v>35</v>
      </c>
      <c r="B3450" s="564">
        <v>2</v>
      </c>
      <c r="C3450" s="564">
        <v>2</v>
      </c>
      <c r="D3450" s="564">
        <v>1</v>
      </c>
      <c r="E3450" s="564">
        <v>2</v>
      </c>
      <c r="F3450" s="564">
        <v>2</v>
      </c>
      <c r="G3450" s="564" t="s">
        <v>493</v>
      </c>
      <c r="H3450" s="564">
        <v>1343.16</v>
      </c>
      <c r="I3450" s="564">
        <v>0</v>
      </c>
      <c r="J3450" s="564">
        <v>40</v>
      </c>
      <c r="K3450" s="564">
        <v>37</v>
      </c>
      <c r="L3450" s="564">
        <v>1</v>
      </c>
      <c r="M3450" s="561" t="s">
        <v>137</v>
      </c>
      <c r="N3450" s="651">
        <v>4304756623</v>
      </c>
      <c r="O3450" s="564" t="s">
        <v>2985</v>
      </c>
      <c r="P3450" s="564" t="s">
        <v>4183</v>
      </c>
      <c r="Q3450" s="564"/>
      <c r="R3450" s="564">
        <v>2</v>
      </c>
    </row>
    <row r="3451" spans="1:18" x14ac:dyDescent="0.25">
      <c r="A3451" s="564">
        <v>35</v>
      </c>
      <c r="B3451" s="564">
        <v>2</v>
      </c>
      <c r="C3451" s="564">
        <v>2</v>
      </c>
      <c r="D3451" s="564">
        <v>1</v>
      </c>
      <c r="E3451" s="564">
        <v>2</v>
      </c>
      <c r="F3451" s="564">
        <v>2</v>
      </c>
      <c r="G3451" s="564" t="s">
        <v>474</v>
      </c>
      <c r="H3451" s="564">
        <v>1315.635</v>
      </c>
      <c r="I3451" s="564">
        <v>89</v>
      </c>
      <c r="J3451" s="564">
        <v>38</v>
      </c>
      <c r="K3451" s="564">
        <v>4</v>
      </c>
      <c r="L3451" s="564">
        <v>3</v>
      </c>
      <c r="M3451" s="561" t="s">
        <v>137</v>
      </c>
      <c r="N3451" s="651">
        <v>4304756623</v>
      </c>
      <c r="O3451" s="564" t="s">
        <v>2985</v>
      </c>
      <c r="P3451" s="564" t="s">
        <v>4184</v>
      </c>
      <c r="Q3451" s="564"/>
      <c r="R3451" s="564">
        <v>2</v>
      </c>
    </row>
    <row r="3452" spans="1:18" x14ac:dyDescent="0.25">
      <c r="A3452" s="564">
        <v>35</v>
      </c>
      <c r="B3452" s="564">
        <v>2</v>
      </c>
      <c r="C3452" s="564">
        <v>2</v>
      </c>
      <c r="D3452" s="564">
        <v>1</v>
      </c>
      <c r="E3452" s="564">
        <v>2</v>
      </c>
      <c r="F3452" s="564">
        <v>2</v>
      </c>
      <c r="G3452" s="521" t="s">
        <v>477</v>
      </c>
      <c r="H3452" s="564">
        <v>1315.635</v>
      </c>
      <c r="I3452" s="564">
        <v>89</v>
      </c>
      <c r="J3452" s="564">
        <v>38</v>
      </c>
      <c r="K3452" s="564">
        <v>4</v>
      </c>
      <c r="L3452" s="564">
        <v>3</v>
      </c>
      <c r="M3452" s="561" t="s">
        <v>137</v>
      </c>
      <c r="N3452" s="651">
        <v>4304756623</v>
      </c>
      <c r="O3452" s="564" t="s">
        <v>2985</v>
      </c>
      <c r="P3452" s="564" t="s">
        <v>4185</v>
      </c>
      <c r="Q3452" s="564"/>
      <c r="R3452" s="564">
        <v>2</v>
      </c>
    </row>
    <row r="3453" spans="1:18" x14ac:dyDescent="0.25">
      <c r="A3453" s="564">
        <v>35</v>
      </c>
      <c r="B3453" s="564">
        <v>2</v>
      </c>
      <c r="C3453" s="564">
        <v>2</v>
      </c>
      <c r="D3453" s="564">
        <v>1</v>
      </c>
      <c r="E3453" s="564">
        <v>2</v>
      </c>
      <c r="F3453" s="564">
        <v>2</v>
      </c>
      <c r="G3453" s="564" t="s">
        <v>479</v>
      </c>
      <c r="H3453" s="564">
        <v>1317.07</v>
      </c>
      <c r="I3453" s="564">
        <v>89</v>
      </c>
      <c r="J3453" s="564">
        <v>36</v>
      </c>
      <c r="K3453" s="564">
        <v>19</v>
      </c>
      <c r="L3453" s="564">
        <v>3</v>
      </c>
      <c r="M3453" s="561" t="s">
        <v>137</v>
      </c>
      <c r="N3453" s="651">
        <v>4304756623</v>
      </c>
      <c r="O3453" s="564" t="s">
        <v>2985</v>
      </c>
      <c r="P3453" s="564" t="s">
        <v>4186</v>
      </c>
      <c r="Q3453" s="564"/>
      <c r="R3453" s="564">
        <v>2</v>
      </c>
    </row>
    <row r="3454" spans="1:18" x14ac:dyDescent="0.25">
      <c r="A3454" s="564">
        <v>35</v>
      </c>
      <c r="B3454" s="564">
        <v>2</v>
      </c>
      <c r="C3454" s="564">
        <v>2</v>
      </c>
      <c r="D3454" s="564">
        <v>1</v>
      </c>
      <c r="E3454" s="564">
        <v>2</v>
      </c>
      <c r="F3454" s="564">
        <v>2</v>
      </c>
      <c r="G3454" s="564" t="s">
        <v>485</v>
      </c>
      <c r="H3454" s="564">
        <v>1317.07</v>
      </c>
      <c r="I3454" s="564">
        <v>89</v>
      </c>
      <c r="J3454" s="564">
        <v>36</v>
      </c>
      <c r="K3454" s="564">
        <v>19</v>
      </c>
      <c r="L3454" s="564">
        <v>3</v>
      </c>
      <c r="M3454" s="561" t="s">
        <v>137</v>
      </c>
      <c r="N3454" s="651">
        <v>4304756623</v>
      </c>
      <c r="O3454" s="564" t="s">
        <v>2985</v>
      </c>
      <c r="P3454" s="564" t="s">
        <v>4187</v>
      </c>
      <c r="Q3454" s="564"/>
      <c r="R3454" s="564">
        <v>2</v>
      </c>
    </row>
    <row r="3455" spans="1:18" x14ac:dyDescent="0.25">
      <c r="A3455" s="564">
        <v>35</v>
      </c>
      <c r="B3455" s="564">
        <v>2</v>
      </c>
      <c r="C3455" s="564">
        <v>2</v>
      </c>
      <c r="D3455" s="564">
        <v>1</v>
      </c>
      <c r="E3455" s="564">
        <v>2</v>
      </c>
      <c r="F3455" s="564">
        <v>2</v>
      </c>
      <c r="G3455" s="564" t="s">
        <v>487</v>
      </c>
      <c r="H3455" s="564">
        <v>1321.86</v>
      </c>
      <c r="I3455" s="564">
        <v>89</v>
      </c>
      <c r="J3455" s="564">
        <v>54</v>
      </c>
      <c r="K3455" s="564">
        <v>31</v>
      </c>
      <c r="L3455" s="564">
        <v>3</v>
      </c>
      <c r="M3455" s="561" t="s">
        <v>137</v>
      </c>
      <c r="N3455" s="651">
        <v>4304756623</v>
      </c>
      <c r="O3455" s="564" t="s">
        <v>2985</v>
      </c>
      <c r="P3455" s="564" t="s">
        <v>4188</v>
      </c>
      <c r="Q3455" s="564"/>
      <c r="R3455" s="564">
        <v>2</v>
      </c>
    </row>
    <row r="3456" spans="1:18" x14ac:dyDescent="0.25">
      <c r="A3456" s="564">
        <v>35</v>
      </c>
      <c r="B3456" s="564">
        <v>2</v>
      </c>
      <c r="C3456" s="564">
        <v>2</v>
      </c>
      <c r="D3456" s="564">
        <v>1</v>
      </c>
      <c r="E3456" s="564">
        <v>2</v>
      </c>
      <c r="F3456" s="564">
        <v>2</v>
      </c>
      <c r="G3456" s="521" t="s">
        <v>489</v>
      </c>
      <c r="H3456" s="564">
        <v>1321.86</v>
      </c>
      <c r="I3456" s="564">
        <v>89</v>
      </c>
      <c r="J3456" s="564">
        <v>54</v>
      </c>
      <c r="K3456" s="564">
        <v>31</v>
      </c>
      <c r="L3456" s="564">
        <v>3</v>
      </c>
      <c r="M3456" s="561" t="s">
        <v>137</v>
      </c>
      <c r="N3456" s="651">
        <v>4304756623</v>
      </c>
      <c r="O3456" s="564" t="s">
        <v>2985</v>
      </c>
      <c r="P3456" s="564" t="s">
        <v>4189</v>
      </c>
      <c r="Q3456" s="564"/>
      <c r="R3456" s="564">
        <v>2</v>
      </c>
    </row>
    <row r="3457" spans="1:18" x14ac:dyDescent="0.25">
      <c r="A3457" s="564">
        <v>35</v>
      </c>
      <c r="B3457" s="564">
        <v>2</v>
      </c>
      <c r="C3457" s="564">
        <v>2</v>
      </c>
      <c r="D3457" s="564">
        <v>1</v>
      </c>
      <c r="E3457" s="564">
        <v>2</v>
      </c>
      <c r="F3457" s="564">
        <v>2</v>
      </c>
      <c r="G3457" s="564" t="s">
        <v>491</v>
      </c>
      <c r="H3457" s="564">
        <v>1321.855</v>
      </c>
      <c r="I3457" s="564">
        <v>89</v>
      </c>
      <c r="J3457" s="564">
        <v>54</v>
      </c>
      <c r="K3457" s="564">
        <v>2</v>
      </c>
      <c r="L3457" s="564">
        <v>3</v>
      </c>
      <c r="M3457" s="561" t="s">
        <v>137</v>
      </c>
      <c r="N3457" s="651">
        <v>4304756623</v>
      </c>
      <c r="O3457" s="564" t="s">
        <v>2985</v>
      </c>
      <c r="P3457" s="564" t="s">
        <v>4190</v>
      </c>
      <c r="Q3457" s="564"/>
      <c r="R3457" s="564">
        <v>2</v>
      </c>
    </row>
    <row r="3458" spans="1:18" x14ac:dyDescent="0.25">
      <c r="A3458" s="564">
        <v>35</v>
      </c>
      <c r="B3458" s="564">
        <v>2</v>
      </c>
      <c r="C3458" s="564">
        <v>2</v>
      </c>
      <c r="D3458" s="564">
        <v>1</v>
      </c>
      <c r="E3458" s="564">
        <v>2</v>
      </c>
      <c r="F3458" s="564">
        <v>2</v>
      </c>
      <c r="G3458" s="564" t="s">
        <v>494</v>
      </c>
      <c r="H3458" s="564">
        <v>1321.855</v>
      </c>
      <c r="I3458" s="564">
        <v>89</v>
      </c>
      <c r="J3458" s="564">
        <v>54</v>
      </c>
      <c r="K3458" s="564">
        <v>2</v>
      </c>
      <c r="L3458" s="564">
        <v>3</v>
      </c>
      <c r="M3458" s="561" t="s">
        <v>137</v>
      </c>
      <c r="N3458" s="651">
        <v>4304756623</v>
      </c>
      <c r="O3458" s="564" t="s">
        <v>2985</v>
      </c>
      <c r="P3458" s="564" t="s">
        <v>4191</v>
      </c>
      <c r="Q3458" s="564"/>
      <c r="R3458" s="564">
        <v>2</v>
      </c>
    </row>
    <row r="3459" spans="1:18" x14ac:dyDescent="0.25">
      <c r="A3459" s="564">
        <v>35</v>
      </c>
      <c r="B3459" s="564">
        <v>4</v>
      </c>
      <c r="C3459" s="564">
        <v>2</v>
      </c>
      <c r="D3459" s="564">
        <v>2</v>
      </c>
      <c r="E3459" s="564">
        <v>1</v>
      </c>
      <c r="F3459" s="564">
        <v>2</v>
      </c>
      <c r="G3459" s="564" t="s">
        <v>473</v>
      </c>
      <c r="H3459" s="564">
        <v>1320.0450000000001</v>
      </c>
      <c r="I3459" s="564">
        <v>1</v>
      </c>
      <c r="J3459" s="564">
        <v>6</v>
      </c>
      <c r="K3459" s="564">
        <v>0</v>
      </c>
      <c r="L3459" s="564">
        <v>1</v>
      </c>
      <c r="M3459" s="561" t="s">
        <v>312</v>
      </c>
      <c r="N3459" s="651">
        <v>4304756722</v>
      </c>
      <c r="O3459" s="564" t="s">
        <v>4192</v>
      </c>
      <c r="P3459" s="564" t="s">
        <v>4193</v>
      </c>
      <c r="Q3459" s="564"/>
      <c r="R3459" s="564">
        <v>1</v>
      </c>
    </row>
    <row r="3460" spans="1:18" x14ac:dyDescent="0.25">
      <c r="A3460" s="564">
        <v>35</v>
      </c>
      <c r="B3460" s="564">
        <v>4</v>
      </c>
      <c r="C3460" s="564">
        <v>2</v>
      </c>
      <c r="D3460" s="564">
        <v>2</v>
      </c>
      <c r="E3460" s="564">
        <v>1</v>
      </c>
      <c r="F3460" s="564">
        <v>2</v>
      </c>
      <c r="G3460" s="521" t="s">
        <v>476</v>
      </c>
      <c r="H3460" s="564">
        <v>1320.0450000000001</v>
      </c>
      <c r="I3460" s="564">
        <v>1</v>
      </c>
      <c r="J3460" s="564">
        <v>6</v>
      </c>
      <c r="K3460" s="564">
        <v>0</v>
      </c>
      <c r="L3460" s="564">
        <v>1</v>
      </c>
      <c r="M3460" s="561" t="s">
        <v>312</v>
      </c>
      <c r="N3460" s="651">
        <v>4304756722</v>
      </c>
      <c r="O3460" s="564" t="s">
        <v>4192</v>
      </c>
      <c r="P3460" s="564" t="s">
        <v>4194</v>
      </c>
      <c r="Q3460" s="564"/>
      <c r="R3460" s="564">
        <v>1</v>
      </c>
    </row>
    <row r="3461" spans="1:18" x14ac:dyDescent="0.25">
      <c r="A3461" s="564">
        <v>35</v>
      </c>
      <c r="B3461" s="564">
        <v>4</v>
      </c>
      <c r="C3461" s="564">
        <v>2</v>
      </c>
      <c r="D3461" s="564">
        <v>2</v>
      </c>
      <c r="E3461" s="564">
        <v>1</v>
      </c>
      <c r="F3461" s="564">
        <v>2</v>
      </c>
      <c r="G3461" s="564" t="s">
        <v>478</v>
      </c>
      <c r="H3461" s="564">
        <v>1336.4749999999999</v>
      </c>
      <c r="I3461" s="564">
        <v>1</v>
      </c>
      <c r="J3461" s="564">
        <v>5</v>
      </c>
      <c r="K3461" s="564">
        <v>51</v>
      </c>
      <c r="L3461" s="564">
        <v>1</v>
      </c>
      <c r="M3461" s="561" t="s">
        <v>312</v>
      </c>
      <c r="N3461" s="651">
        <v>4304756722</v>
      </c>
      <c r="O3461" s="564" t="s">
        <v>4192</v>
      </c>
      <c r="P3461" s="564" t="s">
        <v>4195</v>
      </c>
      <c r="Q3461" s="564"/>
      <c r="R3461" s="564">
        <v>1</v>
      </c>
    </row>
    <row r="3462" spans="1:18" x14ac:dyDescent="0.25">
      <c r="A3462" s="564">
        <v>35</v>
      </c>
      <c r="B3462" s="564">
        <v>4</v>
      </c>
      <c r="C3462" s="564">
        <v>2</v>
      </c>
      <c r="D3462" s="564">
        <v>2</v>
      </c>
      <c r="E3462" s="564">
        <v>1</v>
      </c>
      <c r="F3462" s="564">
        <v>2</v>
      </c>
      <c r="G3462" s="564" t="s">
        <v>484</v>
      </c>
      <c r="H3462" s="564">
        <v>1336.4749999999999</v>
      </c>
      <c r="I3462" s="564">
        <v>1</v>
      </c>
      <c r="J3462" s="564">
        <v>5</v>
      </c>
      <c r="K3462" s="564">
        <v>51</v>
      </c>
      <c r="L3462" s="564">
        <v>1</v>
      </c>
      <c r="M3462" s="561" t="s">
        <v>312</v>
      </c>
      <c r="N3462" s="651">
        <v>4304756722</v>
      </c>
      <c r="O3462" s="564" t="s">
        <v>4192</v>
      </c>
      <c r="P3462" s="564" t="s">
        <v>4196</v>
      </c>
      <c r="Q3462" s="564"/>
      <c r="R3462" s="564">
        <v>1</v>
      </c>
    </row>
    <row r="3463" spans="1:18" x14ac:dyDescent="0.25">
      <c r="A3463" s="564">
        <v>35</v>
      </c>
      <c r="B3463" s="564">
        <v>4</v>
      </c>
      <c r="C3463" s="564">
        <v>2</v>
      </c>
      <c r="D3463" s="564">
        <v>2</v>
      </c>
      <c r="E3463" s="564">
        <v>1</v>
      </c>
      <c r="F3463" s="564">
        <v>2</v>
      </c>
      <c r="G3463" s="564" t="s">
        <v>486</v>
      </c>
      <c r="H3463" s="564">
        <v>1322.41</v>
      </c>
      <c r="I3463" s="564">
        <v>1</v>
      </c>
      <c r="J3463" s="564">
        <v>40</v>
      </c>
      <c r="K3463" s="564">
        <v>4</v>
      </c>
      <c r="L3463" s="564">
        <v>4</v>
      </c>
      <c r="M3463" s="561" t="s">
        <v>312</v>
      </c>
      <c r="N3463" s="651">
        <v>4304756722</v>
      </c>
      <c r="O3463" s="564" t="s">
        <v>4192</v>
      </c>
      <c r="P3463" s="564" t="s">
        <v>4197</v>
      </c>
      <c r="Q3463" s="564"/>
      <c r="R3463" s="564">
        <v>1</v>
      </c>
    </row>
    <row r="3464" spans="1:18" x14ac:dyDescent="0.25">
      <c r="A3464" s="564">
        <v>35</v>
      </c>
      <c r="B3464" s="564">
        <v>4</v>
      </c>
      <c r="C3464" s="564">
        <v>2</v>
      </c>
      <c r="D3464" s="564">
        <v>2</v>
      </c>
      <c r="E3464" s="564">
        <v>1</v>
      </c>
      <c r="F3464" s="564">
        <v>2</v>
      </c>
      <c r="G3464" s="521" t="s">
        <v>488</v>
      </c>
      <c r="H3464" s="564">
        <v>1322.47</v>
      </c>
      <c r="I3464" s="564">
        <v>1</v>
      </c>
      <c r="J3464" s="564">
        <v>31</v>
      </c>
      <c r="K3464" s="564">
        <v>34</v>
      </c>
      <c r="L3464" s="564">
        <v>4</v>
      </c>
      <c r="M3464" s="561" t="s">
        <v>312</v>
      </c>
      <c r="N3464" s="651">
        <v>4304756722</v>
      </c>
      <c r="O3464" s="564" t="s">
        <v>4192</v>
      </c>
      <c r="P3464" s="564" t="s">
        <v>4198</v>
      </c>
      <c r="Q3464" s="564"/>
      <c r="R3464" s="564">
        <v>1</v>
      </c>
    </row>
    <row r="3465" spans="1:18" x14ac:dyDescent="0.25">
      <c r="A3465" s="564">
        <v>35</v>
      </c>
      <c r="B3465" s="564">
        <v>4</v>
      </c>
      <c r="C3465" s="564">
        <v>2</v>
      </c>
      <c r="D3465" s="564">
        <v>2</v>
      </c>
      <c r="E3465" s="564">
        <v>1</v>
      </c>
      <c r="F3465" s="564">
        <v>2</v>
      </c>
      <c r="G3465" s="564" t="s">
        <v>490</v>
      </c>
      <c r="H3465" s="564">
        <v>1310.6400000000001</v>
      </c>
      <c r="I3465" s="564">
        <v>1</v>
      </c>
      <c r="J3465" s="564">
        <v>31</v>
      </c>
      <c r="K3465" s="564">
        <v>34</v>
      </c>
      <c r="L3465" s="564">
        <v>4</v>
      </c>
      <c r="M3465" s="561" t="s">
        <v>312</v>
      </c>
      <c r="N3465" s="651">
        <v>4304756722</v>
      </c>
      <c r="O3465" s="564" t="s">
        <v>4192</v>
      </c>
      <c r="P3465" s="564" t="s">
        <v>4199</v>
      </c>
      <c r="Q3465" s="564"/>
      <c r="R3465" s="564">
        <v>1</v>
      </c>
    </row>
    <row r="3466" spans="1:18" x14ac:dyDescent="0.25">
      <c r="A3466" s="564">
        <v>35</v>
      </c>
      <c r="B3466" s="564">
        <v>4</v>
      </c>
      <c r="C3466" s="564">
        <v>2</v>
      </c>
      <c r="D3466" s="564">
        <v>2</v>
      </c>
      <c r="E3466" s="564">
        <v>1</v>
      </c>
      <c r="F3466" s="564">
        <v>2</v>
      </c>
      <c r="G3466" s="564" t="s">
        <v>493</v>
      </c>
      <c r="H3466" s="564">
        <v>1365.56</v>
      </c>
      <c r="I3466" s="564">
        <v>2</v>
      </c>
      <c r="J3466" s="564">
        <v>14</v>
      </c>
      <c r="K3466" s="564">
        <v>56</v>
      </c>
      <c r="L3466" s="564">
        <v>2</v>
      </c>
      <c r="M3466" s="561" t="s">
        <v>312</v>
      </c>
      <c r="N3466" s="651">
        <v>4304756722</v>
      </c>
      <c r="O3466" s="564" t="s">
        <v>4192</v>
      </c>
      <c r="P3466" s="564" t="s">
        <v>4200</v>
      </c>
      <c r="Q3466" s="564"/>
      <c r="R3466" s="564">
        <v>1</v>
      </c>
    </row>
    <row r="3467" spans="1:18" x14ac:dyDescent="0.25">
      <c r="A3467" s="564">
        <v>35</v>
      </c>
      <c r="B3467" s="564">
        <v>4</v>
      </c>
      <c r="C3467" s="564">
        <v>2</v>
      </c>
      <c r="D3467" s="564">
        <v>2</v>
      </c>
      <c r="E3467" s="564">
        <v>1</v>
      </c>
      <c r="F3467" s="564">
        <v>2</v>
      </c>
      <c r="G3467" s="564" t="s">
        <v>474</v>
      </c>
      <c r="H3467" s="564">
        <v>1320.9349999999999</v>
      </c>
      <c r="I3467" s="564">
        <v>88</v>
      </c>
      <c r="J3467" s="564">
        <v>27</v>
      </c>
      <c r="K3467" s="564">
        <v>38</v>
      </c>
      <c r="L3467" s="564">
        <v>3</v>
      </c>
      <c r="M3467" s="561" t="s">
        <v>312</v>
      </c>
      <c r="N3467" s="651">
        <v>4304756722</v>
      </c>
      <c r="O3467" s="564" t="s">
        <v>4192</v>
      </c>
      <c r="P3467" s="564" t="s">
        <v>4201</v>
      </c>
      <c r="Q3467" s="564"/>
      <c r="R3467" s="564">
        <v>1</v>
      </c>
    </row>
    <row r="3468" spans="1:18" x14ac:dyDescent="0.25">
      <c r="A3468" s="564">
        <v>35</v>
      </c>
      <c r="B3468" s="564">
        <v>4</v>
      </c>
      <c r="C3468" s="564">
        <v>2</v>
      </c>
      <c r="D3468" s="564">
        <v>2</v>
      </c>
      <c r="E3468" s="564">
        <v>1</v>
      </c>
      <c r="F3468" s="564">
        <v>2</v>
      </c>
      <c r="G3468" s="521" t="s">
        <v>477</v>
      </c>
      <c r="H3468" s="564">
        <v>1320.9349999999999</v>
      </c>
      <c r="I3468" s="564">
        <v>88</v>
      </c>
      <c r="J3468" s="564">
        <v>27</v>
      </c>
      <c r="K3468" s="564">
        <v>38</v>
      </c>
      <c r="L3468" s="564">
        <v>3</v>
      </c>
      <c r="M3468" s="561" t="s">
        <v>312</v>
      </c>
      <c r="N3468" s="651">
        <v>4304756722</v>
      </c>
      <c r="O3468" s="564" t="s">
        <v>4192</v>
      </c>
      <c r="P3468" s="564" t="s">
        <v>4202</v>
      </c>
      <c r="Q3468" s="564"/>
      <c r="R3468" s="564">
        <v>1</v>
      </c>
    </row>
    <row r="3469" spans="1:18" x14ac:dyDescent="0.25">
      <c r="A3469" s="564">
        <v>35</v>
      </c>
      <c r="B3469" s="564">
        <v>4</v>
      </c>
      <c r="C3469" s="564">
        <v>2</v>
      </c>
      <c r="D3469" s="564">
        <v>2</v>
      </c>
      <c r="E3469" s="564">
        <v>1</v>
      </c>
      <c r="F3469" s="564">
        <v>2</v>
      </c>
      <c r="G3469" s="564" t="s">
        <v>479</v>
      </c>
      <c r="H3469" s="564">
        <v>1319.96</v>
      </c>
      <c r="I3469" s="564">
        <v>89</v>
      </c>
      <c r="J3469" s="564">
        <v>8</v>
      </c>
      <c r="K3469" s="564">
        <v>14</v>
      </c>
      <c r="L3469" s="564">
        <v>3</v>
      </c>
      <c r="M3469" s="561" t="s">
        <v>312</v>
      </c>
      <c r="N3469" s="651">
        <v>4304756722</v>
      </c>
      <c r="O3469" s="564" t="s">
        <v>4192</v>
      </c>
      <c r="P3469" s="564" t="s">
        <v>4203</v>
      </c>
      <c r="Q3469" s="564"/>
      <c r="R3469" s="564">
        <v>1</v>
      </c>
    </row>
    <row r="3470" spans="1:18" x14ac:dyDescent="0.25">
      <c r="A3470" s="564">
        <v>35</v>
      </c>
      <c r="B3470" s="564">
        <v>4</v>
      </c>
      <c r="C3470" s="564">
        <v>2</v>
      </c>
      <c r="D3470" s="564">
        <v>2</v>
      </c>
      <c r="E3470" s="564">
        <v>1</v>
      </c>
      <c r="F3470" s="564">
        <v>2</v>
      </c>
      <c r="G3470" s="564" t="s">
        <v>485</v>
      </c>
      <c r="H3470" s="564">
        <v>1372.89</v>
      </c>
      <c r="I3470" s="564">
        <v>89</v>
      </c>
      <c r="J3470" s="564">
        <v>7</v>
      </c>
      <c r="K3470" s="564">
        <v>55</v>
      </c>
      <c r="L3470" s="564">
        <v>3</v>
      </c>
      <c r="M3470" s="561" t="s">
        <v>312</v>
      </c>
      <c r="N3470" s="651">
        <v>4304756722</v>
      </c>
      <c r="O3470" s="564" t="s">
        <v>4192</v>
      </c>
      <c r="P3470" s="564" t="s">
        <v>4204</v>
      </c>
      <c r="Q3470" s="564"/>
      <c r="R3470" s="564">
        <v>1</v>
      </c>
    </row>
    <row r="3471" spans="1:18" x14ac:dyDescent="0.25">
      <c r="A3471" s="564">
        <v>35</v>
      </c>
      <c r="B3471" s="564">
        <v>4</v>
      </c>
      <c r="C3471" s="564">
        <v>2</v>
      </c>
      <c r="D3471" s="564">
        <v>2</v>
      </c>
      <c r="E3471" s="564">
        <v>1</v>
      </c>
      <c r="F3471" s="564">
        <v>2</v>
      </c>
      <c r="G3471" s="564" t="s">
        <v>487</v>
      </c>
      <c r="H3471" s="564">
        <v>1322.15</v>
      </c>
      <c r="I3471" s="564">
        <v>88</v>
      </c>
      <c r="J3471" s="564">
        <v>42</v>
      </c>
      <c r="K3471" s="564">
        <v>55</v>
      </c>
      <c r="L3471" s="564">
        <v>2</v>
      </c>
      <c r="M3471" s="561" t="s">
        <v>312</v>
      </c>
      <c r="N3471" s="651">
        <v>4304756722</v>
      </c>
      <c r="O3471" s="564" t="s">
        <v>4192</v>
      </c>
      <c r="P3471" s="564" t="s">
        <v>4205</v>
      </c>
      <c r="Q3471" s="564"/>
      <c r="R3471" s="564">
        <v>1</v>
      </c>
    </row>
    <row r="3472" spans="1:18" x14ac:dyDescent="0.25">
      <c r="A3472" s="564">
        <v>35</v>
      </c>
      <c r="B3472" s="564">
        <v>4</v>
      </c>
      <c r="C3472" s="564">
        <v>2</v>
      </c>
      <c r="D3472" s="564">
        <v>2</v>
      </c>
      <c r="E3472" s="564">
        <v>1</v>
      </c>
      <c r="F3472" s="564">
        <v>2</v>
      </c>
      <c r="G3472" s="521" t="s">
        <v>489</v>
      </c>
      <c r="H3472" s="564">
        <v>1322.15</v>
      </c>
      <c r="I3472" s="564">
        <v>88</v>
      </c>
      <c r="J3472" s="564">
        <v>42</v>
      </c>
      <c r="K3472" s="564">
        <v>55</v>
      </c>
      <c r="L3472" s="564">
        <v>2</v>
      </c>
      <c r="M3472" s="561" t="s">
        <v>312</v>
      </c>
      <c r="N3472" s="651">
        <v>4304756722</v>
      </c>
      <c r="O3472" s="564" t="s">
        <v>4192</v>
      </c>
      <c r="P3472" s="564" t="s">
        <v>4206</v>
      </c>
      <c r="Q3472" s="564"/>
      <c r="R3472" s="564">
        <v>1</v>
      </c>
    </row>
    <row r="3473" spans="1:18" x14ac:dyDescent="0.25">
      <c r="A3473" s="564">
        <v>35</v>
      </c>
      <c r="B3473" s="564">
        <v>4</v>
      </c>
      <c r="C3473" s="564">
        <v>2</v>
      </c>
      <c r="D3473" s="564">
        <v>2</v>
      </c>
      <c r="E3473" s="564">
        <v>1</v>
      </c>
      <c r="F3473" s="564">
        <v>2</v>
      </c>
      <c r="G3473" s="564" t="s">
        <v>491</v>
      </c>
      <c r="H3473" s="564">
        <v>1322.15</v>
      </c>
      <c r="I3473" s="564">
        <v>88</v>
      </c>
      <c r="J3473" s="564">
        <v>42</v>
      </c>
      <c r="K3473" s="564">
        <v>55</v>
      </c>
      <c r="L3473" s="564">
        <v>2</v>
      </c>
      <c r="M3473" s="561" t="s">
        <v>312</v>
      </c>
      <c r="N3473" s="651">
        <v>4304756722</v>
      </c>
      <c r="O3473" s="564" t="s">
        <v>4192</v>
      </c>
      <c r="P3473" s="564" t="s">
        <v>4207</v>
      </c>
      <c r="Q3473" s="564"/>
      <c r="R3473" s="564">
        <v>1</v>
      </c>
    </row>
    <row r="3474" spans="1:18" x14ac:dyDescent="0.25">
      <c r="A3474" s="564">
        <v>35</v>
      </c>
      <c r="B3474" s="564">
        <v>4</v>
      </c>
      <c r="C3474" s="564">
        <v>2</v>
      </c>
      <c r="D3474" s="564">
        <v>2</v>
      </c>
      <c r="E3474" s="564">
        <v>1</v>
      </c>
      <c r="F3474" s="564">
        <v>2</v>
      </c>
      <c r="G3474" s="564" t="s">
        <v>494</v>
      </c>
      <c r="H3474" s="564">
        <v>1322.15</v>
      </c>
      <c r="I3474" s="564">
        <v>88</v>
      </c>
      <c r="J3474" s="564">
        <v>42</v>
      </c>
      <c r="K3474" s="564">
        <v>55</v>
      </c>
      <c r="L3474" s="564">
        <v>2</v>
      </c>
      <c r="M3474" s="561" t="s">
        <v>312</v>
      </c>
      <c r="N3474" s="651">
        <v>4304756722</v>
      </c>
      <c r="O3474" s="564" t="s">
        <v>4192</v>
      </c>
      <c r="P3474" s="564" t="s">
        <v>4208</v>
      </c>
      <c r="Q3474" s="564"/>
      <c r="R3474" s="564">
        <v>1</v>
      </c>
    </row>
    <row r="3475" spans="1:18" s="484" customFormat="1" x14ac:dyDescent="0.25">
      <c r="A3475" s="553">
        <v>36</v>
      </c>
      <c r="B3475" s="553">
        <v>6</v>
      </c>
      <c r="C3475" s="553">
        <v>2</v>
      </c>
      <c r="D3475" s="553">
        <v>19</v>
      </c>
      <c r="E3475" s="553">
        <v>1</v>
      </c>
      <c r="F3475" s="553">
        <v>1</v>
      </c>
      <c r="G3475" s="553" t="s">
        <v>473</v>
      </c>
      <c r="H3475" s="553">
        <v>1320.59</v>
      </c>
      <c r="I3475" s="553">
        <v>1</v>
      </c>
      <c r="J3475" s="553">
        <v>11</v>
      </c>
      <c r="K3475" s="553">
        <v>50</v>
      </c>
      <c r="L3475" s="553">
        <v>4</v>
      </c>
      <c r="M3475" s="505" t="s">
        <v>312</v>
      </c>
      <c r="N3475" s="500">
        <v>43047561930000</v>
      </c>
      <c r="O3475" s="553" t="s">
        <v>3135</v>
      </c>
      <c r="P3475" s="650" t="s">
        <v>4209</v>
      </c>
      <c r="Q3475" s="564"/>
      <c r="R3475" s="564">
        <v>2</v>
      </c>
    </row>
    <row r="3476" spans="1:18" s="484" customFormat="1" x14ac:dyDescent="0.25">
      <c r="A3476" s="553">
        <v>36</v>
      </c>
      <c r="B3476" s="553">
        <v>6</v>
      </c>
      <c r="C3476" s="553">
        <v>2</v>
      </c>
      <c r="D3476" s="553">
        <v>19</v>
      </c>
      <c r="E3476" s="553">
        <v>1</v>
      </c>
      <c r="F3476" s="553">
        <v>1</v>
      </c>
      <c r="G3476" s="502" t="s">
        <v>476</v>
      </c>
      <c r="H3476" s="553">
        <v>1320.59</v>
      </c>
      <c r="I3476" s="553">
        <v>1</v>
      </c>
      <c r="J3476" s="553">
        <v>11</v>
      </c>
      <c r="K3476" s="553">
        <v>50</v>
      </c>
      <c r="L3476" s="553">
        <v>4</v>
      </c>
      <c r="M3476" s="505" t="s">
        <v>312</v>
      </c>
      <c r="N3476" s="500">
        <v>43047561930000</v>
      </c>
      <c r="O3476" s="553" t="s">
        <v>3135</v>
      </c>
      <c r="P3476" s="650" t="s">
        <v>4210</v>
      </c>
      <c r="Q3476" s="564"/>
      <c r="R3476" s="564">
        <v>2</v>
      </c>
    </row>
    <row r="3477" spans="1:18" s="484" customFormat="1" x14ac:dyDescent="0.25">
      <c r="A3477" s="553">
        <v>36</v>
      </c>
      <c r="B3477" s="553">
        <v>6</v>
      </c>
      <c r="C3477" s="553">
        <v>2</v>
      </c>
      <c r="D3477" s="553">
        <v>19</v>
      </c>
      <c r="E3477" s="553">
        <v>1</v>
      </c>
      <c r="F3477" s="553">
        <v>1</v>
      </c>
      <c r="G3477" s="553" t="s">
        <v>478</v>
      </c>
      <c r="H3477" s="553">
        <v>1319.97</v>
      </c>
      <c r="I3477" s="553">
        <v>1</v>
      </c>
      <c r="J3477" s="553">
        <v>12</v>
      </c>
      <c r="K3477" s="553">
        <v>13</v>
      </c>
      <c r="L3477" s="553">
        <v>4</v>
      </c>
      <c r="M3477" s="505" t="s">
        <v>312</v>
      </c>
      <c r="N3477" s="500">
        <v>43047561930000</v>
      </c>
      <c r="O3477" s="553" t="s">
        <v>3135</v>
      </c>
      <c r="P3477" s="650" t="s">
        <v>4211</v>
      </c>
      <c r="Q3477" s="564"/>
      <c r="R3477" s="564">
        <v>2</v>
      </c>
    </row>
    <row r="3478" spans="1:18" s="484" customFormat="1" x14ac:dyDescent="0.25">
      <c r="A3478" s="553">
        <v>36</v>
      </c>
      <c r="B3478" s="553">
        <v>6</v>
      </c>
      <c r="C3478" s="553">
        <v>2</v>
      </c>
      <c r="D3478" s="553">
        <v>19</v>
      </c>
      <c r="E3478" s="553">
        <v>1</v>
      </c>
      <c r="F3478" s="553">
        <v>1</v>
      </c>
      <c r="G3478" s="553" t="s">
        <v>484</v>
      </c>
      <c r="H3478" s="553">
        <v>1319.97</v>
      </c>
      <c r="I3478" s="553">
        <v>1</v>
      </c>
      <c r="J3478" s="553">
        <v>12</v>
      </c>
      <c r="K3478" s="553">
        <v>13</v>
      </c>
      <c r="L3478" s="553">
        <v>4</v>
      </c>
      <c r="M3478" s="505" t="s">
        <v>312</v>
      </c>
      <c r="N3478" s="500">
        <v>43047561930000</v>
      </c>
      <c r="O3478" s="553" t="s">
        <v>3135</v>
      </c>
      <c r="P3478" s="650" t="s">
        <v>4212</v>
      </c>
      <c r="Q3478" s="564"/>
      <c r="R3478" s="564">
        <v>2</v>
      </c>
    </row>
    <row r="3479" spans="1:18" s="484" customFormat="1" x14ac:dyDescent="0.25">
      <c r="A3479" s="553">
        <v>36</v>
      </c>
      <c r="B3479" s="553">
        <v>6</v>
      </c>
      <c r="C3479" s="553">
        <v>2</v>
      </c>
      <c r="D3479" s="553">
        <v>19</v>
      </c>
      <c r="E3479" s="553">
        <v>1</v>
      </c>
      <c r="F3479" s="553">
        <v>1</v>
      </c>
      <c r="G3479" s="553" t="s">
        <v>486</v>
      </c>
      <c r="H3479" s="553">
        <v>1320.85</v>
      </c>
      <c r="I3479" s="553">
        <v>1</v>
      </c>
      <c r="J3479" s="553">
        <v>12</v>
      </c>
      <c r="K3479" s="553">
        <v>56</v>
      </c>
      <c r="L3479" s="553">
        <v>4</v>
      </c>
      <c r="M3479" s="505" t="s">
        <v>312</v>
      </c>
      <c r="N3479" s="500">
        <v>43047561930000</v>
      </c>
      <c r="O3479" s="553" t="s">
        <v>3135</v>
      </c>
      <c r="P3479" s="650" t="s">
        <v>4213</v>
      </c>
      <c r="Q3479" s="564"/>
      <c r="R3479" s="564">
        <v>2</v>
      </c>
    </row>
    <row r="3480" spans="1:18" s="484" customFormat="1" x14ac:dyDescent="0.25">
      <c r="A3480" s="553">
        <v>36</v>
      </c>
      <c r="B3480" s="553">
        <v>6</v>
      </c>
      <c r="C3480" s="553">
        <v>2</v>
      </c>
      <c r="D3480" s="553">
        <v>19</v>
      </c>
      <c r="E3480" s="553">
        <v>1</v>
      </c>
      <c r="F3480" s="553">
        <v>1</v>
      </c>
      <c r="G3480" s="502" t="s">
        <v>488</v>
      </c>
      <c r="H3480" s="553">
        <v>1320.85</v>
      </c>
      <c r="I3480" s="553">
        <v>1</v>
      </c>
      <c r="J3480" s="553">
        <v>12</v>
      </c>
      <c r="K3480" s="553">
        <v>56</v>
      </c>
      <c r="L3480" s="553">
        <v>4</v>
      </c>
      <c r="M3480" s="505" t="s">
        <v>312</v>
      </c>
      <c r="N3480" s="500">
        <v>43047561930000</v>
      </c>
      <c r="O3480" s="553" t="s">
        <v>3135</v>
      </c>
      <c r="P3480" s="650" t="s">
        <v>4214</v>
      </c>
      <c r="Q3480" s="564"/>
      <c r="R3480" s="564">
        <v>2</v>
      </c>
    </row>
    <row r="3481" spans="1:18" s="484" customFormat="1" x14ac:dyDescent="0.25">
      <c r="A3481" s="553">
        <v>36</v>
      </c>
      <c r="B3481" s="553">
        <v>6</v>
      </c>
      <c r="C3481" s="553">
        <v>2</v>
      </c>
      <c r="D3481" s="553">
        <v>19</v>
      </c>
      <c r="E3481" s="553">
        <v>1</v>
      </c>
      <c r="F3481" s="553">
        <v>1</v>
      </c>
      <c r="G3481" s="553" t="s">
        <v>490</v>
      </c>
      <c r="H3481" s="553">
        <v>1322.915</v>
      </c>
      <c r="I3481" s="553">
        <v>1</v>
      </c>
      <c r="J3481" s="553">
        <v>13</v>
      </c>
      <c r="K3481" s="553">
        <v>14</v>
      </c>
      <c r="L3481" s="553">
        <v>4</v>
      </c>
      <c r="M3481" s="505" t="s">
        <v>312</v>
      </c>
      <c r="N3481" s="500">
        <v>43047561930000</v>
      </c>
      <c r="O3481" s="553" t="s">
        <v>3135</v>
      </c>
      <c r="P3481" s="650" t="s">
        <v>4215</v>
      </c>
      <c r="Q3481" s="564"/>
      <c r="R3481" s="564">
        <v>2</v>
      </c>
    </row>
    <row r="3482" spans="1:18" s="484" customFormat="1" x14ac:dyDescent="0.25">
      <c r="A3482" s="553">
        <v>36</v>
      </c>
      <c r="B3482" s="553">
        <v>6</v>
      </c>
      <c r="C3482" s="553">
        <v>2</v>
      </c>
      <c r="D3482" s="553">
        <v>19</v>
      </c>
      <c r="E3482" s="553">
        <v>1</v>
      </c>
      <c r="F3482" s="553">
        <v>1</v>
      </c>
      <c r="G3482" s="553" t="s">
        <v>493</v>
      </c>
      <c r="H3482" s="553">
        <v>1322.915</v>
      </c>
      <c r="I3482" s="553">
        <v>1</v>
      </c>
      <c r="J3482" s="553">
        <v>13</v>
      </c>
      <c r="K3482" s="553">
        <v>14</v>
      </c>
      <c r="L3482" s="553">
        <v>4</v>
      </c>
      <c r="M3482" s="505" t="s">
        <v>312</v>
      </c>
      <c r="N3482" s="500">
        <v>43047561930000</v>
      </c>
      <c r="O3482" s="553" t="s">
        <v>3135</v>
      </c>
      <c r="P3482" s="650" t="s">
        <v>4216</v>
      </c>
      <c r="Q3482" s="564"/>
      <c r="R3482" s="564">
        <v>2</v>
      </c>
    </row>
    <row r="3483" spans="1:18" s="484" customFormat="1" x14ac:dyDescent="0.25">
      <c r="A3483" s="553">
        <v>36</v>
      </c>
      <c r="B3483" s="553">
        <v>6</v>
      </c>
      <c r="C3483" s="553">
        <v>2</v>
      </c>
      <c r="D3483" s="553">
        <v>19</v>
      </c>
      <c r="E3483" s="553">
        <v>1</v>
      </c>
      <c r="F3483" s="553">
        <v>1</v>
      </c>
      <c r="G3483" s="553" t="s">
        <v>474</v>
      </c>
      <c r="H3483" s="553">
        <v>1320.405</v>
      </c>
      <c r="I3483" s="553">
        <v>88</v>
      </c>
      <c r="J3483" s="553">
        <v>54</v>
      </c>
      <c r="K3483" s="553">
        <v>26</v>
      </c>
      <c r="L3483" s="553">
        <v>3</v>
      </c>
      <c r="M3483" s="505" t="s">
        <v>312</v>
      </c>
      <c r="N3483" s="500">
        <v>43047561930000</v>
      </c>
      <c r="O3483" s="553" t="s">
        <v>3135</v>
      </c>
      <c r="P3483" s="650" t="s">
        <v>4217</v>
      </c>
      <c r="Q3483" s="564"/>
      <c r="R3483" s="564">
        <v>2</v>
      </c>
    </row>
    <row r="3484" spans="1:18" s="484" customFormat="1" x14ac:dyDescent="0.25">
      <c r="A3484" s="553">
        <v>36</v>
      </c>
      <c r="B3484" s="553">
        <v>6</v>
      </c>
      <c r="C3484" s="553">
        <v>2</v>
      </c>
      <c r="D3484" s="553">
        <v>19</v>
      </c>
      <c r="E3484" s="553">
        <v>1</v>
      </c>
      <c r="F3484" s="553">
        <v>1</v>
      </c>
      <c r="G3484" s="502" t="s">
        <v>477</v>
      </c>
      <c r="H3484" s="553">
        <v>1320.405</v>
      </c>
      <c r="I3484" s="553">
        <v>88</v>
      </c>
      <c r="J3484" s="553">
        <v>54</v>
      </c>
      <c r="K3484" s="553">
        <v>26</v>
      </c>
      <c r="L3484" s="553">
        <v>3</v>
      </c>
      <c r="M3484" s="505" t="s">
        <v>312</v>
      </c>
      <c r="N3484" s="500">
        <v>43047561930000</v>
      </c>
      <c r="O3484" s="553" t="s">
        <v>3135</v>
      </c>
      <c r="P3484" s="650" t="s">
        <v>4218</v>
      </c>
      <c r="Q3484" s="564"/>
      <c r="R3484" s="564">
        <v>2</v>
      </c>
    </row>
    <row r="3485" spans="1:18" s="484" customFormat="1" x14ac:dyDescent="0.25">
      <c r="A3485" s="553">
        <v>36</v>
      </c>
      <c r="B3485" s="553">
        <v>6</v>
      </c>
      <c r="C3485" s="553">
        <v>2</v>
      </c>
      <c r="D3485" s="553">
        <v>19</v>
      </c>
      <c r="E3485" s="553">
        <v>1</v>
      </c>
      <c r="F3485" s="553">
        <v>1</v>
      </c>
      <c r="G3485" s="553" t="s">
        <v>479</v>
      </c>
      <c r="H3485" s="553">
        <v>1320.405</v>
      </c>
      <c r="I3485" s="553">
        <v>88</v>
      </c>
      <c r="J3485" s="553">
        <v>54</v>
      </c>
      <c r="K3485" s="553">
        <v>26</v>
      </c>
      <c r="L3485" s="553">
        <v>3</v>
      </c>
      <c r="M3485" s="505" t="s">
        <v>312</v>
      </c>
      <c r="N3485" s="500">
        <v>43047561930000</v>
      </c>
      <c r="O3485" s="553" t="s">
        <v>3135</v>
      </c>
      <c r="P3485" s="650" t="s">
        <v>4219</v>
      </c>
      <c r="Q3485" s="564"/>
      <c r="R3485" s="564">
        <v>2</v>
      </c>
    </row>
    <row r="3486" spans="1:18" s="484" customFormat="1" x14ac:dyDescent="0.25">
      <c r="A3486" s="553">
        <v>36</v>
      </c>
      <c r="B3486" s="553">
        <v>6</v>
      </c>
      <c r="C3486" s="553">
        <v>2</v>
      </c>
      <c r="D3486" s="553">
        <v>19</v>
      </c>
      <c r="E3486" s="553">
        <v>1</v>
      </c>
      <c r="F3486" s="553">
        <v>1</v>
      </c>
      <c r="G3486" s="553" t="s">
        <v>485</v>
      </c>
      <c r="H3486" s="553">
        <v>1320.405</v>
      </c>
      <c r="I3486" s="553">
        <v>88</v>
      </c>
      <c r="J3486" s="553">
        <v>54</v>
      </c>
      <c r="K3486" s="553">
        <v>26</v>
      </c>
      <c r="L3486" s="553">
        <v>3</v>
      </c>
      <c r="M3486" s="505" t="s">
        <v>312</v>
      </c>
      <c r="N3486" s="500">
        <v>43047561930000</v>
      </c>
      <c r="O3486" s="553" t="s">
        <v>3135</v>
      </c>
      <c r="P3486" s="650" t="s">
        <v>4220</v>
      </c>
      <c r="Q3486" s="564"/>
      <c r="R3486" s="564">
        <v>2</v>
      </c>
    </row>
    <row r="3487" spans="1:18" s="484" customFormat="1" x14ac:dyDescent="0.25">
      <c r="A3487" s="553">
        <v>36</v>
      </c>
      <c r="B3487" s="553">
        <v>6</v>
      </c>
      <c r="C3487" s="553">
        <v>2</v>
      </c>
      <c r="D3487" s="553">
        <v>19</v>
      </c>
      <c r="E3487" s="553">
        <v>1</v>
      </c>
      <c r="F3487" s="553">
        <v>1</v>
      </c>
      <c r="G3487" s="553" t="s">
        <v>487</v>
      </c>
      <c r="H3487" s="553">
        <v>1319.85</v>
      </c>
      <c r="I3487" s="553">
        <v>88</v>
      </c>
      <c r="J3487" s="553">
        <v>51</v>
      </c>
      <c r="K3487" s="553">
        <v>29</v>
      </c>
      <c r="L3487" s="553">
        <v>3</v>
      </c>
      <c r="M3487" s="505" t="s">
        <v>312</v>
      </c>
      <c r="N3487" s="500">
        <v>43047561930000</v>
      </c>
      <c r="O3487" s="553" t="s">
        <v>3135</v>
      </c>
      <c r="P3487" s="650" t="s">
        <v>4221</v>
      </c>
      <c r="Q3487" s="564"/>
      <c r="R3487" s="564">
        <v>2</v>
      </c>
    </row>
    <row r="3488" spans="1:18" s="484" customFormat="1" x14ac:dyDescent="0.25">
      <c r="A3488" s="553">
        <v>36</v>
      </c>
      <c r="B3488" s="553">
        <v>6</v>
      </c>
      <c r="C3488" s="553">
        <v>2</v>
      </c>
      <c r="D3488" s="553">
        <v>19</v>
      </c>
      <c r="E3488" s="553">
        <v>1</v>
      </c>
      <c r="F3488" s="553">
        <v>1</v>
      </c>
      <c r="G3488" s="502" t="s">
        <v>489</v>
      </c>
      <c r="H3488" s="553">
        <v>1319.85</v>
      </c>
      <c r="I3488" s="553">
        <v>88</v>
      </c>
      <c r="J3488" s="553">
        <v>51</v>
      </c>
      <c r="K3488" s="553">
        <v>29</v>
      </c>
      <c r="L3488" s="553">
        <v>3</v>
      </c>
      <c r="M3488" s="505" t="s">
        <v>312</v>
      </c>
      <c r="N3488" s="500">
        <v>43047561930000</v>
      </c>
      <c r="O3488" s="553" t="s">
        <v>3135</v>
      </c>
      <c r="P3488" s="650" t="s">
        <v>4222</v>
      </c>
      <c r="Q3488" s="564"/>
      <c r="R3488" s="564">
        <v>2</v>
      </c>
    </row>
    <row r="3489" spans="1:18" s="484" customFormat="1" x14ac:dyDescent="0.25">
      <c r="A3489" s="553">
        <v>36</v>
      </c>
      <c r="B3489" s="553">
        <v>6</v>
      </c>
      <c r="C3489" s="553">
        <v>2</v>
      </c>
      <c r="D3489" s="553">
        <v>19</v>
      </c>
      <c r="E3489" s="553">
        <v>1</v>
      </c>
      <c r="F3489" s="553">
        <v>1</v>
      </c>
      <c r="G3489" s="553" t="s">
        <v>491</v>
      </c>
      <c r="H3489" s="553">
        <v>1320.14</v>
      </c>
      <c r="I3489" s="553">
        <v>88</v>
      </c>
      <c r="J3489" s="553">
        <v>51</v>
      </c>
      <c r="K3489" s="553">
        <v>33</v>
      </c>
      <c r="L3489" s="553">
        <v>3</v>
      </c>
      <c r="M3489" s="505" t="s">
        <v>312</v>
      </c>
      <c r="N3489" s="500">
        <v>43047561930000</v>
      </c>
      <c r="O3489" s="553" t="s">
        <v>3135</v>
      </c>
      <c r="P3489" s="650" t="s">
        <v>4223</v>
      </c>
      <c r="Q3489" s="564"/>
      <c r="R3489" s="564">
        <v>2</v>
      </c>
    </row>
    <row r="3490" spans="1:18" s="484" customFormat="1" x14ac:dyDescent="0.25">
      <c r="A3490" s="553">
        <v>36</v>
      </c>
      <c r="B3490" s="553">
        <v>6</v>
      </c>
      <c r="C3490" s="553">
        <v>2</v>
      </c>
      <c r="D3490" s="553">
        <v>19</v>
      </c>
      <c r="E3490" s="553">
        <v>1</v>
      </c>
      <c r="F3490" s="553">
        <v>1</v>
      </c>
      <c r="G3490" s="553" t="s">
        <v>494</v>
      </c>
      <c r="H3490" s="553">
        <v>1320.14</v>
      </c>
      <c r="I3490" s="553">
        <v>88</v>
      </c>
      <c r="J3490" s="553">
        <v>51</v>
      </c>
      <c r="K3490" s="553">
        <v>33</v>
      </c>
      <c r="L3490" s="553">
        <v>3</v>
      </c>
      <c r="M3490" s="505" t="s">
        <v>312</v>
      </c>
      <c r="N3490" s="500">
        <v>43047561930000</v>
      </c>
      <c r="O3490" s="553" t="s">
        <v>3135</v>
      </c>
      <c r="P3490" s="650" t="s">
        <v>4224</v>
      </c>
      <c r="Q3490" s="564"/>
      <c r="R3490" s="564">
        <v>2</v>
      </c>
    </row>
    <row r="3491" spans="1:18" x14ac:dyDescent="0.25">
      <c r="A3491" s="553">
        <v>36</v>
      </c>
      <c r="B3491" s="553">
        <v>9</v>
      </c>
      <c r="C3491" s="553">
        <v>2</v>
      </c>
      <c r="D3491" s="553">
        <v>19</v>
      </c>
      <c r="E3491" s="553">
        <v>1</v>
      </c>
      <c r="F3491" s="553">
        <v>1</v>
      </c>
      <c r="G3491" s="553" t="s">
        <v>473</v>
      </c>
      <c r="H3491" s="553">
        <v>1335.13</v>
      </c>
      <c r="I3491" s="553">
        <v>1</v>
      </c>
      <c r="J3491" s="553">
        <v>39</v>
      </c>
      <c r="K3491" s="553">
        <v>26</v>
      </c>
      <c r="L3491" s="553">
        <v>4</v>
      </c>
      <c r="M3491" s="505" t="s">
        <v>312</v>
      </c>
      <c r="N3491" s="514">
        <v>43047562990000</v>
      </c>
      <c r="O3491" s="553" t="s">
        <v>4225</v>
      </c>
      <c r="P3491" s="650" t="s">
        <v>4226</v>
      </c>
      <c r="Q3491" s="564"/>
      <c r="R3491" s="564">
        <v>1</v>
      </c>
    </row>
    <row r="3492" spans="1:18" x14ac:dyDescent="0.25">
      <c r="A3492" s="553">
        <v>36</v>
      </c>
      <c r="B3492" s="553">
        <v>9</v>
      </c>
      <c r="C3492" s="553">
        <v>2</v>
      </c>
      <c r="D3492" s="553">
        <v>19</v>
      </c>
      <c r="E3492" s="553">
        <v>1</v>
      </c>
      <c r="F3492" s="553">
        <v>1</v>
      </c>
      <c r="G3492" s="502" t="s">
        <v>476</v>
      </c>
      <c r="H3492" s="553">
        <v>1335.13</v>
      </c>
      <c r="I3492" s="553">
        <v>1</v>
      </c>
      <c r="J3492" s="553">
        <v>39</v>
      </c>
      <c r="K3492" s="553">
        <v>26</v>
      </c>
      <c r="L3492" s="553">
        <v>4</v>
      </c>
      <c r="M3492" s="505" t="s">
        <v>312</v>
      </c>
      <c r="N3492" s="514">
        <v>43047562990000</v>
      </c>
      <c r="O3492" s="553" t="s">
        <v>4225</v>
      </c>
      <c r="P3492" s="650" t="s">
        <v>4227</v>
      </c>
      <c r="Q3492" s="564"/>
      <c r="R3492" s="564">
        <v>1</v>
      </c>
    </row>
    <row r="3493" spans="1:18" x14ac:dyDescent="0.25">
      <c r="A3493" s="553">
        <v>36</v>
      </c>
      <c r="B3493" s="553">
        <v>9</v>
      </c>
      <c r="C3493" s="553">
        <v>2</v>
      </c>
      <c r="D3493" s="553">
        <v>19</v>
      </c>
      <c r="E3493" s="553">
        <v>1</v>
      </c>
      <c r="F3493" s="553">
        <v>1</v>
      </c>
      <c r="G3493" s="553" t="s">
        <v>478</v>
      </c>
      <c r="H3493" s="553">
        <v>1335.51</v>
      </c>
      <c r="I3493" s="553">
        <v>0</v>
      </c>
      <c r="J3493" s="553">
        <v>0</v>
      </c>
      <c r="K3493" s="553">
        <v>0</v>
      </c>
      <c r="L3493" s="553">
        <v>4</v>
      </c>
      <c r="M3493" s="505" t="s">
        <v>312</v>
      </c>
      <c r="N3493" s="514">
        <v>43047562990000</v>
      </c>
      <c r="O3493" s="553" t="s">
        <v>4225</v>
      </c>
      <c r="P3493" s="650" t="s">
        <v>4228</v>
      </c>
      <c r="Q3493" s="564"/>
      <c r="R3493" s="564">
        <v>1</v>
      </c>
    </row>
    <row r="3494" spans="1:18" x14ac:dyDescent="0.25">
      <c r="A3494" s="553">
        <v>36</v>
      </c>
      <c r="B3494" s="553">
        <v>9</v>
      </c>
      <c r="C3494" s="553">
        <v>2</v>
      </c>
      <c r="D3494" s="553">
        <v>19</v>
      </c>
      <c r="E3494" s="553">
        <v>1</v>
      </c>
      <c r="F3494" s="553">
        <v>1</v>
      </c>
      <c r="G3494" s="553" t="s">
        <v>484</v>
      </c>
      <c r="H3494" s="553">
        <v>1335.51</v>
      </c>
      <c r="I3494" s="553">
        <v>0</v>
      </c>
      <c r="J3494" s="553">
        <v>0</v>
      </c>
      <c r="K3494" s="553">
        <v>0</v>
      </c>
      <c r="L3494" s="553">
        <v>4</v>
      </c>
      <c r="M3494" s="505" t="s">
        <v>312</v>
      </c>
      <c r="N3494" s="514">
        <v>43047562990000</v>
      </c>
      <c r="O3494" s="553" t="s">
        <v>4225</v>
      </c>
      <c r="P3494" s="650" t="s">
        <v>4229</v>
      </c>
      <c r="Q3494" s="564"/>
      <c r="R3494" s="564">
        <v>1</v>
      </c>
    </row>
    <row r="3495" spans="1:18" x14ac:dyDescent="0.25">
      <c r="A3495" s="553">
        <v>36</v>
      </c>
      <c r="B3495" s="553">
        <v>9</v>
      </c>
      <c r="C3495" s="553">
        <v>2</v>
      </c>
      <c r="D3495" s="553">
        <v>19</v>
      </c>
      <c r="E3495" s="553">
        <v>1</v>
      </c>
      <c r="F3495" s="553">
        <v>1</v>
      </c>
      <c r="G3495" s="553" t="s">
        <v>486</v>
      </c>
      <c r="H3495" s="553">
        <v>1310.75</v>
      </c>
      <c r="I3495" s="553">
        <v>0</v>
      </c>
      <c r="J3495" s="553">
        <v>49</v>
      </c>
      <c r="K3495" s="553">
        <v>0</v>
      </c>
      <c r="L3495" s="553">
        <v>4</v>
      </c>
      <c r="M3495" s="505" t="s">
        <v>312</v>
      </c>
      <c r="N3495" s="514">
        <v>43047562990000</v>
      </c>
      <c r="O3495" s="553" t="s">
        <v>4225</v>
      </c>
      <c r="P3495" s="650" t="s">
        <v>4230</v>
      </c>
      <c r="Q3495" s="564"/>
      <c r="R3495" s="564">
        <v>1</v>
      </c>
    </row>
    <row r="3496" spans="1:18" x14ac:dyDescent="0.25">
      <c r="A3496" s="553">
        <v>36</v>
      </c>
      <c r="B3496" s="553">
        <v>9</v>
      </c>
      <c r="C3496" s="553">
        <v>2</v>
      </c>
      <c r="D3496" s="553">
        <v>19</v>
      </c>
      <c r="E3496" s="553">
        <v>1</v>
      </c>
      <c r="F3496" s="553">
        <v>1</v>
      </c>
      <c r="G3496" s="502" t="s">
        <v>488</v>
      </c>
      <c r="H3496" s="553">
        <v>1310.75</v>
      </c>
      <c r="I3496" s="553">
        <v>0</v>
      </c>
      <c r="J3496" s="553">
        <v>49</v>
      </c>
      <c r="K3496" s="553">
        <v>0</v>
      </c>
      <c r="L3496" s="553">
        <v>4</v>
      </c>
      <c r="M3496" s="505" t="s">
        <v>312</v>
      </c>
      <c r="N3496" s="514">
        <v>43047562990000</v>
      </c>
      <c r="O3496" s="553" t="s">
        <v>4225</v>
      </c>
      <c r="P3496" s="650" t="s">
        <v>4231</v>
      </c>
      <c r="Q3496" s="564"/>
      <c r="R3496" s="564">
        <v>1</v>
      </c>
    </row>
    <row r="3497" spans="1:18" x14ac:dyDescent="0.25">
      <c r="A3497" s="553">
        <v>36</v>
      </c>
      <c r="B3497" s="553">
        <v>9</v>
      </c>
      <c r="C3497" s="553">
        <v>2</v>
      </c>
      <c r="D3497" s="553">
        <v>19</v>
      </c>
      <c r="E3497" s="553">
        <v>1</v>
      </c>
      <c r="F3497" s="553">
        <v>1</v>
      </c>
      <c r="G3497" s="553" t="s">
        <v>490</v>
      </c>
      <c r="H3497" s="553">
        <v>1336.5</v>
      </c>
      <c r="I3497" s="553">
        <v>0</v>
      </c>
      <c r="J3497" s="553">
        <v>0</v>
      </c>
      <c r="K3497" s="553">
        <v>0</v>
      </c>
      <c r="L3497" s="553">
        <v>4</v>
      </c>
      <c r="M3497" s="505" t="s">
        <v>312</v>
      </c>
      <c r="N3497" s="514">
        <v>43047562990000</v>
      </c>
      <c r="O3497" s="553" t="s">
        <v>4225</v>
      </c>
      <c r="P3497" s="650" t="s">
        <v>4232</v>
      </c>
      <c r="Q3497" s="564"/>
      <c r="R3497" s="564">
        <v>1</v>
      </c>
    </row>
    <row r="3498" spans="1:18" x14ac:dyDescent="0.25">
      <c r="A3498" s="553">
        <v>36</v>
      </c>
      <c r="B3498" s="553">
        <v>9</v>
      </c>
      <c r="C3498" s="553">
        <v>2</v>
      </c>
      <c r="D3498" s="553">
        <v>19</v>
      </c>
      <c r="E3498" s="553">
        <v>1</v>
      </c>
      <c r="F3498" s="553">
        <v>1</v>
      </c>
      <c r="G3498" s="553" t="s">
        <v>493</v>
      </c>
      <c r="H3498" s="553">
        <v>1336.5</v>
      </c>
      <c r="I3498" s="553">
        <v>0</v>
      </c>
      <c r="J3498" s="553">
        <v>0</v>
      </c>
      <c r="K3498" s="553">
        <v>0</v>
      </c>
      <c r="L3498" s="553">
        <v>4</v>
      </c>
      <c r="M3498" s="505" t="s">
        <v>312</v>
      </c>
      <c r="N3498" s="514">
        <v>43047562990000</v>
      </c>
      <c r="O3498" s="553" t="s">
        <v>4225</v>
      </c>
      <c r="P3498" s="650" t="s">
        <v>4233</v>
      </c>
      <c r="Q3498" s="564"/>
      <c r="R3498" s="564">
        <v>1</v>
      </c>
    </row>
    <row r="3499" spans="1:18" x14ac:dyDescent="0.25">
      <c r="A3499" s="553">
        <v>36</v>
      </c>
      <c r="B3499" s="553">
        <v>9</v>
      </c>
      <c r="C3499" s="553">
        <v>2</v>
      </c>
      <c r="D3499" s="553">
        <v>19</v>
      </c>
      <c r="E3499" s="553">
        <v>1</v>
      </c>
      <c r="F3499" s="553">
        <v>1</v>
      </c>
      <c r="G3499" s="553" t="s">
        <v>474</v>
      </c>
      <c r="H3499" s="553">
        <v>1341.73</v>
      </c>
      <c r="I3499" s="553">
        <v>89</v>
      </c>
      <c r="J3499" s="553">
        <v>20</v>
      </c>
      <c r="K3499" s="553">
        <v>20</v>
      </c>
      <c r="L3499" s="553">
        <v>3</v>
      </c>
      <c r="M3499" s="505" t="s">
        <v>312</v>
      </c>
      <c r="N3499" s="514">
        <v>43047562990000</v>
      </c>
      <c r="O3499" s="553" t="s">
        <v>4225</v>
      </c>
      <c r="P3499" s="650" t="s">
        <v>4234</v>
      </c>
      <c r="Q3499" s="564"/>
      <c r="R3499" s="564">
        <v>1</v>
      </c>
    </row>
    <row r="3500" spans="1:18" x14ac:dyDescent="0.25">
      <c r="A3500" s="553">
        <v>36</v>
      </c>
      <c r="B3500" s="553">
        <v>9</v>
      </c>
      <c r="C3500" s="553">
        <v>2</v>
      </c>
      <c r="D3500" s="553">
        <v>19</v>
      </c>
      <c r="E3500" s="553">
        <v>1</v>
      </c>
      <c r="F3500" s="553">
        <v>1</v>
      </c>
      <c r="G3500" s="502" t="s">
        <v>477</v>
      </c>
      <c r="H3500" s="553">
        <v>1341.73</v>
      </c>
      <c r="I3500" s="553">
        <v>89</v>
      </c>
      <c r="J3500" s="553">
        <v>20</v>
      </c>
      <c r="K3500" s="553">
        <v>20</v>
      </c>
      <c r="L3500" s="553">
        <v>3</v>
      </c>
      <c r="M3500" s="505" t="s">
        <v>312</v>
      </c>
      <c r="N3500" s="514">
        <v>43047562990000</v>
      </c>
      <c r="O3500" s="553" t="s">
        <v>4225</v>
      </c>
      <c r="P3500" s="650" t="s">
        <v>4235</v>
      </c>
      <c r="Q3500" s="564"/>
      <c r="R3500" s="564">
        <v>1</v>
      </c>
    </row>
    <row r="3501" spans="1:18" x14ac:dyDescent="0.25">
      <c r="A3501" s="553">
        <v>36</v>
      </c>
      <c r="B3501" s="553">
        <v>9</v>
      </c>
      <c r="C3501" s="553">
        <v>2</v>
      </c>
      <c r="D3501" s="553">
        <v>19</v>
      </c>
      <c r="E3501" s="553">
        <v>1</v>
      </c>
      <c r="F3501" s="553">
        <v>1</v>
      </c>
      <c r="G3501" s="553" t="s">
        <v>479</v>
      </c>
      <c r="H3501" s="553">
        <v>1342.56</v>
      </c>
      <c r="I3501" s="553">
        <v>89</v>
      </c>
      <c r="J3501" s="553">
        <v>19</v>
      </c>
      <c r="K3501" s="553">
        <v>58</v>
      </c>
      <c r="L3501" s="553">
        <v>3</v>
      </c>
      <c r="M3501" s="505" t="s">
        <v>312</v>
      </c>
      <c r="N3501" s="514">
        <v>43047562990000</v>
      </c>
      <c r="O3501" s="553" t="s">
        <v>4225</v>
      </c>
      <c r="P3501" s="650" t="s">
        <v>4236</v>
      </c>
      <c r="Q3501" s="564"/>
      <c r="R3501" s="564">
        <v>1</v>
      </c>
    </row>
    <row r="3502" spans="1:18" x14ac:dyDescent="0.25">
      <c r="A3502" s="553">
        <v>36</v>
      </c>
      <c r="B3502" s="553">
        <v>9</v>
      </c>
      <c r="C3502" s="553">
        <v>2</v>
      </c>
      <c r="D3502" s="553">
        <v>19</v>
      </c>
      <c r="E3502" s="553">
        <v>1</v>
      </c>
      <c r="F3502" s="553">
        <v>1</v>
      </c>
      <c r="G3502" s="553" t="s">
        <v>485</v>
      </c>
      <c r="H3502" s="553">
        <v>1342.56</v>
      </c>
      <c r="I3502" s="553">
        <v>89</v>
      </c>
      <c r="J3502" s="553">
        <v>19</v>
      </c>
      <c r="K3502" s="553">
        <v>58</v>
      </c>
      <c r="L3502" s="553">
        <v>3</v>
      </c>
      <c r="M3502" s="505" t="s">
        <v>312</v>
      </c>
      <c r="N3502" s="514">
        <v>43047562990000</v>
      </c>
      <c r="O3502" s="553" t="s">
        <v>4225</v>
      </c>
      <c r="P3502" s="650" t="s">
        <v>4237</v>
      </c>
      <c r="Q3502" s="564"/>
      <c r="R3502" s="564">
        <v>1</v>
      </c>
    </row>
    <row r="3503" spans="1:18" x14ac:dyDescent="0.25">
      <c r="A3503" s="553">
        <v>36</v>
      </c>
      <c r="B3503" s="553">
        <v>9</v>
      </c>
      <c r="C3503" s="553">
        <v>2</v>
      </c>
      <c r="D3503" s="553">
        <v>19</v>
      </c>
      <c r="E3503" s="553">
        <v>1</v>
      </c>
      <c r="F3503" s="553">
        <v>1</v>
      </c>
      <c r="G3503" s="553" t="s">
        <v>487</v>
      </c>
      <c r="H3503" s="553">
        <v>1331.55</v>
      </c>
      <c r="I3503" s="553">
        <v>90</v>
      </c>
      <c r="J3503" s="553">
        <v>0</v>
      </c>
      <c r="K3503" s="553">
        <v>0</v>
      </c>
      <c r="L3503" s="553">
        <v>3</v>
      </c>
      <c r="M3503" s="505" t="s">
        <v>312</v>
      </c>
      <c r="N3503" s="514">
        <v>43047562990000</v>
      </c>
      <c r="O3503" s="553" t="s">
        <v>4225</v>
      </c>
      <c r="P3503" s="650" t="s">
        <v>4238</v>
      </c>
      <c r="Q3503" s="564"/>
      <c r="R3503" s="564">
        <v>1</v>
      </c>
    </row>
    <row r="3504" spans="1:18" x14ac:dyDescent="0.25">
      <c r="A3504" s="553">
        <v>36</v>
      </c>
      <c r="B3504" s="553">
        <v>9</v>
      </c>
      <c r="C3504" s="553">
        <v>2</v>
      </c>
      <c r="D3504" s="553">
        <v>19</v>
      </c>
      <c r="E3504" s="553">
        <v>1</v>
      </c>
      <c r="F3504" s="553">
        <v>1</v>
      </c>
      <c r="G3504" s="502" t="s">
        <v>489</v>
      </c>
      <c r="H3504" s="553">
        <v>1331.55</v>
      </c>
      <c r="I3504" s="553">
        <v>90</v>
      </c>
      <c r="J3504" s="553">
        <v>0</v>
      </c>
      <c r="K3504" s="553">
        <v>0</v>
      </c>
      <c r="L3504" s="553">
        <v>3</v>
      </c>
      <c r="M3504" s="505" t="s">
        <v>312</v>
      </c>
      <c r="N3504" s="500">
        <v>43047562990000</v>
      </c>
      <c r="O3504" s="553" t="s">
        <v>4225</v>
      </c>
      <c r="P3504" s="650" t="s">
        <v>4239</v>
      </c>
      <c r="Q3504" s="564"/>
      <c r="R3504" s="564">
        <v>1</v>
      </c>
    </row>
    <row r="3505" spans="1:18" x14ac:dyDescent="0.25">
      <c r="A3505" s="553">
        <v>36</v>
      </c>
      <c r="B3505" s="553">
        <v>9</v>
      </c>
      <c r="C3505" s="553">
        <v>2</v>
      </c>
      <c r="D3505" s="553">
        <v>19</v>
      </c>
      <c r="E3505" s="553">
        <v>1</v>
      </c>
      <c r="F3505" s="553">
        <v>1</v>
      </c>
      <c r="G3505" s="553" t="s">
        <v>491</v>
      </c>
      <c r="H3505" s="553">
        <v>1326.6</v>
      </c>
      <c r="I3505" s="553">
        <v>90</v>
      </c>
      <c r="J3505" s="553">
        <v>0</v>
      </c>
      <c r="K3505" s="553">
        <v>0</v>
      </c>
      <c r="L3505" s="553">
        <v>3</v>
      </c>
      <c r="M3505" s="505" t="s">
        <v>312</v>
      </c>
      <c r="N3505" s="500">
        <v>43047562990000</v>
      </c>
      <c r="O3505" s="553" t="s">
        <v>4225</v>
      </c>
      <c r="P3505" s="650" t="s">
        <v>4240</v>
      </c>
      <c r="Q3505" s="564"/>
      <c r="R3505" s="564">
        <v>1</v>
      </c>
    </row>
    <row r="3506" spans="1:18" x14ac:dyDescent="0.25">
      <c r="A3506" s="553">
        <v>36</v>
      </c>
      <c r="B3506" s="553">
        <v>9</v>
      </c>
      <c r="C3506" s="553">
        <v>2</v>
      </c>
      <c r="D3506" s="553">
        <v>19</v>
      </c>
      <c r="E3506" s="553">
        <v>1</v>
      </c>
      <c r="F3506" s="553">
        <v>1</v>
      </c>
      <c r="G3506" s="553" t="s">
        <v>494</v>
      </c>
      <c r="H3506" s="553">
        <v>1326.6</v>
      </c>
      <c r="I3506" s="553">
        <v>90</v>
      </c>
      <c r="J3506" s="553">
        <v>0</v>
      </c>
      <c r="K3506" s="553">
        <v>0</v>
      </c>
      <c r="L3506" s="553">
        <v>3</v>
      </c>
      <c r="M3506" s="505" t="s">
        <v>312</v>
      </c>
      <c r="N3506" s="500">
        <v>43047562990000</v>
      </c>
      <c r="O3506" s="553" t="s">
        <v>4225</v>
      </c>
      <c r="P3506" s="650" t="s">
        <v>4241</v>
      </c>
      <c r="Q3506" s="564"/>
      <c r="R3506" s="564">
        <v>1</v>
      </c>
    </row>
    <row r="3507" spans="1:18" s="484" customFormat="1" x14ac:dyDescent="0.25">
      <c r="A3507" s="553">
        <v>36</v>
      </c>
      <c r="B3507" s="553">
        <v>2</v>
      </c>
      <c r="C3507" s="553">
        <v>2</v>
      </c>
      <c r="D3507" s="553">
        <v>1</v>
      </c>
      <c r="E3507" s="553">
        <v>2</v>
      </c>
      <c r="F3507" s="553">
        <v>2</v>
      </c>
      <c r="G3507" s="553" t="s">
        <v>473</v>
      </c>
      <c r="H3507" s="553">
        <v>1310.02</v>
      </c>
      <c r="I3507" s="553">
        <v>0</v>
      </c>
      <c r="J3507" s="553">
        <v>13</v>
      </c>
      <c r="K3507" s="553">
        <v>46</v>
      </c>
      <c r="L3507" s="553">
        <v>2</v>
      </c>
      <c r="M3507" s="505" t="s">
        <v>137</v>
      </c>
      <c r="N3507" s="500">
        <v>43047561740000</v>
      </c>
      <c r="O3507" s="553" t="s">
        <v>3152</v>
      </c>
      <c r="P3507" s="650" t="s">
        <v>4242</v>
      </c>
      <c r="Q3507" s="564"/>
      <c r="R3507" s="564">
        <v>2</v>
      </c>
    </row>
    <row r="3508" spans="1:18" s="484" customFormat="1" x14ac:dyDescent="0.25">
      <c r="A3508" s="553">
        <v>36</v>
      </c>
      <c r="B3508" s="553">
        <v>2</v>
      </c>
      <c r="C3508" s="553">
        <v>2</v>
      </c>
      <c r="D3508" s="553">
        <v>1</v>
      </c>
      <c r="E3508" s="553">
        <v>2</v>
      </c>
      <c r="F3508" s="553">
        <v>2</v>
      </c>
      <c r="G3508" s="502" t="s">
        <v>476</v>
      </c>
      <c r="H3508" s="553">
        <v>1310.02</v>
      </c>
      <c r="I3508" s="553">
        <v>0</v>
      </c>
      <c r="J3508" s="553">
        <v>13</v>
      </c>
      <c r="K3508" s="553">
        <v>46</v>
      </c>
      <c r="L3508" s="553">
        <v>2</v>
      </c>
      <c r="M3508" s="505" t="s">
        <v>137</v>
      </c>
      <c r="N3508" s="500">
        <v>43047561740001</v>
      </c>
      <c r="O3508" s="553" t="s">
        <v>3154</v>
      </c>
      <c r="P3508" s="650" t="s">
        <v>4243</v>
      </c>
      <c r="Q3508" s="564"/>
      <c r="R3508" s="564">
        <v>2</v>
      </c>
    </row>
    <row r="3509" spans="1:18" s="484" customFormat="1" x14ac:dyDescent="0.25">
      <c r="A3509" s="553">
        <v>36</v>
      </c>
      <c r="B3509" s="553">
        <v>2</v>
      </c>
      <c r="C3509" s="553">
        <v>2</v>
      </c>
      <c r="D3509" s="553">
        <v>1</v>
      </c>
      <c r="E3509" s="553">
        <v>2</v>
      </c>
      <c r="F3509" s="553">
        <v>2</v>
      </c>
      <c r="G3509" s="553" t="s">
        <v>478</v>
      </c>
      <c r="H3509" s="553">
        <v>1343.165</v>
      </c>
      <c r="I3509" s="553">
        <v>0</v>
      </c>
      <c r="J3509" s="553">
        <v>28</v>
      </c>
      <c r="K3509" s="553">
        <v>37</v>
      </c>
      <c r="L3509" s="553">
        <v>4</v>
      </c>
      <c r="M3509" s="505" t="s">
        <v>137</v>
      </c>
      <c r="N3509" s="500">
        <v>43047561740002</v>
      </c>
      <c r="O3509" s="553" t="s">
        <v>3156</v>
      </c>
      <c r="P3509" s="650" t="s">
        <v>4244</v>
      </c>
      <c r="Q3509" s="564"/>
      <c r="R3509" s="564">
        <v>2</v>
      </c>
    </row>
    <row r="3510" spans="1:18" s="484" customFormat="1" x14ac:dyDescent="0.25">
      <c r="A3510" s="553">
        <v>36</v>
      </c>
      <c r="B3510" s="553">
        <v>2</v>
      </c>
      <c r="C3510" s="553">
        <v>2</v>
      </c>
      <c r="D3510" s="553">
        <v>1</v>
      </c>
      <c r="E3510" s="553">
        <v>2</v>
      </c>
      <c r="F3510" s="553">
        <v>2</v>
      </c>
      <c r="G3510" s="553" t="s">
        <v>484</v>
      </c>
      <c r="H3510" s="553">
        <v>1343.165</v>
      </c>
      <c r="I3510" s="553">
        <v>0</v>
      </c>
      <c r="J3510" s="553">
        <v>28</v>
      </c>
      <c r="K3510" s="553">
        <v>37</v>
      </c>
      <c r="L3510" s="553">
        <v>4</v>
      </c>
      <c r="M3510" s="505" t="s">
        <v>137</v>
      </c>
      <c r="N3510" s="500">
        <v>43047561740003</v>
      </c>
      <c r="O3510" s="553" t="s">
        <v>3158</v>
      </c>
      <c r="P3510" s="650" t="s">
        <v>4245</v>
      </c>
      <c r="Q3510" s="564"/>
      <c r="R3510" s="564">
        <v>2</v>
      </c>
    </row>
    <row r="3511" spans="1:18" s="484" customFormat="1" x14ac:dyDescent="0.25">
      <c r="A3511" s="553">
        <v>36</v>
      </c>
      <c r="B3511" s="553">
        <v>2</v>
      </c>
      <c r="C3511" s="553">
        <v>2</v>
      </c>
      <c r="D3511" s="553">
        <v>1</v>
      </c>
      <c r="E3511" s="553">
        <v>2</v>
      </c>
      <c r="F3511" s="553">
        <v>2</v>
      </c>
      <c r="G3511" s="553" t="s">
        <v>486</v>
      </c>
      <c r="H3511" s="553">
        <v>1327.14</v>
      </c>
      <c r="I3511" s="553">
        <v>0</v>
      </c>
      <c r="J3511" s="553">
        <v>8</v>
      </c>
      <c r="K3511" s="553">
        <v>37</v>
      </c>
      <c r="L3511" s="553">
        <v>4</v>
      </c>
      <c r="M3511" s="505" t="s">
        <v>137</v>
      </c>
      <c r="N3511" s="500">
        <v>43047561740004</v>
      </c>
      <c r="O3511" s="553" t="s">
        <v>3160</v>
      </c>
      <c r="P3511" s="650" t="s">
        <v>4246</v>
      </c>
      <c r="Q3511" s="564"/>
      <c r="R3511" s="564">
        <v>2</v>
      </c>
    </row>
    <row r="3512" spans="1:18" s="484" customFormat="1" x14ac:dyDescent="0.25">
      <c r="A3512" s="553">
        <v>36</v>
      </c>
      <c r="B3512" s="553">
        <v>2</v>
      </c>
      <c r="C3512" s="553">
        <v>2</v>
      </c>
      <c r="D3512" s="553">
        <v>1</v>
      </c>
      <c r="E3512" s="553">
        <v>2</v>
      </c>
      <c r="F3512" s="553">
        <v>2</v>
      </c>
      <c r="G3512" s="502" t="s">
        <v>488</v>
      </c>
      <c r="H3512" s="553">
        <v>1327.14</v>
      </c>
      <c r="I3512" s="553">
        <v>0</v>
      </c>
      <c r="J3512" s="553">
        <v>8</v>
      </c>
      <c r="K3512" s="553">
        <v>37</v>
      </c>
      <c r="L3512" s="553">
        <v>4</v>
      </c>
      <c r="M3512" s="505" t="s">
        <v>137</v>
      </c>
      <c r="N3512" s="500">
        <v>43047561740005</v>
      </c>
      <c r="O3512" s="553" t="s">
        <v>3162</v>
      </c>
      <c r="P3512" s="650" t="s">
        <v>4247</v>
      </c>
      <c r="Q3512" s="564"/>
      <c r="R3512" s="564">
        <v>2</v>
      </c>
    </row>
    <row r="3513" spans="1:18" s="484" customFormat="1" x14ac:dyDescent="0.25">
      <c r="A3513" s="553">
        <v>36</v>
      </c>
      <c r="B3513" s="553">
        <v>2</v>
      </c>
      <c r="C3513" s="553">
        <v>2</v>
      </c>
      <c r="D3513" s="553">
        <v>1</v>
      </c>
      <c r="E3513" s="553">
        <v>2</v>
      </c>
      <c r="F3513" s="553">
        <v>2</v>
      </c>
      <c r="G3513" s="553" t="s">
        <v>490</v>
      </c>
      <c r="H3513" s="553">
        <v>1327.145</v>
      </c>
      <c r="I3513" s="553">
        <v>0</v>
      </c>
      <c r="J3513" s="553">
        <v>8</v>
      </c>
      <c r="K3513" s="553">
        <v>37</v>
      </c>
      <c r="L3513" s="553">
        <v>4</v>
      </c>
      <c r="M3513" s="505" t="s">
        <v>137</v>
      </c>
      <c r="N3513" s="500">
        <v>43047561740006</v>
      </c>
      <c r="O3513" s="553" t="s">
        <v>3164</v>
      </c>
      <c r="P3513" s="650" t="s">
        <v>4248</v>
      </c>
      <c r="Q3513" s="564"/>
      <c r="R3513" s="564">
        <v>2</v>
      </c>
    </row>
    <row r="3514" spans="1:18" s="484" customFormat="1" x14ac:dyDescent="0.25">
      <c r="A3514" s="553">
        <v>36</v>
      </c>
      <c r="B3514" s="553">
        <v>2</v>
      </c>
      <c r="C3514" s="553">
        <v>2</v>
      </c>
      <c r="D3514" s="553">
        <v>1</v>
      </c>
      <c r="E3514" s="553">
        <v>2</v>
      </c>
      <c r="F3514" s="553">
        <v>2</v>
      </c>
      <c r="G3514" s="553" t="s">
        <v>493</v>
      </c>
      <c r="H3514" s="553">
        <v>1327.145</v>
      </c>
      <c r="I3514" s="553">
        <v>0</v>
      </c>
      <c r="J3514" s="553">
        <v>8</v>
      </c>
      <c r="K3514" s="553">
        <v>37</v>
      </c>
      <c r="L3514" s="553">
        <v>4</v>
      </c>
      <c r="M3514" s="505" t="s">
        <v>137</v>
      </c>
      <c r="N3514" s="500">
        <v>43047561740007</v>
      </c>
      <c r="O3514" s="553" t="s">
        <v>3166</v>
      </c>
      <c r="P3514" s="650" t="s">
        <v>4249</v>
      </c>
      <c r="Q3514" s="564"/>
      <c r="R3514" s="564">
        <v>2</v>
      </c>
    </row>
    <row r="3515" spans="1:18" s="484" customFormat="1" x14ac:dyDescent="0.25">
      <c r="A3515" s="553">
        <v>36</v>
      </c>
      <c r="B3515" s="553">
        <v>2</v>
      </c>
      <c r="C3515" s="553">
        <v>2</v>
      </c>
      <c r="D3515" s="553">
        <v>1</v>
      </c>
      <c r="E3515" s="553">
        <v>2</v>
      </c>
      <c r="F3515" s="553">
        <v>2</v>
      </c>
      <c r="G3515" s="553" t="s">
        <v>474</v>
      </c>
      <c r="H3515" s="553">
        <v>1316.28</v>
      </c>
      <c r="I3515" s="553">
        <v>89</v>
      </c>
      <c r="J3515" s="553">
        <v>55</v>
      </c>
      <c r="K3515" s="553">
        <v>10</v>
      </c>
      <c r="L3515" s="553">
        <v>1</v>
      </c>
      <c r="M3515" s="505" t="s">
        <v>137</v>
      </c>
      <c r="N3515" s="500">
        <v>43047561740008</v>
      </c>
      <c r="O3515" s="553" t="s">
        <v>3168</v>
      </c>
      <c r="P3515" s="650" t="s">
        <v>4250</v>
      </c>
      <c r="Q3515" s="564"/>
      <c r="R3515" s="564">
        <v>2</v>
      </c>
    </row>
    <row r="3516" spans="1:18" s="484" customFormat="1" x14ac:dyDescent="0.25">
      <c r="A3516" s="553">
        <v>36</v>
      </c>
      <c r="B3516" s="553">
        <v>2</v>
      </c>
      <c r="C3516" s="553">
        <v>2</v>
      </c>
      <c r="D3516" s="553">
        <v>1</v>
      </c>
      <c r="E3516" s="553">
        <v>2</v>
      </c>
      <c r="F3516" s="553">
        <v>2</v>
      </c>
      <c r="G3516" s="502" t="s">
        <v>477</v>
      </c>
      <c r="H3516" s="553">
        <v>1316.28</v>
      </c>
      <c r="I3516" s="553">
        <v>89</v>
      </c>
      <c r="J3516" s="553">
        <v>55</v>
      </c>
      <c r="K3516" s="553">
        <v>10</v>
      </c>
      <c r="L3516" s="553">
        <v>1</v>
      </c>
      <c r="M3516" s="505" t="s">
        <v>137</v>
      </c>
      <c r="N3516" s="500">
        <v>43047561740009</v>
      </c>
      <c r="O3516" s="553" t="s">
        <v>3170</v>
      </c>
      <c r="P3516" s="650" t="s">
        <v>4251</v>
      </c>
      <c r="Q3516" s="564"/>
      <c r="R3516" s="564">
        <v>2</v>
      </c>
    </row>
    <row r="3517" spans="1:18" s="484" customFormat="1" x14ac:dyDescent="0.25">
      <c r="A3517" s="553">
        <v>36</v>
      </c>
      <c r="B3517" s="553">
        <v>2</v>
      </c>
      <c r="C3517" s="553">
        <v>2</v>
      </c>
      <c r="D3517" s="553">
        <v>1</v>
      </c>
      <c r="E3517" s="553">
        <v>2</v>
      </c>
      <c r="F3517" s="553">
        <v>2</v>
      </c>
      <c r="G3517" s="553" t="s">
        <v>479</v>
      </c>
      <c r="H3517" s="553">
        <v>1320.27</v>
      </c>
      <c r="I3517" s="553">
        <v>89</v>
      </c>
      <c r="J3517" s="553">
        <v>55</v>
      </c>
      <c r="K3517" s="553">
        <v>10</v>
      </c>
      <c r="L3517" s="553">
        <v>1</v>
      </c>
      <c r="M3517" s="505" t="s">
        <v>137</v>
      </c>
      <c r="N3517" s="500">
        <v>43047561740010</v>
      </c>
      <c r="O3517" s="553" t="s">
        <v>3172</v>
      </c>
      <c r="P3517" s="650" t="s">
        <v>4252</v>
      </c>
      <c r="Q3517" s="564"/>
      <c r="R3517" s="564">
        <v>2</v>
      </c>
    </row>
    <row r="3518" spans="1:18" s="484" customFormat="1" x14ac:dyDescent="0.25">
      <c r="A3518" s="553">
        <v>36</v>
      </c>
      <c r="B3518" s="553">
        <v>2</v>
      </c>
      <c r="C3518" s="553">
        <v>2</v>
      </c>
      <c r="D3518" s="553">
        <v>1</v>
      </c>
      <c r="E3518" s="553">
        <v>2</v>
      </c>
      <c r="F3518" s="553">
        <v>2</v>
      </c>
      <c r="G3518" s="553" t="s">
        <v>485</v>
      </c>
      <c r="H3518" s="553">
        <v>1333.38</v>
      </c>
      <c r="I3518" s="553">
        <v>89</v>
      </c>
      <c r="J3518" s="553">
        <v>59</v>
      </c>
      <c r="K3518" s="553">
        <v>23</v>
      </c>
      <c r="L3518" s="553">
        <v>1</v>
      </c>
      <c r="M3518" s="505" t="s">
        <v>137</v>
      </c>
      <c r="N3518" s="500">
        <v>43047561740011</v>
      </c>
      <c r="O3518" s="553" t="s">
        <v>3174</v>
      </c>
      <c r="P3518" s="650" t="s">
        <v>4253</v>
      </c>
      <c r="Q3518" s="564"/>
      <c r="R3518" s="564">
        <v>2</v>
      </c>
    </row>
    <row r="3519" spans="1:18" s="484" customFormat="1" x14ac:dyDescent="0.25">
      <c r="A3519" s="553">
        <v>36</v>
      </c>
      <c r="B3519" s="553">
        <v>2</v>
      </c>
      <c r="C3519" s="553">
        <v>2</v>
      </c>
      <c r="D3519" s="553">
        <v>1</v>
      </c>
      <c r="E3519" s="553">
        <v>2</v>
      </c>
      <c r="F3519" s="553">
        <v>2</v>
      </c>
      <c r="G3519" s="553" t="s">
        <v>487</v>
      </c>
      <c r="H3519" s="553">
        <v>1322.21</v>
      </c>
      <c r="I3519" s="553">
        <v>89</v>
      </c>
      <c r="J3519" s="553">
        <v>54</v>
      </c>
      <c r="K3519" s="553">
        <v>24</v>
      </c>
      <c r="L3519" s="553">
        <v>1</v>
      </c>
      <c r="M3519" s="505" t="s">
        <v>137</v>
      </c>
      <c r="N3519" s="500">
        <v>43047561740012</v>
      </c>
      <c r="O3519" s="553" t="s">
        <v>3176</v>
      </c>
      <c r="P3519" s="650" t="s">
        <v>4254</v>
      </c>
      <c r="Q3519" s="564"/>
      <c r="R3519" s="564">
        <v>2</v>
      </c>
    </row>
    <row r="3520" spans="1:18" s="484" customFormat="1" x14ac:dyDescent="0.25">
      <c r="A3520" s="553">
        <v>36</v>
      </c>
      <c r="B3520" s="553">
        <v>2</v>
      </c>
      <c r="C3520" s="553">
        <v>2</v>
      </c>
      <c r="D3520" s="553">
        <v>1</v>
      </c>
      <c r="E3520" s="553">
        <v>2</v>
      </c>
      <c r="F3520" s="553">
        <v>2</v>
      </c>
      <c r="G3520" s="502" t="s">
        <v>489</v>
      </c>
      <c r="H3520" s="553">
        <v>1321.57</v>
      </c>
      <c r="I3520" s="553">
        <v>89</v>
      </c>
      <c r="J3520" s="553">
        <v>54</v>
      </c>
      <c r="K3520" s="553">
        <v>21</v>
      </c>
      <c r="L3520" s="553">
        <v>1</v>
      </c>
      <c r="M3520" s="505" t="s">
        <v>137</v>
      </c>
      <c r="N3520" s="500">
        <v>43047561740013</v>
      </c>
      <c r="O3520" s="553" t="s">
        <v>3178</v>
      </c>
      <c r="P3520" s="650" t="s">
        <v>4255</v>
      </c>
      <c r="Q3520" s="564"/>
      <c r="R3520" s="564">
        <v>2</v>
      </c>
    </row>
    <row r="3521" spans="1:18" s="484" customFormat="1" x14ac:dyDescent="0.25">
      <c r="A3521" s="553">
        <v>36</v>
      </c>
      <c r="B3521" s="553">
        <v>2</v>
      </c>
      <c r="C3521" s="553">
        <v>2</v>
      </c>
      <c r="D3521" s="553">
        <v>1</v>
      </c>
      <c r="E3521" s="553">
        <v>2</v>
      </c>
      <c r="F3521" s="553">
        <v>2</v>
      </c>
      <c r="G3521" s="553" t="s">
        <v>491</v>
      </c>
      <c r="H3521" s="553">
        <v>1321.93</v>
      </c>
      <c r="I3521" s="553">
        <v>89</v>
      </c>
      <c r="J3521" s="553">
        <v>55</v>
      </c>
      <c r="K3521" s="553">
        <v>6</v>
      </c>
      <c r="L3521" s="553">
        <v>1</v>
      </c>
      <c r="M3521" s="505" t="s">
        <v>137</v>
      </c>
      <c r="N3521" s="500">
        <v>43047561740014</v>
      </c>
      <c r="O3521" s="553" t="s">
        <v>3180</v>
      </c>
      <c r="P3521" s="650" t="s">
        <v>4256</v>
      </c>
      <c r="Q3521" s="564"/>
      <c r="R3521" s="564">
        <v>2</v>
      </c>
    </row>
    <row r="3522" spans="1:18" s="484" customFormat="1" x14ac:dyDescent="0.25">
      <c r="A3522" s="553">
        <v>36</v>
      </c>
      <c r="B3522" s="553">
        <v>2</v>
      </c>
      <c r="C3522" s="553">
        <v>2</v>
      </c>
      <c r="D3522" s="553">
        <v>1</v>
      </c>
      <c r="E3522" s="553">
        <v>2</v>
      </c>
      <c r="F3522" s="553">
        <v>2</v>
      </c>
      <c r="G3522" s="553" t="s">
        <v>494</v>
      </c>
      <c r="H3522" s="553">
        <v>1321.96</v>
      </c>
      <c r="I3522" s="553">
        <v>89</v>
      </c>
      <c r="J3522" s="553">
        <v>55</v>
      </c>
      <c r="K3522" s="553">
        <v>6</v>
      </c>
      <c r="L3522" s="553">
        <v>1</v>
      </c>
      <c r="M3522" s="505" t="s">
        <v>137</v>
      </c>
      <c r="N3522" s="500">
        <v>43047561740015</v>
      </c>
      <c r="O3522" s="553" t="s">
        <v>3182</v>
      </c>
      <c r="P3522" s="650" t="s">
        <v>4257</v>
      </c>
      <c r="Q3522" s="564"/>
      <c r="R3522" s="564">
        <v>2</v>
      </c>
    </row>
    <row r="3523" spans="1:18" x14ac:dyDescent="0.25">
      <c r="A3523" s="553">
        <v>36</v>
      </c>
      <c r="B3523" s="553">
        <v>2</v>
      </c>
      <c r="C3523" s="553">
        <v>2</v>
      </c>
      <c r="D3523" s="553">
        <v>2</v>
      </c>
      <c r="E3523" s="553">
        <v>2</v>
      </c>
      <c r="F3523" s="553">
        <v>2</v>
      </c>
      <c r="G3523" s="553" t="s">
        <v>473</v>
      </c>
      <c r="H3523" s="553">
        <v>1315.4349999999999</v>
      </c>
      <c r="I3523" s="553">
        <v>0</v>
      </c>
      <c r="J3523" s="553">
        <v>29</v>
      </c>
      <c r="K3523" s="553">
        <v>23</v>
      </c>
      <c r="L3523" s="553">
        <v>4</v>
      </c>
      <c r="M3523" s="505" t="s">
        <v>137</v>
      </c>
      <c r="N3523" s="500">
        <v>43013538250000</v>
      </c>
      <c r="O3523" s="553" t="s">
        <v>651</v>
      </c>
      <c r="P3523" s="650" t="s">
        <v>4258</v>
      </c>
      <c r="Q3523" s="564"/>
      <c r="R3523" s="564">
        <v>1</v>
      </c>
    </row>
    <row r="3524" spans="1:18" x14ac:dyDescent="0.25">
      <c r="A3524" s="553">
        <v>36</v>
      </c>
      <c r="B3524" s="553">
        <v>2</v>
      </c>
      <c r="C3524" s="553">
        <v>2</v>
      </c>
      <c r="D3524" s="553">
        <v>2</v>
      </c>
      <c r="E3524" s="553">
        <v>2</v>
      </c>
      <c r="F3524" s="553">
        <v>2</v>
      </c>
      <c r="G3524" s="502" t="s">
        <v>476</v>
      </c>
      <c r="H3524" s="553">
        <v>1315.4349999999999</v>
      </c>
      <c r="I3524" s="553">
        <v>0</v>
      </c>
      <c r="J3524" s="553">
        <v>29</v>
      </c>
      <c r="K3524" s="553">
        <v>23</v>
      </c>
      <c r="L3524" s="553">
        <v>4</v>
      </c>
      <c r="M3524" s="505" t="s">
        <v>137</v>
      </c>
      <c r="N3524" s="500">
        <v>43013538250000</v>
      </c>
      <c r="O3524" s="553" t="s">
        <v>651</v>
      </c>
      <c r="P3524" s="650" t="s">
        <v>4259</v>
      </c>
      <c r="Q3524" s="564"/>
      <c r="R3524" s="564">
        <v>1</v>
      </c>
    </row>
    <row r="3525" spans="1:18" x14ac:dyDescent="0.25">
      <c r="A3525" s="553">
        <v>36</v>
      </c>
      <c r="B3525" s="553">
        <v>2</v>
      </c>
      <c r="C3525" s="553">
        <v>2</v>
      </c>
      <c r="D3525" s="553">
        <v>2</v>
      </c>
      <c r="E3525" s="553">
        <v>2</v>
      </c>
      <c r="F3525" s="553">
        <v>2</v>
      </c>
      <c r="G3525" s="553" t="s">
        <v>478</v>
      </c>
      <c r="H3525" s="553">
        <v>1315.98</v>
      </c>
      <c r="I3525" s="553">
        <v>0</v>
      </c>
      <c r="J3525" s="553">
        <v>52</v>
      </c>
      <c r="K3525" s="553">
        <v>25</v>
      </c>
      <c r="L3525" s="553">
        <v>4</v>
      </c>
      <c r="M3525" s="505" t="s">
        <v>137</v>
      </c>
      <c r="N3525" s="500">
        <v>43013538250000</v>
      </c>
      <c r="O3525" s="553" t="s">
        <v>651</v>
      </c>
      <c r="P3525" s="650" t="s">
        <v>4260</v>
      </c>
      <c r="Q3525" s="564"/>
      <c r="R3525" s="564">
        <v>1</v>
      </c>
    </row>
    <row r="3526" spans="1:18" x14ac:dyDescent="0.25">
      <c r="A3526" s="553">
        <v>36</v>
      </c>
      <c r="B3526" s="553">
        <v>2</v>
      </c>
      <c r="C3526" s="553">
        <v>2</v>
      </c>
      <c r="D3526" s="553">
        <v>2</v>
      </c>
      <c r="E3526" s="553">
        <v>2</v>
      </c>
      <c r="F3526" s="553">
        <v>2</v>
      </c>
      <c r="G3526" s="553" t="s">
        <v>484</v>
      </c>
      <c r="H3526" s="553">
        <v>1315.98</v>
      </c>
      <c r="I3526" s="553">
        <v>0</v>
      </c>
      <c r="J3526" s="553">
        <v>52</v>
      </c>
      <c r="K3526" s="553">
        <v>25</v>
      </c>
      <c r="L3526" s="553">
        <v>4</v>
      </c>
      <c r="M3526" s="505" t="s">
        <v>137</v>
      </c>
      <c r="N3526" s="500">
        <v>43013538250000</v>
      </c>
      <c r="O3526" s="553" t="s">
        <v>651</v>
      </c>
      <c r="P3526" s="650" t="s">
        <v>4261</v>
      </c>
      <c r="Q3526" s="564"/>
      <c r="R3526" s="564">
        <v>1</v>
      </c>
    </row>
    <row r="3527" spans="1:18" x14ac:dyDescent="0.25">
      <c r="A3527" s="553">
        <v>36</v>
      </c>
      <c r="B3527" s="553">
        <v>2</v>
      </c>
      <c r="C3527" s="553">
        <v>2</v>
      </c>
      <c r="D3527" s="553">
        <v>2</v>
      </c>
      <c r="E3527" s="553">
        <v>2</v>
      </c>
      <c r="F3527" s="553">
        <v>2</v>
      </c>
      <c r="G3527" s="553" t="s">
        <v>486</v>
      </c>
      <c r="H3527" s="553">
        <v>1319.175</v>
      </c>
      <c r="I3527" s="553">
        <v>1</v>
      </c>
      <c r="J3527" s="553">
        <v>2</v>
      </c>
      <c r="K3527" s="553">
        <v>50</v>
      </c>
      <c r="L3527" s="553">
        <v>4</v>
      </c>
      <c r="M3527" s="505" t="s">
        <v>137</v>
      </c>
      <c r="N3527" s="500">
        <v>43013538250000</v>
      </c>
      <c r="O3527" s="553" t="s">
        <v>651</v>
      </c>
      <c r="P3527" s="650" t="s">
        <v>4262</v>
      </c>
      <c r="Q3527" s="564"/>
      <c r="R3527" s="564">
        <v>1</v>
      </c>
    </row>
    <row r="3528" spans="1:18" x14ac:dyDescent="0.25">
      <c r="A3528" s="553">
        <v>36</v>
      </c>
      <c r="B3528" s="553">
        <v>2</v>
      </c>
      <c r="C3528" s="553">
        <v>2</v>
      </c>
      <c r="D3528" s="553">
        <v>2</v>
      </c>
      <c r="E3528" s="553">
        <v>2</v>
      </c>
      <c r="F3528" s="553">
        <v>2</v>
      </c>
      <c r="G3528" s="502" t="s">
        <v>488</v>
      </c>
      <c r="H3528" s="553">
        <v>1319.175</v>
      </c>
      <c r="I3528" s="553">
        <v>1</v>
      </c>
      <c r="J3528" s="553">
        <v>2</v>
      </c>
      <c r="K3528" s="553">
        <v>50</v>
      </c>
      <c r="L3528" s="553">
        <v>4</v>
      </c>
      <c r="M3528" s="505" t="s">
        <v>137</v>
      </c>
      <c r="N3528" s="500">
        <v>43013538250000</v>
      </c>
      <c r="O3528" s="553" t="s">
        <v>651</v>
      </c>
      <c r="P3528" s="650" t="s">
        <v>4263</v>
      </c>
      <c r="Q3528" s="564"/>
      <c r="R3528" s="564">
        <v>1</v>
      </c>
    </row>
    <row r="3529" spans="1:18" x14ac:dyDescent="0.25">
      <c r="A3529" s="553">
        <v>36</v>
      </c>
      <c r="B3529" s="553">
        <v>2</v>
      </c>
      <c r="C3529" s="553">
        <v>2</v>
      </c>
      <c r="D3529" s="553">
        <v>2</v>
      </c>
      <c r="E3529" s="553">
        <v>2</v>
      </c>
      <c r="F3529" s="553">
        <v>2</v>
      </c>
      <c r="G3529" s="553" t="s">
        <v>490</v>
      </c>
      <c r="H3529" s="553">
        <v>1320.65</v>
      </c>
      <c r="I3529" s="553">
        <v>1</v>
      </c>
      <c r="J3529" s="553">
        <v>2</v>
      </c>
      <c r="K3529" s="553">
        <v>27</v>
      </c>
      <c r="L3529" s="553">
        <v>4</v>
      </c>
      <c r="M3529" s="505" t="s">
        <v>137</v>
      </c>
      <c r="N3529" s="500">
        <v>43013538250000</v>
      </c>
      <c r="O3529" s="553" t="s">
        <v>651</v>
      </c>
      <c r="P3529" s="650" t="s">
        <v>4264</v>
      </c>
      <c r="Q3529" s="564"/>
      <c r="R3529" s="564">
        <v>1</v>
      </c>
    </row>
    <row r="3530" spans="1:18" x14ac:dyDescent="0.25">
      <c r="A3530" s="553">
        <v>36</v>
      </c>
      <c r="B3530" s="553">
        <v>2</v>
      </c>
      <c r="C3530" s="553">
        <v>2</v>
      </c>
      <c r="D3530" s="553">
        <v>2</v>
      </c>
      <c r="E3530" s="553">
        <v>2</v>
      </c>
      <c r="F3530" s="553">
        <v>2</v>
      </c>
      <c r="G3530" s="553" t="s">
        <v>493</v>
      </c>
      <c r="H3530" s="553">
        <v>1320.65</v>
      </c>
      <c r="I3530" s="553">
        <v>1</v>
      </c>
      <c r="J3530" s="553">
        <v>2</v>
      </c>
      <c r="K3530" s="553">
        <v>27</v>
      </c>
      <c r="L3530" s="553">
        <v>4</v>
      </c>
      <c r="M3530" s="505" t="s">
        <v>137</v>
      </c>
      <c r="N3530" s="500">
        <v>43013538250000</v>
      </c>
      <c r="O3530" s="553" t="s">
        <v>651</v>
      </c>
      <c r="P3530" s="650" t="s">
        <v>4265</v>
      </c>
      <c r="Q3530" s="564"/>
      <c r="R3530" s="564">
        <v>1</v>
      </c>
    </row>
    <row r="3531" spans="1:18" x14ac:dyDescent="0.25">
      <c r="A3531" s="553">
        <v>36</v>
      </c>
      <c r="B3531" s="553">
        <v>2</v>
      </c>
      <c r="C3531" s="553">
        <v>2</v>
      </c>
      <c r="D3531" s="553">
        <v>2</v>
      </c>
      <c r="E3531" s="553">
        <v>2</v>
      </c>
      <c r="F3531" s="553">
        <v>2</v>
      </c>
      <c r="G3531" s="553" t="s">
        <v>474</v>
      </c>
      <c r="H3531" s="553">
        <v>1319.23</v>
      </c>
      <c r="I3531" s="553">
        <v>88</v>
      </c>
      <c r="J3531" s="553">
        <v>43</v>
      </c>
      <c r="K3531" s="553">
        <v>52</v>
      </c>
      <c r="L3531" s="553">
        <v>4</v>
      </c>
      <c r="M3531" s="505" t="s">
        <v>137</v>
      </c>
      <c r="N3531" s="500">
        <v>43013538250000</v>
      </c>
      <c r="O3531" s="553" t="s">
        <v>651</v>
      </c>
      <c r="P3531" s="650" t="s">
        <v>4266</v>
      </c>
      <c r="Q3531" s="564"/>
      <c r="R3531" s="564">
        <v>1</v>
      </c>
    </row>
    <row r="3532" spans="1:18" x14ac:dyDescent="0.25">
      <c r="A3532" s="553">
        <v>36</v>
      </c>
      <c r="B3532" s="553">
        <v>2</v>
      </c>
      <c r="C3532" s="553">
        <v>2</v>
      </c>
      <c r="D3532" s="553">
        <v>2</v>
      </c>
      <c r="E3532" s="553">
        <v>2</v>
      </c>
      <c r="F3532" s="553">
        <v>2</v>
      </c>
      <c r="G3532" s="502" t="s">
        <v>477</v>
      </c>
      <c r="H3532" s="553">
        <v>1319.23</v>
      </c>
      <c r="I3532" s="553">
        <v>88</v>
      </c>
      <c r="J3532" s="553">
        <v>43</v>
      </c>
      <c r="K3532" s="553">
        <v>52</v>
      </c>
      <c r="L3532" s="553">
        <v>4</v>
      </c>
      <c r="M3532" s="505" t="s">
        <v>137</v>
      </c>
      <c r="N3532" s="500">
        <v>43013538250000</v>
      </c>
      <c r="O3532" s="553" t="s">
        <v>651</v>
      </c>
      <c r="P3532" s="650" t="s">
        <v>4267</v>
      </c>
      <c r="Q3532" s="564"/>
      <c r="R3532" s="564">
        <v>1</v>
      </c>
    </row>
    <row r="3533" spans="1:18" x14ac:dyDescent="0.25">
      <c r="A3533" s="553">
        <v>36</v>
      </c>
      <c r="B3533" s="553">
        <v>2</v>
      </c>
      <c r="C3533" s="553">
        <v>2</v>
      </c>
      <c r="D3533" s="553">
        <v>2</v>
      </c>
      <c r="E3533" s="553">
        <v>2</v>
      </c>
      <c r="F3533" s="553">
        <v>2</v>
      </c>
      <c r="G3533" s="553" t="s">
        <v>479</v>
      </c>
      <c r="H3533" s="553">
        <v>1306.18</v>
      </c>
      <c r="I3533" s="553">
        <v>88</v>
      </c>
      <c r="J3533" s="553">
        <v>43</v>
      </c>
      <c r="K3533" s="553">
        <v>4</v>
      </c>
      <c r="L3533" s="553">
        <v>4</v>
      </c>
      <c r="M3533" s="505" t="s">
        <v>137</v>
      </c>
      <c r="N3533" s="500">
        <v>43013538250000</v>
      </c>
      <c r="O3533" s="553" t="s">
        <v>651</v>
      </c>
      <c r="P3533" s="650" t="s">
        <v>4268</v>
      </c>
      <c r="Q3533" s="564"/>
      <c r="R3533" s="564">
        <v>1</v>
      </c>
    </row>
    <row r="3534" spans="1:18" x14ac:dyDescent="0.25">
      <c r="A3534" s="553">
        <v>36</v>
      </c>
      <c r="B3534" s="553">
        <v>2</v>
      </c>
      <c r="C3534" s="553">
        <v>2</v>
      </c>
      <c r="D3534" s="553">
        <v>2</v>
      </c>
      <c r="E3534" s="553">
        <v>2</v>
      </c>
      <c r="F3534" s="553">
        <v>2</v>
      </c>
      <c r="G3534" s="553" t="s">
        <v>485</v>
      </c>
      <c r="H3534" s="553">
        <v>1306.18</v>
      </c>
      <c r="I3534" s="553">
        <v>88</v>
      </c>
      <c r="J3534" s="553">
        <v>43</v>
      </c>
      <c r="K3534" s="553">
        <v>4</v>
      </c>
      <c r="L3534" s="553">
        <v>4</v>
      </c>
      <c r="M3534" s="505" t="s">
        <v>137</v>
      </c>
      <c r="N3534" s="500">
        <v>43013538250000</v>
      </c>
      <c r="O3534" s="553" t="s">
        <v>651</v>
      </c>
      <c r="P3534" s="650" t="s">
        <v>4269</v>
      </c>
      <c r="Q3534" s="564"/>
      <c r="R3534" s="564">
        <v>1</v>
      </c>
    </row>
    <row r="3535" spans="1:18" x14ac:dyDescent="0.25">
      <c r="A3535" s="553">
        <v>36</v>
      </c>
      <c r="B3535" s="553">
        <v>2</v>
      </c>
      <c r="C3535" s="553">
        <v>2</v>
      </c>
      <c r="D3535" s="553">
        <v>2</v>
      </c>
      <c r="E3535" s="553">
        <v>2</v>
      </c>
      <c r="F3535" s="553">
        <v>2</v>
      </c>
      <c r="G3535" s="553" t="s">
        <v>487</v>
      </c>
      <c r="H3535" s="553">
        <v>1325.34</v>
      </c>
      <c r="I3535" s="553">
        <v>88</v>
      </c>
      <c r="J3535" s="553">
        <v>59</v>
      </c>
      <c r="K3535" s="553">
        <v>29</v>
      </c>
      <c r="L3535" s="553">
        <v>3</v>
      </c>
      <c r="M3535" s="505" t="s">
        <v>137</v>
      </c>
      <c r="N3535" s="500">
        <v>43013538250000</v>
      </c>
      <c r="O3535" s="553" t="s">
        <v>651</v>
      </c>
      <c r="P3535" s="650" t="s">
        <v>4270</v>
      </c>
      <c r="Q3535" s="564"/>
      <c r="R3535" s="564">
        <v>1</v>
      </c>
    </row>
    <row r="3536" spans="1:18" x14ac:dyDescent="0.25">
      <c r="A3536" s="553">
        <v>36</v>
      </c>
      <c r="B3536" s="553">
        <v>2</v>
      </c>
      <c r="C3536" s="553">
        <v>2</v>
      </c>
      <c r="D3536" s="553">
        <v>2</v>
      </c>
      <c r="E3536" s="553">
        <v>2</v>
      </c>
      <c r="F3536" s="553">
        <v>2</v>
      </c>
      <c r="G3536" s="502" t="s">
        <v>489</v>
      </c>
      <c r="H3536" s="553">
        <v>1325.34</v>
      </c>
      <c r="I3536" s="553">
        <v>88</v>
      </c>
      <c r="J3536" s="553">
        <v>59</v>
      </c>
      <c r="K3536" s="553">
        <v>29</v>
      </c>
      <c r="L3536" s="553">
        <v>3</v>
      </c>
      <c r="M3536" s="505" t="s">
        <v>137</v>
      </c>
      <c r="N3536" s="500">
        <v>43013538250000</v>
      </c>
      <c r="O3536" s="508" t="s">
        <v>651</v>
      </c>
      <c r="P3536" s="650" t="s">
        <v>4271</v>
      </c>
      <c r="Q3536" s="564"/>
      <c r="R3536" s="564">
        <v>1</v>
      </c>
    </row>
    <row r="3537" spans="1:18" x14ac:dyDescent="0.25">
      <c r="A3537" s="553">
        <v>36</v>
      </c>
      <c r="B3537" s="553">
        <v>2</v>
      </c>
      <c r="C3537" s="553">
        <v>2</v>
      </c>
      <c r="D3537" s="553">
        <v>2</v>
      </c>
      <c r="E3537" s="553">
        <v>2</v>
      </c>
      <c r="F3537" s="553">
        <v>2</v>
      </c>
      <c r="G3537" s="553" t="s">
        <v>491</v>
      </c>
      <c r="H3537" s="553">
        <v>1316.15</v>
      </c>
      <c r="I3537" s="553">
        <v>89</v>
      </c>
      <c r="J3537" s="553">
        <v>12</v>
      </c>
      <c r="K3537" s="553">
        <v>42</v>
      </c>
      <c r="L3537" s="553">
        <v>3</v>
      </c>
      <c r="M3537" s="505" t="s">
        <v>137</v>
      </c>
      <c r="N3537" s="500">
        <v>43013538250000</v>
      </c>
      <c r="O3537" s="508" t="s">
        <v>651</v>
      </c>
      <c r="P3537" s="650" t="s">
        <v>4272</v>
      </c>
      <c r="Q3537" s="564"/>
      <c r="R3537" s="564">
        <v>1</v>
      </c>
    </row>
    <row r="3538" spans="1:18" x14ac:dyDescent="0.25">
      <c r="A3538" s="553">
        <v>36</v>
      </c>
      <c r="B3538" s="553">
        <v>2</v>
      </c>
      <c r="C3538" s="553">
        <v>2</v>
      </c>
      <c r="D3538" s="553">
        <v>2</v>
      </c>
      <c r="E3538" s="553">
        <v>2</v>
      </c>
      <c r="F3538" s="553">
        <v>2</v>
      </c>
      <c r="G3538" s="553" t="s">
        <v>494</v>
      </c>
      <c r="H3538" s="553">
        <v>1317.29</v>
      </c>
      <c r="I3538" s="553">
        <v>88</v>
      </c>
      <c r="J3538" s="553">
        <v>26</v>
      </c>
      <c r="K3538" s="553">
        <v>37</v>
      </c>
      <c r="L3538" s="553">
        <v>3</v>
      </c>
      <c r="M3538" s="505" t="s">
        <v>137</v>
      </c>
      <c r="N3538" s="500">
        <v>43013538250000</v>
      </c>
      <c r="O3538" s="508" t="s">
        <v>651</v>
      </c>
      <c r="P3538" s="650" t="s">
        <v>4273</v>
      </c>
      <c r="Q3538" s="564"/>
      <c r="R3538" s="564">
        <v>1</v>
      </c>
    </row>
    <row r="3539" spans="1:18" s="484" customFormat="1" x14ac:dyDescent="0.25">
      <c r="A3539" s="553">
        <v>36</v>
      </c>
      <c r="B3539" s="553">
        <v>3</v>
      </c>
      <c r="C3539" s="553">
        <v>2</v>
      </c>
      <c r="D3539" s="553">
        <v>1</v>
      </c>
      <c r="E3539" s="553">
        <v>2</v>
      </c>
      <c r="F3539" s="553">
        <v>2</v>
      </c>
      <c r="G3539" s="553" t="s">
        <v>473</v>
      </c>
      <c r="H3539" s="553">
        <v>1324.32</v>
      </c>
      <c r="I3539" s="553">
        <v>0</v>
      </c>
      <c r="J3539" s="553">
        <v>11</v>
      </c>
      <c r="K3539" s="553">
        <v>39</v>
      </c>
      <c r="L3539" s="553">
        <v>3</v>
      </c>
      <c r="M3539" s="505" t="s">
        <v>137</v>
      </c>
      <c r="N3539" s="500">
        <v>43047562840000</v>
      </c>
      <c r="O3539" s="508" t="s">
        <v>3234</v>
      </c>
      <c r="P3539" s="650" t="s">
        <v>4274</v>
      </c>
      <c r="Q3539" s="564"/>
      <c r="R3539" s="564">
        <v>2</v>
      </c>
    </row>
    <row r="3540" spans="1:18" s="484" customFormat="1" x14ac:dyDescent="0.25">
      <c r="A3540" s="553">
        <v>36</v>
      </c>
      <c r="B3540" s="553">
        <v>3</v>
      </c>
      <c r="C3540" s="553">
        <v>2</v>
      </c>
      <c r="D3540" s="553">
        <v>1</v>
      </c>
      <c r="E3540" s="553">
        <v>2</v>
      </c>
      <c r="F3540" s="553">
        <v>2</v>
      </c>
      <c r="G3540" s="502" t="s">
        <v>476</v>
      </c>
      <c r="H3540" s="553">
        <v>1325.25</v>
      </c>
      <c r="I3540" s="553">
        <v>0</v>
      </c>
      <c r="J3540" s="553">
        <v>11</v>
      </c>
      <c r="K3540" s="553">
        <v>39</v>
      </c>
      <c r="L3540" s="553">
        <v>3</v>
      </c>
      <c r="M3540" s="505" t="s">
        <v>137</v>
      </c>
      <c r="N3540" s="500">
        <v>43047562840000</v>
      </c>
      <c r="O3540" s="508" t="s">
        <v>3234</v>
      </c>
      <c r="P3540" s="650" t="s">
        <v>4275</v>
      </c>
      <c r="Q3540" s="564"/>
      <c r="R3540" s="564">
        <v>2</v>
      </c>
    </row>
    <row r="3541" spans="1:18" s="484" customFormat="1" x14ac:dyDescent="0.25">
      <c r="A3541" s="553">
        <v>36</v>
      </c>
      <c r="B3541" s="553">
        <v>3</v>
      </c>
      <c r="C3541" s="553">
        <v>2</v>
      </c>
      <c r="D3541" s="553">
        <v>1</v>
      </c>
      <c r="E3541" s="553">
        <v>2</v>
      </c>
      <c r="F3541" s="553">
        <v>2</v>
      </c>
      <c r="G3541" s="553" t="s">
        <v>478</v>
      </c>
      <c r="H3541" s="553">
        <v>1339</v>
      </c>
      <c r="I3541" s="553">
        <v>0</v>
      </c>
      <c r="J3541" s="553">
        <v>16</v>
      </c>
      <c r="K3541" s="553">
        <v>39</v>
      </c>
      <c r="L3541" s="553">
        <v>3</v>
      </c>
      <c r="M3541" s="505" t="s">
        <v>137</v>
      </c>
      <c r="N3541" s="500">
        <v>43047562840000</v>
      </c>
      <c r="O3541" s="508" t="s">
        <v>3234</v>
      </c>
      <c r="P3541" s="650" t="s">
        <v>4276</v>
      </c>
      <c r="Q3541" s="564"/>
      <c r="R3541" s="564">
        <v>2</v>
      </c>
    </row>
    <row r="3542" spans="1:18" s="484" customFormat="1" x14ac:dyDescent="0.25">
      <c r="A3542" s="553">
        <v>36</v>
      </c>
      <c r="B3542" s="553">
        <v>3</v>
      </c>
      <c r="C3542" s="553">
        <v>2</v>
      </c>
      <c r="D3542" s="553">
        <v>1</v>
      </c>
      <c r="E3542" s="553">
        <v>2</v>
      </c>
      <c r="F3542" s="553">
        <v>2</v>
      </c>
      <c r="G3542" s="553" t="s">
        <v>484</v>
      </c>
      <c r="H3542" s="553">
        <v>1336.18</v>
      </c>
      <c r="I3542" s="553">
        <v>0</v>
      </c>
      <c r="J3542" s="553">
        <v>16</v>
      </c>
      <c r="K3542" s="553">
        <v>37</v>
      </c>
      <c r="L3542" s="553">
        <v>3</v>
      </c>
      <c r="M3542" s="505" t="s">
        <v>137</v>
      </c>
      <c r="N3542" s="500">
        <v>43047562840000</v>
      </c>
      <c r="O3542" s="508" t="s">
        <v>3234</v>
      </c>
      <c r="P3542" s="650" t="s">
        <v>4277</v>
      </c>
      <c r="Q3542" s="564"/>
      <c r="R3542" s="564">
        <v>2</v>
      </c>
    </row>
    <row r="3543" spans="1:18" s="484" customFormat="1" x14ac:dyDescent="0.25">
      <c r="A3543" s="553">
        <v>36</v>
      </c>
      <c r="B3543" s="553">
        <v>3</v>
      </c>
      <c r="C3543" s="553">
        <v>2</v>
      </c>
      <c r="D3543" s="553">
        <v>1</v>
      </c>
      <c r="E3543" s="553">
        <v>2</v>
      </c>
      <c r="F3543" s="553">
        <v>2</v>
      </c>
      <c r="G3543" s="553" t="s">
        <v>486</v>
      </c>
      <c r="H3543" s="553">
        <v>1328.26</v>
      </c>
      <c r="I3543" s="553">
        <v>0</v>
      </c>
      <c r="J3543" s="553">
        <v>15</v>
      </c>
      <c r="K3543" s="553">
        <v>52</v>
      </c>
      <c r="L3543" s="553">
        <v>3</v>
      </c>
      <c r="M3543" s="505" t="s">
        <v>137</v>
      </c>
      <c r="N3543" s="500">
        <v>43047562840000</v>
      </c>
      <c r="O3543" s="508" t="s">
        <v>3234</v>
      </c>
      <c r="P3543" s="650" t="s">
        <v>4278</v>
      </c>
      <c r="Q3543" s="564"/>
      <c r="R3543" s="564">
        <v>2</v>
      </c>
    </row>
    <row r="3544" spans="1:18" s="484" customFormat="1" x14ac:dyDescent="0.25">
      <c r="A3544" s="553">
        <v>36</v>
      </c>
      <c r="B3544" s="553">
        <v>3</v>
      </c>
      <c r="C3544" s="553">
        <v>2</v>
      </c>
      <c r="D3544" s="553">
        <v>1</v>
      </c>
      <c r="E3544" s="553">
        <v>2</v>
      </c>
      <c r="F3544" s="553">
        <v>2</v>
      </c>
      <c r="G3544" s="502" t="s">
        <v>488</v>
      </c>
      <c r="H3544" s="553">
        <v>1322.85</v>
      </c>
      <c r="I3544" s="553">
        <v>0</v>
      </c>
      <c r="J3544" s="553">
        <v>0</v>
      </c>
      <c r="K3544" s="553">
        <v>5</v>
      </c>
      <c r="L3544" s="553">
        <v>3</v>
      </c>
      <c r="M3544" s="505" t="s">
        <v>137</v>
      </c>
      <c r="N3544" s="500">
        <v>43047562840000</v>
      </c>
      <c r="O3544" s="508" t="s">
        <v>3234</v>
      </c>
      <c r="P3544" s="650" t="s">
        <v>4279</v>
      </c>
      <c r="Q3544" s="564"/>
      <c r="R3544" s="564">
        <v>2</v>
      </c>
    </row>
    <row r="3545" spans="1:18" s="484" customFormat="1" x14ac:dyDescent="0.25">
      <c r="A3545" s="553">
        <v>36</v>
      </c>
      <c r="B3545" s="553">
        <v>3</v>
      </c>
      <c r="C3545" s="553">
        <v>2</v>
      </c>
      <c r="D3545" s="553">
        <v>1</v>
      </c>
      <c r="E3545" s="553">
        <v>2</v>
      </c>
      <c r="F3545" s="553">
        <v>2</v>
      </c>
      <c r="G3545" s="553" t="s">
        <v>490</v>
      </c>
      <c r="H3545" s="553">
        <v>1324.9</v>
      </c>
      <c r="I3545" s="553">
        <v>0</v>
      </c>
      <c r="J3545" s="553">
        <v>3</v>
      </c>
      <c r="K3545" s="553">
        <v>36</v>
      </c>
      <c r="L3545" s="553">
        <v>1</v>
      </c>
      <c r="M3545" s="505" t="s">
        <v>137</v>
      </c>
      <c r="N3545" s="500">
        <v>43047562840000</v>
      </c>
      <c r="O3545" s="508" t="s">
        <v>3234</v>
      </c>
      <c r="P3545" s="650" t="s">
        <v>4280</v>
      </c>
      <c r="Q3545" s="564"/>
      <c r="R3545" s="564">
        <v>2</v>
      </c>
    </row>
    <row r="3546" spans="1:18" s="484" customFormat="1" x14ac:dyDescent="0.25">
      <c r="A3546" s="553">
        <v>36</v>
      </c>
      <c r="B3546" s="553">
        <v>3</v>
      </c>
      <c r="C3546" s="553">
        <v>2</v>
      </c>
      <c r="D3546" s="553">
        <v>1</v>
      </c>
      <c r="E3546" s="553">
        <v>2</v>
      </c>
      <c r="F3546" s="553">
        <v>2</v>
      </c>
      <c r="G3546" s="553" t="s">
        <v>493</v>
      </c>
      <c r="H3546" s="553">
        <v>1374.7</v>
      </c>
      <c r="I3546" s="553">
        <v>0</v>
      </c>
      <c r="J3546" s="553">
        <v>2</v>
      </c>
      <c r="K3546" s="553">
        <v>15</v>
      </c>
      <c r="L3546" s="553">
        <v>1</v>
      </c>
      <c r="M3546" s="505" t="s">
        <v>137</v>
      </c>
      <c r="N3546" s="500">
        <v>43047562840000</v>
      </c>
      <c r="O3546" s="508" t="s">
        <v>3234</v>
      </c>
      <c r="P3546" s="650" t="s">
        <v>4281</v>
      </c>
      <c r="Q3546" s="564"/>
      <c r="R3546" s="564">
        <v>2</v>
      </c>
    </row>
    <row r="3547" spans="1:18" s="484" customFormat="1" x14ac:dyDescent="0.25">
      <c r="A3547" s="553">
        <v>36</v>
      </c>
      <c r="B3547" s="553">
        <v>3</v>
      </c>
      <c r="C3547" s="553">
        <v>2</v>
      </c>
      <c r="D3547" s="553">
        <v>1</v>
      </c>
      <c r="E3547" s="553">
        <v>2</v>
      </c>
      <c r="F3547" s="553">
        <v>2</v>
      </c>
      <c r="G3547" s="553" t="s">
        <v>474</v>
      </c>
      <c r="H3547" s="553">
        <v>1317.46</v>
      </c>
      <c r="I3547" s="553">
        <v>89</v>
      </c>
      <c r="J3547" s="553">
        <v>45</v>
      </c>
      <c r="K3547" s="553">
        <v>51</v>
      </c>
      <c r="L3547" s="553">
        <v>4</v>
      </c>
      <c r="M3547" s="505" t="s">
        <v>137</v>
      </c>
      <c r="N3547" s="500">
        <v>43047562840000</v>
      </c>
      <c r="O3547" s="508" t="s">
        <v>3234</v>
      </c>
      <c r="P3547" s="650" t="s">
        <v>4282</v>
      </c>
      <c r="Q3547" s="564"/>
      <c r="R3547" s="564">
        <v>2</v>
      </c>
    </row>
    <row r="3548" spans="1:18" s="484" customFormat="1" x14ac:dyDescent="0.25">
      <c r="A3548" s="553">
        <v>36</v>
      </c>
      <c r="B3548" s="553">
        <v>3</v>
      </c>
      <c r="C3548" s="553">
        <v>2</v>
      </c>
      <c r="D3548" s="553">
        <v>1</v>
      </c>
      <c r="E3548" s="553">
        <v>2</v>
      </c>
      <c r="F3548" s="553">
        <v>2</v>
      </c>
      <c r="G3548" s="502" t="s">
        <v>477</v>
      </c>
      <c r="H3548" s="553">
        <v>1317.46</v>
      </c>
      <c r="I3548" s="553">
        <v>89</v>
      </c>
      <c r="J3548" s="553">
        <v>45</v>
      </c>
      <c r="K3548" s="553">
        <v>51</v>
      </c>
      <c r="L3548" s="553">
        <v>4</v>
      </c>
      <c r="M3548" s="505" t="s">
        <v>137</v>
      </c>
      <c r="N3548" s="500">
        <v>43047562840000</v>
      </c>
      <c r="O3548" s="508" t="s">
        <v>3234</v>
      </c>
      <c r="P3548" s="650" t="s">
        <v>4283</v>
      </c>
      <c r="Q3548" s="564"/>
      <c r="R3548" s="564">
        <v>2</v>
      </c>
    </row>
    <row r="3549" spans="1:18" s="484" customFormat="1" x14ac:dyDescent="0.25">
      <c r="A3549" s="553">
        <v>36</v>
      </c>
      <c r="B3549" s="553">
        <v>3</v>
      </c>
      <c r="C3549" s="553">
        <v>2</v>
      </c>
      <c r="D3549" s="553">
        <v>1</v>
      </c>
      <c r="E3549" s="553">
        <v>2</v>
      </c>
      <c r="F3549" s="553">
        <v>2</v>
      </c>
      <c r="G3549" s="553" t="s">
        <v>479</v>
      </c>
      <c r="H3549" s="553">
        <v>1317.46</v>
      </c>
      <c r="I3549" s="553">
        <v>89</v>
      </c>
      <c r="J3549" s="553">
        <v>45</v>
      </c>
      <c r="K3549" s="553">
        <v>51</v>
      </c>
      <c r="L3549" s="553">
        <v>4</v>
      </c>
      <c r="M3549" s="505" t="s">
        <v>137</v>
      </c>
      <c r="N3549" s="500">
        <v>43047562840000</v>
      </c>
      <c r="O3549" s="508" t="s">
        <v>3234</v>
      </c>
      <c r="P3549" s="650" t="s">
        <v>4284</v>
      </c>
      <c r="Q3549" s="564"/>
      <c r="R3549" s="564">
        <v>2</v>
      </c>
    </row>
    <row r="3550" spans="1:18" s="484" customFormat="1" x14ac:dyDescent="0.25">
      <c r="A3550" s="553">
        <v>36</v>
      </c>
      <c r="B3550" s="553">
        <v>3</v>
      </c>
      <c r="C3550" s="553">
        <v>2</v>
      </c>
      <c r="D3550" s="553">
        <v>1</v>
      </c>
      <c r="E3550" s="553">
        <v>2</v>
      </c>
      <c r="F3550" s="553">
        <v>2</v>
      </c>
      <c r="G3550" s="553" t="s">
        <v>485</v>
      </c>
      <c r="H3550" s="553">
        <v>1317.46</v>
      </c>
      <c r="I3550" s="553">
        <v>89</v>
      </c>
      <c r="J3550" s="553">
        <v>45</v>
      </c>
      <c r="K3550" s="553">
        <v>51</v>
      </c>
      <c r="L3550" s="553">
        <v>4</v>
      </c>
      <c r="M3550" s="505" t="s">
        <v>137</v>
      </c>
      <c r="N3550" s="500">
        <v>43047562840000</v>
      </c>
      <c r="O3550" s="508" t="s">
        <v>3234</v>
      </c>
      <c r="P3550" s="650" t="s">
        <v>4285</v>
      </c>
      <c r="Q3550" s="564"/>
      <c r="R3550" s="564">
        <v>2</v>
      </c>
    </row>
    <row r="3551" spans="1:18" s="484" customFormat="1" x14ac:dyDescent="0.25">
      <c r="A3551" s="553">
        <v>36</v>
      </c>
      <c r="B3551" s="553">
        <v>3</v>
      </c>
      <c r="C3551" s="553">
        <v>2</v>
      </c>
      <c r="D3551" s="553">
        <v>1</v>
      </c>
      <c r="E3551" s="553">
        <v>2</v>
      </c>
      <c r="F3551" s="553">
        <v>2</v>
      </c>
      <c r="G3551" s="553" t="s">
        <v>487</v>
      </c>
      <c r="H3551" s="553">
        <v>1328.62</v>
      </c>
      <c r="I3551" s="553">
        <v>89</v>
      </c>
      <c r="J3551" s="553">
        <v>33</v>
      </c>
      <c r="K3551" s="553">
        <v>48</v>
      </c>
      <c r="L3551" s="553">
        <v>1</v>
      </c>
      <c r="M3551" s="505" t="s">
        <v>137</v>
      </c>
      <c r="N3551" s="500">
        <v>43047562840000</v>
      </c>
      <c r="O3551" s="508" t="s">
        <v>3234</v>
      </c>
      <c r="P3551" s="650" t="s">
        <v>4286</v>
      </c>
      <c r="Q3551" s="564"/>
      <c r="R3551" s="564">
        <v>2</v>
      </c>
    </row>
    <row r="3552" spans="1:18" s="484" customFormat="1" x14ac:dyDescent="0.25">
      <c r="A3552" s="553">
        <v>36</v>
      </c>
      <c r="B3552" s="553">
        <v>3</v>
      </c>
      <c r="C3552" s="553">
        <v>2</v>
      </c>
      <c r="D3552" s="553">
        <v>1</v>
      </c>
      <c r="E3552" s="553">
        <v>2</v>
      </c>
      <c r="F3552" s="553">
        <v>2</v>
      </c>
      <c r="G3552" s="502" t="s">
        <v>489</v>
      </c>
      <c r="H3552" s="553">
        <v>1328.62</v>
      </c>
      <c r="I3552" s="553">
        <v>89</v>
      </c>
      <c r="J3552" s="553">
        <v>33</v>
      </c>
      <c r="K3552" s="553">
        <v>48</v>
      </c>
      <c r="L3552" s="553">
        <v>1</v>
      </c>
      <c r="M3552" s="505" t="s">
        <v>137</v>
      </c>
      <c r="N3552" s="500">
        <v>43047562840000</v>
      </c>
      <c r="O3552" s="553" t="s">
        <v>3234</v>
      </c>
      <c r="P3552" s="650" t="s">
        <v>4287</v>
      </c>
      <c r="Q3552" s="564"/>
      <c r="R3552" s="564">
        <v>2</v>
      </c>
    </row>
    <row r="3553" spans="1:18" s="484" customFormat="1" x14ac:dyDescent="0.25">
      <c r="A3553" s="553">
        <v>36</v>
      </c>
      <c r="B3553" s="553">
        <v>3</v>
      </c>
      <c r="C3553" s="553">
        <v>2</v>
      </c>
      <c r="D3553" s="553">
        <v>1</v>
      </c>
      <c r="E3553" s="553">
        <v>2</v>
      </c>
      <c r="F3553" s="553">
        <v>2</v>
      </c>
      <c r="G3553" s="553" t="s">
        <v>491</v>
      </c>
      <c r="H3553" s="553">
        <v>1315.42</v>
      </c>
      <c r="I3553" s="553">
        <v>89</v>
      </c>
      <c r="J3553" s="553">
        <v>24</v>
      </c>
      <c r="K3553" s="553">
        <v>8</v>
      </c>
      <c r="L3553" s="553">
        <v>1</v>
      </c>
      <c r="M3553" s="505" t="s">
        <v>137</v>
      </c>
      <c r="N3553" s="500">
        <v>43047562840000</v>
      </c>
      <c r="O3553" s="553" t="s">
        <v>3234</v>
      </c>
      <c r="P3553" s="650" t="s">
        <v>4288</v>
      </c>
      <c r="Q3553" s="564"/>
      <c r="R3553" s="564">
        <v>2</v>
      </c>
    </row>
    <row r="3554" spans="1:18" s="484" customFormat="1" x14ac:dyDescent="0.25">
      <c r="A3554" s="553">
        <v>36</v>
      </c>
      <c r="B3554" s="553">
        <v>3</v>
      </c>
      <c r="C3554" s="553">
        <v>2</v>
      </c>
      <c r="D3554" s="553">
        <v>1</v>
      </c>
      <c r="E3554" s="553">
        <v>2</v>
      </c>
      <c r="F3554" s="553">
        <v>2</v>
      </c>
      <c r="G3554" s="553" t="s">
        <v>494</v>
      </c>
      <c r="H3554" s="553">
        <v>1315.42</v>
      </c>
      <c r="I3554" s="553">
        <v>89</v>
      </c>
      <c r="J3554" s="553">
        <v>24</v>
      </c>
      <c r="K3554" s="553">
        <v>8</v>
      </c>
      <c r="L3554" s="553">
        <v>1</v>
      </c>
      <c r="M3554" s="505" t="s">
        <v>137</v>
      </c>
      <c r="N3554" s="500">
        <v>43047562840000</v>
      </c>
      <c r="O3554" s="553" t="s">
        <v>3234</v>
      </c>
      <c r="P3554" s="650" t="s">
        <v>4289</v>
      </c>
      <c r="Q3554" s="564"/>
      <c r="R3554" s="564">
        <v>2</v>
      </c>
    </row>
    <row r="3555" spans="1:18" x14ac:dyDescent="0.25">
      <c r="A3555" s="553">
        <v>36</v>
      </c>
      <c r="B3555" s="553">
        <v>3</v>
      </c>
      <c r="C3555" s="553">
        <v>2</v>
      </c>
      <c r="D3555" s="553">
        <v>2</v>
      </c>
      <c r="E3555" s="553">
        <v>2</v>
      </c>
      <c r="F3555" s="553">
        <v>2</v>
      </c>
      <c r="G3555" s="553" t="s">
        <v>473</v>
      </c>
      <c r="H3555" s="553">
        <v>1319.7474999999999</v>
      </c>
      <c r="I3555" s="553">
        <v>0</v>
      </c>
      <c r="J3555" s="553">
        <v>12</v>
      </c>
      <c r="K3555" s="553">
        <v>17</v>
      </c>
      <c r="L3555" s="553">
        <v>1</v>
      </c>
      <c r="M3555" s="505" t="s">
        <v>137</v>
      </c>
      <c r="N3555" s="500">
        <v>43013537270000</v>
      </c>
      <c r="O3555" s="553" t="s">
        <v>3052</v>
      </c>
      <c r="P3555" s="650" t="s">
        <v>4290</v>
      </c>
      <c r="Q3555" s="564"/>
      <c r="R3555" s="564">
        <v>1</v>
      </c>
    </row>
    <row r="3556" spans="1:18" x14ac:dyDescent="0.25">
      <c r="A3556" s="553">
        <v>36</v>
      </c>
      <c r="B3556" s="553">
        <v>3</v>
      </c>
      <c r="C3556" s="553">
        <v>2</v>
      </c>
      <c r="D3556" s="553">
        <v>2</v>
      </c>
      <c r="E3556" s="553">
        <v>2</v>
      </c>
      <c r="F3556" s="553">
        <v>2</v>
      </c>
      <c r="G3556" s="502" t="s">
        <v>476</v>
      </c>
      <c r="H3556" s="553">
        <v>1319.7474999999999</v>
      </c>
      <c r="I3556" s="553">
        <v>0</v>
      </c>
      <c r="J3556" s="553">
        <v>12</v>
      </c>
      <c r="K3556" s="553">
        <v>17</v>
      </c>
      <c r="L3556" s="553">
        <v>1</v>
      </c>
      <c r="M3556" s="505" t="s">
        <v>137</v>
      </c>
      <c r="N3556" s="500">
        <v>43013537270000</v>
      </c>
      <c r="O3556" s="553" t="s">
        <v>3052</v>
      </c>
      <c r="P3556" s="650" t="s">
        <v>4291</v>
      </c>
      <c r="Q3556" s="564"/>
      <c r="R3556" s="564">
        <v>1</v>
      </c>
    </row>
    <row r="3557" spans="1:18" x14ac:dyDescent="0.25">
      <c r="A3557" s="553">
        <v>36</v>
      </c>
      <c r="B3557" s="553">
        <v>3</v>
      </c>
      <c r="C3557" s="553">
        <v>2</v>
      </c>
      <c r="D3557" s="553">
        <v>2</v>
      </c>
      <c r="E3557" s="553">
        <v>2</v>
      </c>
      <c r="F3557" s="553">
        <v>2</v>
      </c>
      <c r="G3557" s="553" t="s">
        <v>478</v>
      </c>
      <c r="H3557" s="553">
        <v>1319.7474999999999</v>
      </c>
      <c r="I3557" s="553">
        <v>0</v>
      </c>
      <c r="J3557" s="553">
        <v>12</v>
      </c>
      <c r="K3557" s="553">
        <v>17</v>
      </c>
      <c r="L3557" s="553">
        <v>1</v>
      </c>
      <c r="M3557" s="505" t="s">
        <v>137</v>
      </c>
      <c r="N3557" s="500">
        <v>43013537270000</v>
      </c>
      <c r="O3557" s="553" t="s">
        <v>3052</v>
      </c>
      <c r="P3557" s="650" t="s">
        <v>4292</v>
      </c>
      <c r="Q3557" s="564"/>
      <c r="R3557" s="564">
        <v>1</v>
      </c>
    </row>
    <row r="3558" spans="1:18" x14ac:dyDescent="0.25">
      <c r="A3558" s="553">
        <v>36</v>
      </c>
      <c r="B3558" s="553">
        <v>3</v>
      </c>
      <c r="C3558" s="553">
        <v>2</v>
      </c>
      <c r="D3558" s="553">
        <v>2</v>
      </c>
      <c r="E3558" s="553">
        <v>2</v>
      </c>
      <c r="F3558" s="553">
        <v>2</v>
      </c>
      <c r="G3558" s="553" t="s">
        <v>484</v>
      </c>
      <c r="H3558" s="553">
        <v>1319.7474999999999</v>
      </c>
      <c r="I3558" s="553">
        <v>0</v>
      </c>
      <c r="J3558" s="553">
        <v>12</v>
      </c>
      <c r="K3558" s="553">
        <v>17</v>
      </c>
      <c r="L3558" s="553">
        <v>1</v>
      </c>
      <c r="M3558" s="505" t="s">
        <v>137</v>
      </c>
      <c r="N3558" s="500">
        <v>43013537270000</v>
      </c>
      <c r="O3558" s="553" t="s">
        <v>3052</v>
      </c>
      <c r="P3558" s="650" t="s">
        <v>4293</v>
      </c>
      <c r="Q3558" s="564"/>
      <c r="R3558" s="564">
        <v>1</v>
      </c>
    </row>
    <row r="3559" spans="1:18" x14ac:dyDescent="0.25">
      <c r="A3559" s="553">
        <v>36</v>
      </c>
      <c r="B3559" s="553">
        <v>3</v>
      </c>
      <c r="C3559" s="553">
        <v>2</v>
      </c>
      <c r="D3559" s="553">
        <v>2</v>
      </c>
      <c r="E3559" s="553">
        <v>2</v>
      </c>
      <c r="F3559" s="553">
        <v>2</v>
      </c>
      <c r="G3559" s="553" t="s">
        <v>486</v>
      </c>
      <c r="H3559" s="553">
        <v>1345.41</v>
      </c>
      <c r="I3559" s="553">
        <v>0</v>
      </c>
      <c r="J3559" s="553">
        <v>35</v>
      </c>
      <c r="K3559" s="553">
        <v>15</v>
      </c>
      <c r="L3559" s="553">
        <v>4</v>
      </c>
      <c r="M3559" s="505" t="s">
        <v>137</v>
      </c>
      <c r="N3559" s="500">
        <v>43013537270000</v>
      </c>
      <c r="O3559" s="553" t="s">
        <v>3052</v>
      </c>
      <c r="P3559" s="650" t="s">
        <v>4294</v>
      </c>
      <c r="Q3559" s="564"/>
      <c r="R3559" s="564">
        <v>1</v>
      </c>
    </row>
    <row r="3560" spans="1:18" x14ac:dyDescent="0.25">
      <c r="A3560" s="553">
        <v>36</v>
      </c>
      <c r="B3560" s="553">
        <v>3</v>
      </c>
      <c r="C3560" s="553">
        <v>2</v>
      </c>
      <c r="D3560" s="553">
        <v>2</v>
      </c>
      <c r="E3560" s="553">
        <v>2</v>
      </c>
      <c r="F3560" s="553">
        <v>2</v>
      </c>
      <c r="G3560" s="502" t="s">
        <v>488</v>
      </c>
      <c r="H3560" s="553">
        <v>1321.92</v>
      </c>
      <c r="I3560" s="553">
        <v>0</v>
      </c>
      <c r="J3560" s="553">
        <v>22</v>
      </c>
      <c r="K3560" s="553">
        <v>45</v>
      </c>
      <c r="L3560" s="553">
        <v>4</v>
      </c>
      <c r="M3560" s="505" t="s">
        <v>137</v>
      </c>
      <c r="N3560" s="500">
        <v>43013537270000</v>
      </c>
      <c r="O3560" s="553" t="s">
        <v>3052</v>
      </c>
      <c r="P3560" s="650" t="s">
        <v>4295</v>
      </c>
      <c r="Q3560" s="564"/>
      <c r="R3560" s="564">
        <v>1</v>
      </c>
    </row>
    <row r="3561" spans="1:18" x14ac:dyDescent="0.25">
      <c r="A3561" s="553">
        <v>36</v>
      </c>
      <c r="B3561" s="553">
        <v>3</v>
      </c>
      <c r="C3561" s="553">
        <v>2</v>
      </c>
      <c r="D3561" s="553">
        <v>2</v>
      </c>
      <c r="E3561" s="553">
        <v>2</v>
      </c>
      <c r="F3561" s="553">
        <v>2</v>
      </c>
      <c r="G3561" s="553" t="s">
        <v>490</v>
      </c>
      <c r="H3561" s="553">
        <v>1320</v>
      </c>
      <c r="I3561" s="553">
        <v>0</v>
      </c>
      <c r="J3561" s="553">
        <v>22</v>
      </c>
      <c r="K3561" s="553">
        <v>45</v>
      </c>
      <c r="L3561" s="553">
        <v>0</v>
      </c>
      <c r="M3561" s="505" t="s">
        <v>137</v>
      </c>
      <c r="N3561" s="500">
        <v>43013537270000</v>
      </c>
      <c r="O3561" s="553" t="s">
        <v>3052</v>
      </c>
      <c r="P3561" s="650" t="s">
        <v>4296</v>
      </c>
      <c r="Q3561" s="564"/>
      <c r="R3561" s="564">
        <v>1</v>
      </c>
    </row>
    <row r="3562" spans="1:18" x14ac:dyDescent="0.25">
      <c r="A3562" s="553">
        <v>36</v>
      </c>
      <c r="B3562" s="553">
        <v>3</v>
      </c>
      <c r="C3562" s="553">
        <v>2</v>
      </c>
      <c r="D3562" s="553">
        <v>2</v>
      </c>
      <c r="E3562" s="553">
        <v>2</v>
      </c>
      <c r="F3562" s="553">
        <v>2</v>
      </c>
      <c r="G3562" s="553" t="s">
        <v>493</v>
      </c>
      <c r="H3562" s="553">
        <v>1320</v>
      </c>
      <c r="I3562" s="553">
        <v>0</v>
      </c>
      <c r="J3562" s="553">
        <v>22</v>
      </c>
      <c r="K3562" s="553">
        <v>45</v>
      </c>
      <c r="L3562" s="553">
        <v>0</v>
      </c>
      <c r="M3562" s="505" t="s">
        <v>137</v>
      </c>
      <c r="N3562" s="500">
        <v>43013537270000</v>
      </c>
      <c r="O3562" s="553" t="s">
        <v>3052</v>
      </c>
      <c r="P3562" s="650" t="s">
        <v>4297</v>
      </c>
      <c r="Q3562" s="564"/>
      <c r="R3562" s="564">
        <v>1</v>
      </c>
    </row>
    <row r="3563" spans="1:18" x14ac:dyDescent="0.25">
      <c r="A3563" s="553">
        <v>36</v>
      </c>
      <c r="B3563" s="553">
        <v>3</v>
      </c>
      <c r="C3563" s="553">
        <v>2</v>
      </c>
      <c r="D3563" s="553">
        <v>2</v>
      </c>
      <c r="E3563" s="553">
        <v>2</v>
      </c>
      <c r="F3563" s="553">
        <v>2</v>
      </c>
      <c r="G3563" s="553" t="s">
        <v>474</v>
      </c>
      <c r="H3563" s="553">
        <v>1321.7</v>
      </c>
      <c r="I3563" s="553">
        <v>89</v>
      </c>
      <c r="J3563" s="553">
        <v>39</v>
      </c>
      <c r="K3563" s="553">
        <v>44</v>
      </c>
      <c r="L3563" s="553">
        <v>3</v>
      </c>
      <c r="M3563" s="505" t="s">
        <v>137</v>
      </c>
      <c r="N3563" s="500">
        <v>43013537270000</v>
      </c>
      <c r="O3563" s="553" t="s">
        <v>3052</v>
      </c>
      <c r="P3563" s="650" t="s">
        <v>4298</v>
      </c>
      <c r="Q3563" s="564"/>
      <c r="R3563" s="564">
        <v>1</v>
      </c>
    </row>
    <row r="3564" spans="1:18" x14ac:dyDescent="0.25">
      <c r="A3564" s="553">
        <v>36</v>
      </c>
      <c r="B3564" s="553">
        <v>3</v>
      </c>
      <c r="C3564" s="553">
        <v>2</v>
      </c>
      <c r="D3564" s="553">
        <v>2</v>
      </c>
      <c r="E3564" s="553">
        <v>2</v>
      </c>
      <c r="F3564" s="553">
        <v>2</v>
      </c>
      <c r="G3564" s="502" t="s">
        <v>477</v>
      </c>
      <c r="H3564" s="553">
        <v>1321.7</v>
      </c>
      <c r="I3564" s="553">
        <v>89</v>
      </c>
      <c r="J3564" s="553">
        <v>39</v>
      </c>
      <c r="K3564" s="553">
        <v>44</v>
      </c>
      <c r="L3564" s="553">
        <v>3</v>
      </c>
      <c r="M3564" s="505" t="s">
        <v>137</v>
      </c>
      <c r="N3564" s="500">
        <v>43013537270000</v>
      </c>
      <c r="O3564" s="553" t="s">
        <v>3052</v>
      </c>
      <c r="P3564" s="650" t="s">
        <v>4299</v>
      </c>
      <c r="Q3564" s="564"/>
      <c r="R3564" s="564">
        <v>1</v>
      </c>
    </row>
    <row r="3565" spans="1:18" x14ac:dyDescent="0.25">
      <c r="A3565" s="553">
        <v>36</v>
      </c>
      <c r="B3565" s="553">
        <v>3</v>
      </c>
      <c r="C3565" s="553">
        <v>2</v>
      </c>
      <c r="D3565" s="553">
        <v>2</v>
      </c>
      <c r="E3565" s="553">
        <v>2</v>
      </c>
      <c r="F3565" s="553">
        <v>2</v>
      </c>
      <c r="G3565" s="553" t="s">
        <v>479</v>
      </c>
      <c r="H3565" s="553">
        <v>1319.95</v>
      </c>
      <c r="I3565" s="553">
        <v>89</v>
      </c>
      <c r="J3565" s="553">
        <v>42</v>
      </c>
      <c r="K3565" s="553">
        <v>22</v>
      </c>
      <c r="L3565" s="553">
        <v>3</v>
      </c>
      <c r="M3565" s="505" t="s">
        <v>137</v>
      </c>
      <c r="N3565" s="500">
        <v>43013537270000</v>
      </c>
      <c r="O3565" s="553" t="s">
        <v>3052</v>
      </c>
      <c r="P3565" s="650" t="s">
        <v>4300</v>
      </c>
      <c r="Q3565" s="564"/>
      <c r="R3565" s="564">
        <v>1</v>
      </c>
    </row>
    <row r="3566" spans="1:18" x14ac:dyDescent="0.25">
      <c r="A3566" s="553">
        <v>36</v>
      </c>
      <c r="B3566" s="553">
        <v>3</v>
      </c>
      <c r="C3566" s="553">
        <v>2</v>
      </c>
      <c r="D3566" s="553">
        <v>2</v>
      </c>
      <c r="E3566" s="553">
        <v>2</v>
      </c>
      <c r="F3566" s="553">
        <v>2</v>
      </c>
      <c r="G3566" s="553" t="s">
        <v>485</v>
      </c>
      <c r="H3566" s="553">
        <v>1321.29</v>
      </c>
      <c r="I3566" s="553">
        <v>89</v>
      </c>
      <c r="J3566" s="553">
        <v>42</v>
      </c>
      <c r="K3566" s="553">
        <v>28</v>
      </c>
      <c r="L3566" s="553">
        <v>3</v>
      </c>
      <c r="M3566" s="505" t="s">
        <v>137</v>
      </c>
      <c r="N3566" s="500">
        <v>43013537270000</v>
      </c>
      <c r="O3566" s="553" t="s">
        <v>3052</v>
      </c>
      <c r="P3566" s="650" t="s">
        <v>4301</v>
      </c>
      <c r="Q3566" s="564"/>
      <c r="R3566" s="564">
        <v>1</v>
      </c>
    </row>
    <row r="3567" spans="1:18" x14ac:dyDescent="0.25">
      <c r="A3567" s="553">
        <v>36</v>
      </c>
      <c r="B3567" s="553">
        <v>3</v>
      </c>
      <c r="C3567" s="553">
        <v>2</v>
      </c>
      <c r="D3567" s="553">
        <v>2</v>
      </c>
      <c r="E3567" s="553">
        <v>2</v>
      </c>
      <c r="F3567" s="553">
        <v>2</v>
      </c>
      <c r="G3567" s="553" t="s">
        <v>487</v>
      </c>
      <c r="H3567" s="553">
        <v>1332.01</v>
      </c>
      <c r="I3567" s="553">
        <v>89</v>
      </c>
      <c r="J3567" s="553">
        <v>43</v>
      </c>
      <c r="K3567" s="553">
        <v>52</v>
      </c>
      <c r="L3567" s="553">
        <v>3</v>
      </c>
      <c r="M3567" s="505" t="s">
        <v>137</v>
      </c>
      <c r="N3567" s="500">
        <v>43013537270000</v>
      </c>
      <c r="O3567" s="553" t="s">
        <v>3052</v>
      </c>
      <c r="P3567" s="650" t="s">
        <v>4302</v>
      </c>
      <c r="Q3567" s="564"/>
      <c r="R3567" s="564">
        <v>1</v>
      </c>
    </row>
    <row r="3568" spans="1:18" x14ac:dyDescent="0.25">
      <c r="A3568" s="553">
        <v>36</v>
      </c>
      <c r="B3568" s="553">
        <v>3</v>
      </c>
      <c r="C3568" s="553">
        <v>2</v>
      </c>
      <c r="D3568" s="553">
        <v>2</v>
      </c>
      <c r="E3568" s="553">
        <v>2</v>
      </c>
      <c r="F3568" s="553">
        <v>2</v>
      </c>
      <c r="G3568" s="502" t="s">
        <v>489</v>
      </c>
      <c r="H3568" s="553">
        <v>1332.01</v>
      </c>
      <c r="I3568" s="553">
        <v>89</v>
      </c>
      <c r="J3568" s="553">
        <v>43</v>
      </c>
      <c r="K3568" s="553">
        <v>52</v>
      </c>
      <c r="L3568" s="553">
        <v>3</v>
      </c>
      <c r="M3568" s="505" t="s">
        <v>137</v>
      </c>
      <c r="N3568" s="500">
        <v>43013537270000</v>
      </c>
      <c r="O3568" s="553" t="s">
        <v>3052</v>
      </c>
      <c r="P3568" s="650" t="s">
        <v>4303</v>
      </c>
      <c r="Q3568" s="564"/>
      <c r="R3568" s="564">
        <v>1</v>
      </c>
    </row>
    <row r="3569" spans="1:18" x14ac:dyDescent="0.25">
      <c r="A3569" s="553">
        <v>36</v>
      </c>
      <c r="B3569" s="553">
        <v>3</v>
      </c>
      <c r="C3569" s="553">
        <v>2</v>
      </c>
      <c r="D3569" s="553">
        <v>2</v>
      </c>
      <c r="E3569" s="553">
        <v>2</v>
      </c>
      <c r="F3569" s="553">
        <v>2</v>
      </c>
      <c r="G3569" s="553" t="s">
        <v>491</v>
      </c>
      <c r="H3569" s="553">
        <v>1320</v>
      </c>
      <c r="I3569" s="553">
        <v>89</v>
      </c>
      <c r="J3569" s="553">
        <v>43</v>
      </c>
      <c r="K3569" s="553">
        <v>52</v>
      </c>
      <c r="L3569" s="553">
        <v>3</v>
      </c>
      <c r="M3569" s="505" t="s">
        <v>137</v>
      </c>
      <c r="N3569" s="500">
        <v>43013537270000</v>
      </c>
      <c r="O3569" s="553" t="s">
        <v>3052</v>
      </c>
      <c r="P3569" s="650" t="s">
        <v>4304</v>
      </c>
      <c r="Q3569" s="564"/>
      <c r="R3569" s="564">
        <v>1</v>
      </c>
    </row>
    <row r="3570" spans="1:18" x14ac:dyDescent="0.25">
      <c r="A3570" s="553">
        <v>36</v>
      </c>
      <c r="B3570" s="553">
        <v>3</v>
      </c>
      <c r="C3570" s="553">
        <v>2</v>
      </c>
      <c r="D3570" s="553">
        <v>2</v>
      </c>
      <c r="E3570" s="553">
        <v>2</v>
      </c>
      <c r="F3570" s="553">
        <v>2</v>
      </c>
      <c r="G3570" s="553" t="s">
        <v>494</v>
      </c>
      <c r="H3570" s="553">
        <v>1320</v>
      </c>
      <c r="I3570" s="553">
        <v>89</v>
      </c>
      <c r="J3570" s="553">
        <v>43</v>
      </c>
      <c r="K3570" s="553">
        <v>52</v>
      </c>
      <c r="L3570" s="553">
        <v>3</v>
      </c>
      <c r="M3570" s="505" t="s">
        <v>137</v>
      </c>
      <c r="N3570" s="500">
        <v>43013537270000</v>
      </c>
      <c r="O3570" s="553" t="s">
        <v>3052</v>
      </c>
      <c r="P3570" s="650" t="s">
        <v>4305</v>
      </c>
      <c r="Q3570" s="564"/>
      <c r="R3570" s="564">
        <v>1</v>
      </c>
    </row>
    <row r="3571" spans="1:18" s="484" customFormat="1" x14ac:dyDescent="0.25">
      <c r="A3571" s="553">
        <v>36</v>
      </c>
      <c r="B3571" s="553">
        <v>4</v>
      </c>
      <c r="C3571" s="553">
        <v>2</v>
      </c>
      <c r="D3571" s="553">
        <v>4</v>
      </c>
      <c r="E3571" s="553">
        <v>2</v>
      </c>
      <c r="F3571" s="553">
        <v>2</v>
      </c>
      <c r="G3571" s="553" t="s">
        <v>473</v>
      </c>
      <c r="H3571" s="553">
        <v>1352.5525</v>
      </c>
      <c r="I3571" s="553">
        <v>0</v>
      </c>
      <c r="J3571" s="553">
        <v>48</v>
      </c>
      <c r="K3571" s="553">
        <v>13</v>
      </c>
      <c r="L3571" s="553">
        <v>1</v>
      </c>
      <c r="M3571" s="505" t="s">
        <v>137</v>
      </c>
      <c r="N3571" s="500">
        <v>43013539220000</v>
      </c>
      <c r="O3571" s="553" t="s">
        <v>3267</v>
      </c>
      <c r="P3571" s="650" t="s">
        <v>4306</v>
      </c>
      <c r="Q3571" s="564"/>
      <c r="R3571" s="564">
        <v>2</v>
      </c>
    </row>
    <row r="3572" spans="1:18" s="484" customFormat="1" x14ac:dyDescent="0.25">
      <c r="A3572" s="553">
        <v>36</v>
      </c>
      <c r="B3572" s="553">
        <v>4</v>
      </c>
      <c r="C3572" s="553">
        <v>2</v>
      </c>
      <c r="D3572" s="553">
        <v>4</v>
      </c>
      <c r="E3572" s="553">
        <v>2</v>
      </c>
      <c r="F3572" s="553">
        <v>2</v>
      </c>
      <c r="G3572" s="502" t="s">
        <v>476</v>
      </c>
      <c r="H3572" s="553">
        <v>1352.5525</v>
      </c>
      <c r="I3572" s="553">
        <v>0</v>
      </c>
      <c r="J3572" s="553">
        <v>48</v>
      </c>
      <c r="K3572" s="553">
        <v>13</v>
      </c>
      <c r="L3572" s="553">
        <v>1</v>
      </c>
      <c r="M3572" s="505" t="s">
        <v>137</v>
      </c>
      <c r="N3572" s="500">
        <v>43013539220000</v>
      </c>
      <c r="O3572" s="553" t="s">
        <v>3267</v>
      </c>
      <c r="P3572" s="650" t="s">
        <v>4307</v>
      </c>
      <c r="Q3572" s="564"/>
      <c r="R3572" s="564">
        <v>2</v>
      </c>
    </row>
    <row r="3573" spans="1:18" s="484" customFormat="1" x14ac:dyDescent="0.25">
      <c r="A3573" s="553">
        <v>36</v>
      </c>
      <c r="B3573" s="553">
        <v>4</v>
      </c>
      <c r="C3573" s="553">
        <v>2</v>
      </c>
      <c r="D3573" s="553">
        <v>4</v>
      </c>
      <c r="E3573" s="553">
        <v>2</v>
      </c>
      <c r="F3573" s="553">
        <v>2</v>
      </c>
      <c r="G3573" s="553" t="s">
        <v>478</v>
      </c>
      <c r="H3573" s="553">
        <v>1352.5525</v>
      </c>
      <c r="I3573" s="553">
        <v>0</v>
      </c>
      <c r="J3573" s="553">
        <v>48</v>
      </c>
      <c r="K3573" s="553">
        <v>13</v>
      </c>
      <c r="L3573" s="553">
        <v>1</v>
      </c>
      <c r="M3573" s="505" t="s">
        <v>137</v>
      </c>
      <c r="N3573" s="500">
        <v>43013539220000</v>
      </c>
      <c r="O3573" s="553" t="s">
        <v>3267</v>
      </c>
      <c r="P3573" s="650" t="s">
        <v>4308</v>
      </c>
      <c r="Q3573" s="564"/>
      <c r="R3573" s="564">
        <v>2</v>
      </c>
    </row>
    <row r="3574" spans="1:18" s="484" customFormat="1" x14ac:dyDescent="0.25">
      <c r="A3574" s="553">
        <v>36</v>
      </c>
      <c r="B3574" s="553">
        <v>4</v>
      </c>
      <c r="C3574" s="553">
        <v>2</v>
      </c>
      <c r="D3574" s="553">
        <v>4</v>
      </c>
      <c r="E3574" s="553">
        <v>2</v>
      </c>
      <c r="F3574" s="553">
        <v>2</v>
      </c>
      <c r="G3574" s="553" t="s">
        <v>484</v>
      </c>
      <c r="H3574" s="553">
        <v>1352.5525</v>
      </c>
      <c r="I3574" s="553">
        <v>0</v>
      </c>
      <c r="J3574" s="553">
        <v>48</v>
      </c>
      <c r="K3574" s="553">
        <v>13</v>
      </c>
      <c r="L3574" s="553">
        <v>1</v>
      </c>
      <c r="M3574" s="505" t="s">
        <v>137</v>
      </c>
      <c r="N3574" s="500">
        <v>43013539220000</v>
      </c>
      <c r="O3574" s="553" t="s">
        <v>3267</v>
      </c>
      <c r="P3574" s="650" t="s">
        <v>4309</v>
      </c>
      <c r="Q3574" s="564"/>
      <c r="R3574" s="564">
        <v>2</v>
      </c>
    </row>
    <row r="3575" spans="1:18" s="484" customFormat="1" x14ac:dyDescent="0.25">
      <c r="A3575" s="553">
        <v>36</v>
      </c>
      <c r="B3575" s="553">
        <v>4</v>
      </c>
      <c r="C3575" s="553">
        <v>2</v>
      </c>
      <c r="D3575" s="553">
        <v>4</v>
      </c>
      <c r="E3575" s="553">
        <v>2</v>
      </c>
      <c r="F3575" s="553">
        <v>2</v>
      </c>
      <c r="G3575" s="553" t="s">
        <v>486</v>
      </c>
      <c r="H3575" s="553">
        <v>1315.8150000000001</v>
      </c>
      <c r="I3575" s="553">
        <v>0</v>
      </c>
      <c r="J3575" s="553">
        <v>0</v>
      </c>
      <c r="K3575" s="553">
        <v>56</v>
      </c>
      <c r="L3575" s="553">
        <v>4</v>
      </c>
      <c r="M3575" s="505" t="s">
        <v>137</v>
      </c>
      <c r="N3575" s="500">
        <v>43013539220000</v>
      </c>
      <c r="O3575" s="553" t="s">
        <v>3267</v>
      </c>
      <c r="P3575" s="650" t="s">
        <v>4310</v>
      </c>
      <c r="Q3575" s="564"/>
      <c r="R3575" s="564">
        <v>2</v>
      </c>
    </row>
    <row r="3576" spans="1:18" s="484" customFormat="1" x14ac:dyDescent="0.25">
      <c r="A3576" s="553">
        <v>36</v>
      </c>
      <c r="B3576" s="553">
        <v>4</v>
      </c>
      <c r="C3576" s="553">
        <v>2</v>
      </c>
      <c r="D3576" s="553">
        <v>4</v>
      </c>
      <c r="E3576" s="553">
        <v>2</v>
      </c>
      <c r="F3576" s="553">
        <v>2</v>
      </c>
      <c r="G3576" s="502" t="s">
        <v>488</v>
      </c>
      <c r="H3576" s="553">
        <v>1315.8150000000001</v>
      </c>
      <c r="I3576" s="553">
        <v>0</v>
      </c>
      <c r="J3576" s="553">
        <v>0</v>
      </c>
      <c r="K3576" s="553">
        <v>56</v>
      </c>
      <c r="L3576" s="553">
        <v>4</v>
      </c>
      <c r="M3576" s="505" t="s">
        <v>137</v>
      </c>
      <c r="N3576" s="500">
        <v>43013539220000</v>
      </c>
      <c r="O3576" s="553" t="s">
        <v>3267</v>
      </c>
      <c r="P3576" s="650" t="s">
        <v>4311</v>
      </c>
      <c r="Q3576" s="564"/>
      <c r="R3576" s="564">
        <v>2</v>
      </c>
    </row>
    <row r="3577" spans="1:18" s="484" customFormat="1" x14ac:dyDescent="0.25">
      <c r="A3577" s="553">
        <v>36</v>
      </c>
      <c r="B3577" s="553">
        <v>4</v>
      </c>
      <c r="C3577" s="553">
        <v>2</v>
      </c>
      <c r="D3577" s="553">
        <v>4</v>
      </c>
      <c r="E3577" s="553">
        <v>2</v>
      </c>
      <c r="F3577" s="553">
        <v>2</v>
      </c>
      <c r="G3577" s="553" t="s">
        <v>490</v>
      </c>
      <c r="H3577" s="553">
        <v>1319.855</v>
      </c>
      <c r="I3577" s="553">
        <v>0</v>
      </c>
      <c r="J3577" s="553">
        <v>18</v>
      </c>
      <c r="K3577" s="553">
        <v>31</v>
      </c>
      <c r="L3577" s="553">
        <v>4</v>
      </c>
      <c r="M3577" s="505" t="s">
        <v>137</v>
      </c>
      <c r="N3577" s="500">
        <v>43013539220000</v>
      </c>
      <c r="O3577" s="553" t="s">
        <v>3267</v>
      </c>
      <c r="P3577" s="650" t="s">
        <v>4312</v>
      </c>
      <c r="Q3577" s="564"/>
      <c r="R3577" s="564">
        <v>2</v>
      </c>
    </row>
    <row r="3578" spans="1:18" s="484" customFormat="1" x14ac:dyDescent="0.25">
      <c r="A3578" s="553">
        <v>36</v>
      </c>
      <c r="B3578" s="553">
        <v>4</v>
      </c>
      <c r="C3578" s="553">
        <v>2</v>
      </c>
      <c r="D3578" s="553">
        <v>4</v>
      </c>
      <c r="E3578" s="553">
        <v>2</v>
      </c>
      <c r="F3578" s="553">
        <v>2</v>
      </c>
      <c r="G3578" s="553" t="s">
        <v>493</v>
      </c>
      <c r="H3578" s="553">
        <v>1319.855</v>
      </c>
      <c r="I3578" s="553">
        <v>0</v>
      </c>
      <c r="J3578" s="553">
        <v>18</v>
      </c>
      <c r="K3578" s="553">
        <v>31</v>
      </c>
      <c r="L3578" s="553">
        <v>4</v>
      </c>
      <c r="M3578" s="505" t="s">
        <v>137</v>
      </c>
      <c r="N3578" s="500">
        <v>43013539220000</v>
      </c>
      <c r="O3578" s="553" t="s">
        <v>3267</v>
      </c>
      <c r="P3578" s="650" t="s">
        <v>4313</v>
      </c>
      <c r="Q3578" s="564"/>
      <c r="R3578" s="564">
        <v>2</v>
      </c>
    </row>
    <row r="3579" spans="1:18" s="484" customFormat="1" x14ac:dyDescent="0.25">
      <c r="A3579" s="553">
        <v>36</v>
      </c>
      <c r="B3579" s="553">
        <v>4</v>
      </c>
      <c r="C3579" s="553">
        <v>2</v>
      </c>
      <c r="D3579" s="553">
        <v>4</v>
      </c>
      <c r="E3579" s="553">
        <v>2</v>
      </c>
      <c r="F3579" s="553">
        <v>2</v>
      </c>
      <c r="G3579" s="553" t="s">
        <v>474</v>
      </c>
      <c r="H3579" s="553">
        <v>1329.64</v>
      </c>
      <c r="I3579" s="553">
        <v>89</v>
      </c>
      <c r="J3579" s="553">
        <v>54</v>
      </c>
      <c r="K3579" s="553">
        <v>40</v>
      </c>
      <c r="L3579" s="553">
        <v>2</v>
      </c>
      <c r="M3579" s="505" t="s">
        <v>137</v>
      </c>
      <c r="N3579" s="500">
        <v>43013539220000</v>
      </c>
      <c r="O3579" s="553" t="s">
        <v>3267</v>
      </c>
      <c r="P3579" s="650" t="s">
        <v>4314</v>
      </c>
      <c r="Q3579" s="564"/>
      <c r="R3579" s="564">
        <v>2</v>
      </c>
    </row>
    <row r="3580" spans="1:18" s="484" customFormat="1" x14ac:dyDescent="0.25">
      <c r="A3580" s="553">
        <v>36</v>
      </c>
      <c r="B3580" s="553">
        <v>4</v>
      </c>
      <c r="C3580" s="553">
        <v>2</v>
      </c>
      <c r="D3580" s="553">
        <v>4</v>
      </c>
      <c r="E3580" s="553">
        <v>2</v>
      </c>
      <c r="F3580" s="553">
        <v>2</v>
      </c>
      <c r="G3580" s="502" t="s">
        <v>477</v>
      </c>
      <c r="H3580" s="553">
        <v>1329.64</v>
      </c>
      <c r="I3580" s="553">
        <v>89</v>
      </c>
      <c r="J3580" s="553">
        <v>54</v>
      </c>
      <c r="K3580" s="553">
        <v>40</v>
      </c>
      <c r="L3580" s="553">
        <v>2</v>
      </c>
      <c r="M3580" s="505" t="s">
        <v>137</v>
      </c>
      <c r="N3580" s="500">
        <v>43013539220000</v>
      </c>
      <c r="O3580" s="553" t="s">
        <v>3267</v>
      </c>
      <c r="P3580" s="650" t="s">
        <v>4315</v>
      </c>
      <c r="Q3580" s="564"/>
      <c r="R3580" s="564">
        <v>2</v>
      </c>
    </row>
    <row r="3581" spans="1:18" s="484" customFormat="1" x14ac:dyDescent="0.25">
      <c r="A3581" s="553">
        <v>36</v>
      </c>
      <c r="B3581" s="553">
        <v>4</v>
      </c>
      <c r="C3581" s="553">
        <v>2</v>
      </c>
      <c r="D3581" s="553">
        <v>4</v>
      </c>
      <c r="E3581" s="553">
        <v>2</v>
      </c>
      <c r="F3581" s="553">
        <v>2</v>
      </c>
      <c r="G3581" s="553" t="s">
        <v>479</v>
      </c>
      <c r="H3581" s="553">
        <v>1329.64</v>
      </c>
      <c r="I3581" s="553">
        <v>89</v>
      </c>
      <c r="J3581" s="553">
        <v>54</v>
      </c>
      <c r="K3581" s="553">
        <v>40</v>
      </c>
      <c r="L3581" s="553">
        <v>2</v>
      </c>
      <c r="M3581" s="505" t="s">
        <v>137</v>
      </c>
      <c r="N3581" s="500">
        <v>43013539220000</v>
      </c>
      <c r="O3581" s="553" t="s">
        <v>3267</v>
      </c>
      <c r="P3581" s="650" t="s">
        <v>4316</v>
      </c>
      <c r="Q3581" s="564"/>
      <c r="R3581" s="564">
        <v>2</v>
      </c>
    </row>
    <row r="3582" spans="1:18" s="484" customFormat="1" x14ac:dyDescent="0.25">
      <c r="A3582" s="553">
        <v>36</v>
      </c>
      <c r="B3582" s="553">
        <v>4</v>
      </c>
      <c r="C3582" s="553">
        <v>2</v>
      </c>
      <c r="D3582" s="553">
        <v>4</v>
      </c>
      <c r="E3582" s="553">
        <v>2</v>
      </c>
      <c r="F3582" s="553">
        <v>2</v>
      </c>
      <c r="G3582" s="553" t="s">
        <v>485</v>
      </c>
      <c r="H3582" s="553">
        <v>1329.64</v>
      </c>
      <c r="I3582" s="553">
        <v>89</v>
      </c>
      <c r="J3582" s="553">
        <v>54</v>
      </c>
      <c r="K3582" s="553">
        <v>40</v>
      </c>
      <c r="L3582" s="553">
        <v>2</v>
      </c>
      <c r="M3582" s="505" t="s">
        <v>137</v>
      </c>
      <c r="N3582" s="500">
        <v>43013539220000</v>
      </c>
      <c r="O3582" s="553" t="s">
        <v>3267</v>
      </c>
      <c r="P3582" s="650" t="s">
        <v>4317</v>
      </c>
      <c r="Q3582" s="564"/>
      <c r="R3582" s="564">
        <v>2</v>
      </c>
    </row>
    <row r="3583" spans="1:18" s="484" customFormat="1" x14ac:dyDescent="0.25">
      <c r="A3583" s="553">
        <v>36</v>
      </c>
      <c r="B3583" s="553">
        <v>4</v>
      </c>
      <c r="C3583" s="553">
        <v>2</v>
      </c>
      <c r="D3583" s="553">
        <v>4</v>
      </c>
      <c r="E3583" s="553">
        <v>2</v>
      </c>
      <c r="F3583" s="553">
        <v>2</v>
      </c>
      <c r="G3583" s="553" t="s">
        <v>487</v>
      </c>
      <c r="H3583" s="553">
        <v>1314.9075</v>
      </c>
      <c r="I3583" s="553">
        <v>88</v>
      </c>
      <c r="J3583" s="553">
        <v>24</v>
      </c>
      <c r="K3583" s="553">
        <v>10</v>
      </c>
      <c r="L3583" s="553">
        <v>2</v>
      </c>
      <c r="M3583" s="505" t="s">
        <v>137</v>
      </c>
      <c r="N3583" s="500">
        <v>43013539220000</v>
      </c>
      <c r="O3583" s="553" t="s">
        <v>3267</v>
      </c>
      <c r="P3583" s="650" t="s">
        <v>4318</v>
      </c>
      <c r="Q3583" s="564"/>
      <c r="R3583" s="564">
        <v>2</v>
      </c>
    </row>
    <row r="3584" spans="1:18" s="484" customFormat="1" x14ac:dyDescent="0.25">
      <c r="A3584" s="553">
        <v>36</v>
      </c>
      <c r="B3584" s="553">
        <v>4</v>
      </c>
      <c r="C3584" s="553">
        <v>2</v>
      </c>
      <c r="D3584" s="553">
        <v>4</v>
      </c>
      <c r="E3584" s="553">
        <v>2</v>
      </c>
      <c r="F3584" s="553">
        <v>2</v>
      </c>
      <c r="G3584" s="502" t="s">
        <v>489</v>
      </c>
      <c r="H3584" s="553">
        <v>1314.9075</v>
      </c>
      <c r="I3584" s="553">
        <v>88</v>
      </c>
      <c r="J3584" s="553">
        <v>24</v>
      </c>
      <c r="K3584" s="553">
        <v>10</v>
      </c>
      <c r="L3584" s="553">
        <v>2</v>
      </c>
      <c r="M3584" s="505" t="s">
        <v>137</v>
      </c>
      <c r="N3584" s="500">
        <v>43013539220000</v>
      </c>
      <c r="O3584" s="553" t="s">
        <v>3267</v>
      </c>
      <c r="P3584" s="515" t="s">
        <v>4319</v>
      </c>
      <c r="Q3584" s="564"/>
      <c r="R3584" s="564">
        <v>2</v>
      </c>
    </row>
    <row r="3585" spans="1:18" s="484" customFormat="1" x14ac:dyDescent="0.25">
      <c r="A3585" s="553">
        <v>36</v>
      </c>
      <c r="B3585" s="553">
        <v>4</v>
      </c>
      <c r="C3585" s="553">
        <v>2</v>
      </c>
      <c r="D3585" s="553">
        <v>4</v>
      </c>
      <c r="E3585" s="553">
        <v>2</v>
      </c>
      <c r="F3585" s="553">
        <v>2</v>
      </c>
      <c r="G3585" s="553" t="s">
        <v>491</v>
      </c>
      <c r="H3585" s="553">
        <v>1314.9075</v>
      </c>
      <c r="I3585" s="553">
        <v>88</v>
      </c>
      <c r="J3585" s="553">
        <v>24</v>
      </c>
      <c r="K3585" s="553">
        <v>10</v>
      </c>
      <c r="L3585" s="553">
        <v>2</v>
      </c>
      <c r="M3585" s="505" t="s">
        <v>137</v>
      </c>
      <c r="N3585" s="500">
        <v>43013539220000</v>
      </c>
      <c r="O3585" s="553" t="s">
        <v>3267</v>
      </c>
      <c r="P3585" s="516" t="s">
        <v>4320</v>
      </c>
      <c r="Q3585" s="564"/>
      <c r="R3585" s="564">
        <v>2</v>
      </c>
    </row>
    <row r="3586" spans="1:18" s="484" customFormat="1" x14ac:dyDescent="0.25">
      <c r="A3586" s="553">
        <v>36</v>
      </c>
      <c r="B3586" s="553">
        <v>4</v>
      </c>
      <c r="C3586" s="553">
        <v>2</v>
      </c>
      <c r="D3586" s="553">
        <v>4</v>
      </c>
      <c r="E3586" s="553">
        <v>2</v>
      </c>
      <c r="F3586" s="553">
        <v>2</v>
      </c>
      <c r="G3586" s="553" t="s">
        <v>494</v>
      </c>
      <c r="H3586" s="553">
        <v>1314.9075</v>
      </c>
      <c r="I3586" s="553">
        <v>88</v>
      </c>
      <c r="J3586" s="553">
        <v>24</v>
      </c>
      <c r="K3586" s="553">
        <v>10</v>
      </c>
      <c r="L3586" s="553">
        <v>2</v>
      </c>
      <c r="M3586" s="505" t="s">
        <v>137</v>
      </c>
      <c r="N3586" s="500">
        <v>43013539220000</v>
      </c>
      <c r="O3586" s="553" t="s">
        <v>3267</v>
      </c>
      <c r="P3586" s="516" t="s">
        <v>4321</v>
      </c>
      <c r="Q3586" s="564"/>
      <c r="R3586" s="564">
        <v>2</v>
      </c>
    </row>
    <row r="3587" spans="1:18" s="484" customFormat="1" x14ac:dyDescent="0.25">
      <c r="A3587" s="553">
        <v>36</v>
      </c>
      <c r="B3587" s="553">
        <v>5</v>
      </c>
      <c r="C3587" s="553">
        <v>2</v>
      </c>
      <c r="D3587" s="553">
        <v>6</v>
      </c>
      <c r="E3587" s="553">
        <v>2</v>
      </c>
      <c r="F3587" s="553">
        <v>2</v>
      </c>
      <c r="G3587" s="553" t="s">
        <v>473</v>
      </c>
      <c r="H3587" s="553">
        <v>1316.66</v>
      </c>
      <c r="I3587" s="517">
        <v>0</v>
      </c>
      <c r="J3587" s="553">
        <v>17</v>
      </c>
      <c r="K3587" s="553">
        <v>1</v>
      </c>
      <c r="L3587" s="553">
        <v>2</v>
      </c>
      <c r="M3587" s="505" t="s">
        <v>137</v>
      </c>
      <c r="N3587" s="500">
        <v>43013539620000</v>
      </c>
      <c r="O3587" s="553" t="s">
        <v>4322</v>
      </c>
      <c r="P3587" s="564" t="s">
        <v>4323</v>
      </c>
      <c r="Q3587" s="564"/>
      <c r="R3587" s="564">
        <v>1</v>
      </c>
    </row>
    <row r="3588" spans="1:18" s="484" customFormat="1" x14ac:dyDescent="0.25">
      <c r="A3588" s="553">
        <v>36</v>
      </c>
      <c r="B3588" s="553">
        <v>5</v>
      </c>
      <c r="C3588" s="553">
        <v>2</v>
      </c>
      <c r="D3588" s="553">
        <v>6</v>
      </c>
      <c r="E3588" s="553">
        <v>2</v>
      </c>
      <c r="F3588" s="553">
        <v>2</v>
      </c>
      <c r="G3588" s="502" t="s">
        <v>476</v>
      </c>
      <c r="H3588" s="553">
        <v>1316.66</v>
      </c>
      <c r="I3588" s="517">
        <v>0</v>
      </c>
      <c r="J3588" s="553">
        <v>17</v>
      </c>
      <c r="K3588" s="553">
        <v>1</v>
      </c>
      <c r="L3588" s="553">
        <v>2</v>
      </c>
      <c r="M3588" s="505" t="s">
        <v>137</v>
      </c>
      <c r="N3588" s="500">
        <v>43013539620000</v>
      </c>
      <c r="O3588" s="553" t="s">
        <v>4322</v>
      </c>
      <c r="P3588" s="564" t="s">
        <v>4324</v>
      </c>
      <c r="Q3588" s="564"/>
      <c r="R3588" s="564">
        <v>1</v>
      </c>
    </row>
    <row r="3589" spans="1:18" s="484" customFormat="1" x14ac:dyDescent="0.25">
      <c r="A3589" s="553">
        <v>36</v>
      </c>
      <c r="B3589" s="553">
        <v>5</v>
      </c>
      <c r="C3589" s="553">
        <v>2</v>
      </c>
      <c r="D3589" s="553">
        <v>6</v>
      </c>
      <c r="E3589" s="553">
        <v>2</v>
      </c>
      <c r="F3589" s="553">
        <v>2</v>
      </c>
      <c r="G3589" s="553" t="s">
        <v>478</v>
      </c>
      <c r="H3589" s="553">
        <v>1324.7149999999999</v>
      </c>
      <c r="I3589" s="517">
        <v>0</v>
      </c>
      <c r="J3589" s="553">
        <v>9</v>
      </c>
      <c r="K3589" s="553">
        <v>51</v>
      </c>
      <c r="L3589" s="553">
        <v>4</v>
      </c>
      <c r="M3589" s="505" t="s">
        <v>137</v>
      </c>
      <c r="N3589" s="500">
        <v>43013539620000</v>
      </c>
      <c r="O3589" s="553" t="s">
        <v>4322</v>
      </c>
      <c r="P3589" s="564" t="s">
        <v>4325</v>
      </c>
      <c r="Q3589" s="564"/>
      <c r="R3589" s="564">
        <v>1</v>
      </c>
    </row>
    <row r="3590" spans="1:18" s="484" customFormat="1" x14ac:dyDescent="0.25">
      <c r="A3590" s="553">
        <v>36</v>
      </c>
      <c r="B3590" s="553">
        <v>5</v>
      </c>
      <c r="C3590" s="553">
        <v>2</v>
      </c>
      <c r="D3590" s="553">
        <v>6</v>
      </c>
      <c r="E3590" s="553">
        <v>2</v>
      </c>
      <c r="F3590" s="553">
        <v>2</v>
      </c>
      <c r="G3590" s="553" t="s">
        <v>484</v>
      </c>
      <c r="H3590" s="553">
        <v>1324.7149999999999</v>
      </c>
      <c r="I3590" s="517">
        <v>0</v>
      </c>
      <c r="J3590" s="553">
        <v>9</v>
      </c>
      <c r="K3590" s="553">
        <v>51</v>
      </c>
      <c r="L3590" s="553">
        <v>4</v>
      </c>
      <c r="M3590" s="505" t="s">
        <v>137</v>
      </c>
      <c r="N3590" s="500">
        <v>43013539620000</v>
      </c>
      <c r="O3590" s="553" t="s">
        <v>4322</v>
      </c>
      <c r="P3590" s="564" t="s">
        <v>4326</v>
      </c>
      <c r="Q3590" s="564"/>
      <c r="R3590" s="564">
        <v>1</v>
      </c>
    </row>
    <row r="3591" spans="1:18" s="484" customFormat="1" x14ac:dyDescent="0.25">
      <c r="A3591" s="553">
        <v>36</v>
      </c>
      <c r="B3591" s="553">
        <v>5</v>
      </c>
      <c r="C3591" s="553">
        <v>2</v>
      </c>
      <c r="D3591" s="553">
        <v>6</v>
      </c>
      <c r="E3591" s="553">
        <v>2</v>
      </c>
      <c r="F3591" s="553">
        <v>2</v>
      </c>
      <c r="G3591" s="553" t="s">
        <v>486</v>
      </c>
      <c r="H3591" s="553">
        <v>1318.51</v>
      </c>
      <c r="I3591" s="517">
        <v>0</v>
      </c>
      <c r="J3591" s="553">
        <v>9</v>
      </c>
      <c r="K3591" s="553">
        <v>38</v>
      </c>
      <c r="L3591" s="553">
        <v>2</v>
      </c>
      <c r="M3591" s="505" t="s">
        <v>137</v>
      </c>
      <c r="N3591" s="500">
        <v>43013539620000</v>
      </c>
      <c r="O3591" s="553" t="s">
        <v>4322</v>
      </c>
      <c r="P3591" s="564" t="s">
        <v>4327</v>
      </c>
      <c r="Q3591" s="564"/>
      <c r="R3591" s="564">
        <v>1</v>
      </c>
    </row>
    <row r="3592" spans="1:18" s="484" customFormat="1" x14ac:dyDescent="0.25">
      <c r="A3592" s="553">
        <v>36</v>
      </c>
      <c r="B3592" s="553">
        <v>5</v>
      </c>
      <c r="C3592" s="553">
        <v>2</v>
      </c>
      <c r="D3592" s="553">
        <v>6</v>
      </c>
      <c r="E3592" s="553">
        <v>2</v>
      </c>
      <c r="F3592" s="553">
        <v>2</v>
      </c>
      <c r="G3592" s="502" t="s">
        <v>488</v>
      </c>
      <c r="H3592" s="553">
        <v>1318.51</v>
      </c>
      <c r="I3592" s="517">
        <v>0</v>
      </c>
      <c r="J3592" s="564">
        <v>9</v>
      </c>
      <c r="K3592" s="564">
        <v>38</v>
      </c>
      <c r="L3592" s="564">
        <v>2</v>
      </c>
      <c r="M3592" s="505" t="s">
        <v>137</v>
      </c>
      <c r="N3592" s="500">
        <v>43013539620000</v>
      </c>
      <c r="O3592" s="553" t="s">
        <v>4322</v>
      </c>
      <c r="P3592" s="564" t="s">
        <v>4328</v>
      </c>
      <c r="Q3592" s="564"/>
      <c r="R3592" s="564">
        <v>1</v>
      </c>
    </row>
    <row r="3593" spans="1:18" s="484" customFormat="1" x14ac:dyDescent="0.25">
      <c r="A3593" s="553">
        <v>36</v>
      </c>
      <c r="B3593" s="553">
        <v>5</v>
      </c>
      <c r="C3593" s="553">
        <v>2</v>
      </c>
      <c r="D3593" s="553">
        <v>6</v>
      </c>
      <c r="E3593" s="553">
        <v>2</v>
      </c>
      <c r="F3593" s="553">
        <v>2</v>
      </c>
      <c r="G3593" s="553" t="s">
        <v>490</v>
      </c>
      <c r="H3593" s="553">
        <v>1317.91</v>
      </c>
      <c r="I3593" s="517">
        <v>0</v>
      </c>
      <c r="J3593" s="553">
        <v>0</v>
      </c>
      <c r="K3593" s="553">
        <v>37</v>
      </c>
      <c r="L3593" s="553">
        <v>4</v>
      </c>
      <c r="M3593" s="505" t="s">
        <v>137</v>
      </c>
      <c r="N3593" s="500">
        <v>43013539620000</v>
      </c>
      <c r="O3593" s="553" t="s">
        <v>4322</v>
      </c>
      <c r="P3593" s="564" t="s">
        <v>4329</v>
      </c>
      <c r="Q3593" s="564"/>
      <c r="R3593" s="564">
        <v>1</v>
      </c>
    </row>
    <row r="3594" spans="1:18" s="484" customFormat="1" x14ac:dyDescent="0.25">
      <c r="A3594" s="553">
        <v>36</v>
      </c>
      <c r="B3594" s="553">
        <v>5</v>
      </c>
      <c r="C3594" s="553">
        <v>2</v>
      </c>
      <c r="D3594" s="553">
        <v>6</v>
      </c>
      <c r="E3594" s="553">
        <v>2</v>
      </c>
      <c r="F3594" s="553">
        <v>2</v>
      </c>
      <c r="G3594" s="553" t="s">
        <v>493</v>
      </c>
      <c r="H3594" s="553">
        <v>1317.91</v>
      </c>
      <c r="I3594" s="517">
        <v>0</v>
      </c>
      <c r="J3594" s="553">
        <v>0</v>
      </c>
      <c r="K3594" s="553">
        <v>37</v>
      </c>
      <c r="L3594" s="553">
        <v>4</v>
      </c>
      <c r="M3594" s="505" t="s">
        <v>137</v>
      </c>
      <c r="N3594" s="500">
        <v>43013539620000</v>
      </c>
      <c r="O3594" s="553" t="s">
        <v>4322</v>
      </c>
      <c r="P3594" s="564" t="s">
        <v>4330</v>
      </c>
      <c r="Q3594" s="564"/>
      <c r="R3594" s="564">
        <v>1</v>
      </c>
    </row>
    <row r="3595" spans="1:18" s="484" customFormat="1" x14ac:dyDescent="0.25">
      <c r="A3595" s="553">
        <v>36</v>
      </c>
      <c r="B3595" s="553">
        <v>5</v>
      </c>
      <c r="C3595" s="553">
        <v>2</v>
      </c>
      <c r="D3595" s="553">
        <v>6</v>
      </c>
      <c r="E3595" s="553">
        <v>2</v>
      </c>
      <c r="F3595" s="553">
        <v>2</v>
      </c>
      <c r="G3595" s="553" t="s">
        <v>474</v>
      </c>
      <c r="H3595" s="553">
        <v>1313.93</v>
      </c>
      <c r="I3595" s="517">
        <v>89</v>
      </c>
      <c r="J3595" s="553">
        <v>46</v>
      </c>
      <c r="K3595" s="553">
        <v>9</v>
      </c>
      <c r="L3595" s="553">
        <v>4</v>
      </c>
      <c r="M3595" s="505" t="s">
        <v>137</v>
      </c>
      <c r="N3595" s="500">
        <v>43013539620000</v>
      </c>
      <c r="O3595" s="553" t="s">
        <v>4322</v>
      </c>
      <c r="P3595" s="564" t="s">
        <v>4331</v>
      </c>
      <c r="Q3595" s="564"/>
      <c r="R3595" s="564">
        <v>1</v>
      </c>
    </row>
    <row r="3596" spans="1:18" s="484" customFormat="1" x14ac:dyDescent="0.25">
      <c r="A3596" s="553">
        <v>36</v>
      </c>
      <c r="B3596" s="553">
        <v>5</v>
      </c>
      <c r="C3596" s="553">
        <v>2</v>
      </c>
      <c r="D3596" s="553">
        <v>6</v>
      </c>
      <c r="E3596" s="553">
        <v>2</v>
      </c>
      <c r="F3596" s="553">
        <v>2</v>
      </c>
      <c r="G3596" s="502" t="s">
        <v>477</v>
      </c>
      <c r="H3596" s="553">
        <v>1313.93</v>
      </c>
      <c r="I3596" s="517">
        <v>89</v>
      </c>
      <c r="J3596" s="564">
        <v>46</v>
      </c>
      <c r="K3596" s="564">
        <v>9</v>
      </c>
      <c r="L3596" s="564">
        <v>4</v>
      </c>
      <c r="M3596" s="505" t="s">
        <v>137</v>
      </c>
      <c r="N3596" s="500">
        <v>43013539620000</v>
      </c>
      <c r="O3596" s="553" t="s">
        <v>4322</v>
      </c>
      <c r="P3596" s="564" t="s">
        <v>4332</v>
      </c>
      <c r="Q3596" s="564"/>
      <c r="R3596" s="564">
        <v>1</v>
      </c>
    </row>
    <row r="3597" spans="1:18" s="484" customFormat="1" x14ac:dyDescent="0.25">
      <c r="A3597" s="553">
        <v>36</v>
      </c>
      <c r="B3597" s="553">
        <v>5</v>
      </c>
      <c r="C3597" s="553">
        <v>2</v>
      </c>
      <c r="D3597" s="553">
        <v>6</v>
      </c>
      <c r="E3597" s="553">
        <v>2</v>
      </c>
      <c r="F3597" s="553">
        <v>2</v>
      </c>
      <c r="G3597" s="553" t="s">
        <v>479</v>
      </c>
      <c r="H3597" s="553">
        <v>1316.84</v>
      </c>
      <c r="I3597" s="517">
        <v>89</v>
      </c>
      <c r="J3597" s="553">
        <v>49</v>
      </c>
      <c r="K3597" s="553">
        <v>51</v>
      </c>
      <c r="L3597" s="553">
        <v>2</v>
      </c>
      <c r="M3597" s="505" t="s">
        <v>137</v>
      </c>
      <c r="N3597" s="500">
        <v>43013539620000</v>
      </c>
      <c r="O3597" s="553" t="s">
        <v>4322</v>
      </c>
      <c r="P3597" s="564" t="s">
        <v>4333</v>
      </c>
      <c r="Q3597" s="564"/>
      <c r="R3597" s="564">
        <v>1</v>
      </c>
    </row>
    <row r="3598" spans="1:18" s="484" customFormat="1" x14ac:dyDescent="0.25">
      <c r="A3598" s="553">
        <v>36</v>
      </c>
      <c r="B3598" s="553">
        <v>5</v>
      </c>
      <c r="C3598" s="553">
        <v>2</v>
      </c>
      <c r="D3598" s="553">
        <v>6</v>
      </c>
      <c r="E3598" s="553">
        <v>2</v>
      </c>
      <c r="F3598" s="553">
        <v>2</v>
      </c>
      <c r="G3598" s="553" t="s">
        <v>485</v>
      </c>
      <c r="H3598" s="553">
        <v>1316.84</v>
      </c>
      <c r="I3598" s="517">
        <v>89</v>
      </c>
      <c r="J3598" s="553">
        <v>49</v>
      </c>
      <c r="K3598" s="553">
        <v>51</v>
      </c>
      <c r="L3598" s="553">
        <v>2</v>
      </c>
      <c r="M3598" s="505" t="s">
        <v>137</v>
      </c>
      <c r="N3598" s="500">
        <v>43013539620000</v>
      </c>
      <c r="O3598" s="553" t="s">
        <v>4322</v>
      </c>
      <c r="P3598" s="564" t="s">
        <v>4334</v>
      </c>
      <c r="Q3598" s="564"/>
      <c r="R3598" s="564">
        <v>1</v>
      </c>
    </row>
    <row r="3599" spans="1:18" s="484" customFormat="1" x14ac:dyDescent="0.25">
      <c r="A3599" s="553">
        <v>36</v>
      </c>
      <c r="B3599" s="553">
        <v>5</v>
      </c>
      <c r="C3599" s="553">
        <v>2</v>
      </c>
      <c r="D3599" s="553">
        <v>6</v>
      </c>
      <c r="E3599" s="553">
        <v>2</v>
      </c>
      <c r="F3599" s="553">
        <v>2</v>
      </c>
      <c r="G3599" s="553" t="s">
        <v>487</v>
      </c>
      <c r="H3599" s="553">
        <v>1315.68</v>
      </c>
      <c r="I3599" s="517">
        <v>89</v>
      </c>
      <c r="J3599" s="553">
        <v>39</v>
      </c>
      <c r="K3599" s="553">
        <v>22</v>
      </c>
      <c r="L3599" s="553">
        <v>1</v>
      </c>
      <c r="M3599" s="505" t="s">
        <v>137</v>
      </c>
      <c r="N3599" s="500">
        <v>43013539620000</v>
      </c>
      <c r="O3599" s="553" t="s">
        <v>4322</v>
      </c>
      <c r="P3599" s="564" t="s">
        <v>4335</v>
      </c>
      <c r="Q3599" s="564"/>
      <c r="R3599" s="564">
        <v>1</v>
      </c>
    </row>
    <row r="3600" spans="1:18" s="484" customFormat="1" x14ac:dyDescent="0.25">
      <c r="A3600" s="553">
        <v>36</v>
      </c>
      <c r="B3600" s="553">
        <v>5</v>
      </c>
      <c r="C3600" s="553">
        <v>2</v>
      </c>
      <c r="D3600" s="553">
        <v>6</v>
      </c>
      <c r="E3600" s="553">
        <v>2</v>
      </c>
      <c r="F3600" s="553">
        <v>2</v>
      </c>
      <c r="G3600" s="502" t="s">
        <v>489</v>
      </c>
      <c r="H3600" s="553">
        <v>1315.68</v>
      </c>
      <c r="I3600" s="517">
        <v>89</v>
      </c>
      <c r="J3600" s="564">
        <v>39</v>
      </c>
      <c r="K3600" s="564">
        <v>22</v>
      </c>
      <c r="L3600" s="564">
        <v>1</v>
      </c>
      <c r="M3600" s="505" t="s">
        <v>137</v>
      </c>
      <c r="N3600" s="500">
        <v>43013539620000</v>
      </c>
      <c r="O3600" s="553" t="s">
        <v>4322</v>
      </c>
      <c r="P3600" s="564" t="s">
        <v>4336</v>
      </c>
      <c r="Q3600" s="564"/>
      <c r="R3600" s="564">
        <v>1</v>
      </c>
    </row>
    <row r="3601" spans="1:18" s="484" customFormat="1" x14ac:dyDescent="0.25">
      <c r="A3601" s="553">
        <v>36</v>
      </c>
      <c r="B3601" s="553">
        <v>5</v>
      </c>
      <c r="C3601" s="553">
        <v>2</v>
      </c>
      <c r="D3601" s="553">
        <v>6</v>
      </c>
      <c r="E3601" s="553">
        <v>2</v>
      </c>
      <c r="F3601" s="553">
        <v>2</v>
      </c>
      <c r="G3601" s="553" t="s">
        <v>491</v>
      </c>
      <c r="H3601" s="553">
        <v>1314.415</v>
      </c>
      <c r="I3601" s="517">
        <v>89</v>
      </c>
      <c r="J3601" s="553">
        <v>30</v>
      </c>
      <c r="K3601" s="553">
        <v>6</v>
      </c>
      <c r="L3601" s="553">
        <v>3</v>
      </c>
      <c r="M3601" s="505" t="s">
        <v>137</v>
      </c>
      <c r="N3601" s="500">
        <v>43013539620000</v>
      </c>
      <c r="O3601" s="553" t="s">
        <v>4322</v>
      </c>
      <c r="P3601" s="564" t="s">
        <v>4337</v>
      </c>
      <c r="Q3601" s="564"/>
      <c r="R3601" s="564">
        <v>1</v>
      </c>
    </row>
    <row r="3602" spans="1:18" s="484" customFormat="1" x14ac:dyDescent="0.25">
      <c r="A3602" s="553">
        <v>36</v>
      </c>
      <c r="B3602" s="553">
        <v>5</v>
      </c>
      <c r="C3602" s="553">
        <v>2</v>
      </c>
      <c r="D3602" s="553">
        <v>6</v>
      </c>
      <c r="E3602" s="553">
        <v>2</v>
      </c>
      <c r="F3602" s="553">
        <v>2</v>
      </c>
      <c r="G3602" s="553" t="s">
        <v>494</v>
      </c>
      <c r="H3602" s="553">
        <v>1314.415</v>
      </c>
      <c r="I3602" s="517">
        <v>89</v>
      </c>
      <c r="J3602" s="553">
        <v>30</v>
      </c>
      <c r="K3602" s="553">
        <v>6</v>
      </c>
      <c r="L3602" s="553">
        <v>3</v>
      </c>
      <c r="M3602" s="505" t="s">
        <v>137</v>
      </c>
      <c r="N3602" s="500">
        <v>43013539620000</v>
      </c>
      <c r="O3602" s="553" t="s">
        <v>4322</v>
      </c>
      <c r="P3602" s="564" t="s">
        <v>4338</v>
      </c>
      <c r="Q3602" s="564"/>
      <c r="R3602" s="564">
        <v>1</v>
      </c>
    </row>
    <row r="3603" spans="1:18" s="484" customFormat="1" x14ac:dyDescent="0.25">
      <c r="A3603" s="564">
        <v>36</v>
      </c>
      <c r="B3603" s="564">
        <v>3</v>
      </c>
      <c r="C3603" s="564">
        <v>2</v>
      </c>
      <c r="D3603" s="564">
        <v>5</v>
      </c>
      <c r="E3603" s="564">
        <v>2</v>
      </c>
      <c r="F3603" s="564">
        <v>2</v>
      </c>
      <c r="G3603" s="564" t="s">
        <v>473</v>
      </c>
      <c r="H3603" s="564">
        <v>1320</v>
      </c>
      <c r="I3603" s="564">
        <v>0</v>
      </c>
      <c r="J3603" s="564">
        <v>17</v>
      </c>
      <c r="K3603" s="564">
        <v>11</v>
      </c>
      <c r="L3603" s="564">
        <v>2</v>
      </c>
      <c r="M3603" s="561" t="s">
        <v>137</v>
      </c>
      <c r="N3603" s="520"/>
      <c r="O3603" s="564"/>
      <c r="P3603" s="564" t="s">
        <v>4339</v>
      </c>
      <c r="Q3603" s="564"/>
      <c r="R3603" s="564">
        <v>2</v>
      </c>
    </row>
    <row r="3604" spans="1:18" s="484" customFormat="1" x14ac:dyDescent="0.25">
      <c r="A3604" s="564">
        <v>36</v>
      </c>
      <c r="B3604" s="564">
        <v>3</v>
      </c>
      <c r="C3604" s="564">
        <v>2</v>
      </c>
      <c r="D3604" s="564">
        <v>5</v>
      </c>
      <c r="E3604" s="564">
        <v>2</v>
      </c>
      <c r="F3604" s="564">
        <v>2</v>
      </c>
      <c r="G3604" s="521" t="s">
        <v>476</v>
      </c>
      <c r="H3604" s="564">
        <v>1320</v>
      </c>
      <c r="I3604" s="564">
        <v>0</v>
      </c>
      <c r="J3604" s="564">
        <v>17</v>
      </c>
      <c r="K3604" s="564">
        <v>11</v>
      </c>
      <c r="L3604" s="564">
        <v>2</v>
      </c>
      <c r="M3604" s="561" t="s">
        <v>137</v>
      </c>
      <c r="N3604" s="520"/>
      <c r="O3604" s="564"/>
      <c r="P3604" s="564" t="s">
        <v>4340</v>
      </c>
      <c r="Q3604" s="564"/>
      <c r="R3604" s="564">
        <v>2</v>
      </c>
    </row>
    <row r="3605" spans="1:18" s="484" customFormat="1" x14ac:dyDescent="0.25">
      <c r="A3605" s="564">
        <v>36</v>
      </c>
      <c r="B3605" s="564">
        <v>3</v>
      </c>
      <c r="C3605" s="564">
        <v>2</v>
      </c>
      <c r="D3605" s="564">
        <v>5</v>
      </c>
      <c r="E3605" s="564">
        <v>2</v>
      </c>
      <c r="F3605" s="564">
        <v>2</v>
      </c>
      <c r="G3605" s="564" t="s">
        <v>478</v>
      </c>
      <c r="H3605" s="564">
        <v>1315.78</v>
      </c>
      <c r="I3605" s="564">
        <v>0</v>
      </c>
      <c r="J3605" s="564">
        <v>11</v>
      </c>
      <c r="K3605" s="564">
        <v>14</v>
      </c>
      <c r="L3605" s="564">
        <v>4</v>
      </c>
      <c r="M3605" s="561" t="s">
        <v>137</v>
      </c>
      <c r="N3605" s="520"/>
      <c r="O3605" s="564"/>
      <c r="P3605" s="564" t="s">
        <v>4341</v>
      </c>
      <c r="Q3605" s="564"/>
      <c r="R3605" s="564">
        <v>2</v>
      </c>
    </row>
    <row r="3606" spans="1:18" s="484" customFormat="1" x14ac:dyDescent="0.25">
      <c r="A3606" s="564">
        <v>36</v>
      </c>
      <c r="B3606" s="564">
        <v>3</v>
      </c>
      <c r="C3606" s="564">
        <v>2</v>
      </c>
      <c r="D3606" s="564">
        <v>5</v>
      </c>
      <c r="E3606" s="564">
        <v>2</v>
      </c>
      <c r="F3606" s="564">
        <v>2</v>
      </c>
      <c r="G3606" s="564" t="s">
        <v>484</v>
      </c>
      <c r="H3606" s="564">
        <v>1315.78</v>
      </c>
      <c r="I3606" s="564">
        <v>0</v>
      </c>
      <c r="J3606" s="564">
        <v>11</v>
      </c>
      <c r="K3606" s="564">
        <v>14</v>
      </c>
      <c r="L3606" s="564">
        <v>4</v>
      </c>
      <c r="M3606" s="561" t="s">
        <v>137</v>
      </c>
      <c r="N3606" s="520"/>
      <c r="O3606" s="564"/>
      <c r="P3606" s="564" t="s">
        <v>4342</v>
      </c>
      <c r="Q3606" s="564"/>
      <c r="R3606" s="564">
        <v>2</v>
      </c>
    </row>
    <row r="3607" spans="1:18" s="484" customFormat="1" x14ac:dyDescent="0.25">
      <c r="A3607" s="564">
        <v>36</v>
      </c>
      <c r="B3607" s="564">
        <v>3</v>
      </c>
      <c r="C3607" s="564">
        <v>2</v>
      </c>
      <c r="D3607" s="564">
        <v>5</v>
      </c>
      <c r="E3607" s="564">
        <v>2</v>
      </c>
      <c r="F3607" s="564">
        <v>2</v>
      </c>
      <c r="G3607" s="564" t="s">
        <v>486</v>
      </c>
      <c r="H3607" s="564">
        <v>1321.9549999999999</v>
      </c>
      <c r="I3607" s="564">
        <v>0</v>
      </c>
      <c r="J3607" s="564">
        <v>6</v>
      </c>
      <c r="K3607" s="564">
        <v>25</v>
      </c>
      <c r="L3607" s="564">
        <v>2</v>
      </c>
      <c r="M3607" s="561" t="s">
        <v>137</v>
      </c>
      <c r="N3607" s="520"/>
      <c r="O3607" s="564"/>
      <c r="P3607" s="564" t="s">
        <v>4343</v>
      </c>
      <c r="Q3607" s="564"/>
      <c r="R3607" s="564">
        <v>2</v>
      </c>
    </row>
    <row r="3608" spans="1:18" s="484" customFormat="1" x14ac:dyDescent="0.25">
      <c r="A3608" s="564">
        <v>36</v>
      </c>
      <c r="B3608" s="564">
        <v>3</v>
      </c>
      <c r="C3608" s="564">
        <v>2</v>
      </c>
      <c r="D3608" s="564">
        <v>5</v>
      </c>
      <c r="E3608" s="564">
        <v>2</v>
      </c>
      <c r="F3608" s="564">
        <v>2</v>
      </c>
      <c r="G3608" s="521" t="s">
        <v>488</v>
      </c>
      <c r="H3608" s="564">
        <v>1321.9549999999999</v>
      </c>
      <c r="I3608" s="564">
        <v>0</v>
      </c>
      <c r="J3608" s="564">
        <v>6</v>
      </c>
      <c r="K3608" s="564">
        <v>25</v>
      </c>
      <c r="L3608" s="564">
        <v>2</v>
      </c>
      <c r="M3608" s="561" t="s">
        <v>137</v>
      </c>
      <c r="N3608" s="520"/>
      <c r="O3608" s="564"/>
      <c r="P3608" s="564" t="s">
        <v>4344</v>
      </c>
      <c r="Q3608" s="564"/>
      <c r="R3608" s="564">
        <v>2</v>
      </c>
    </row>
    <row r="3609" spans="1:18" s="484" customFormat="1" x14ac:dyDescent="0.25">
      <c r="A3609" s="564">
        <v>36</v>
      </c>
      <c r="B3609" s="564">
        <v>3</v>
      </c>
      <c r="C3609" s="564">
        <v>2</v>
      </c>
      <c r="D3609" s="564">
        <v>5</v>
      </c>
      <c r="E3609" s="564">
        <v>2</v>
      </c>
      <c r="F3609" s="564">
        <v>2</v>
      </c>
      <c r="G3609" s="564" t="s">
        <v>490</v>
      </c>
      <c r="H3609" s="564">
        <v>1327.52</v>
      </c>
      <c r="I3609" s="564">
        <v>0</v>
      </c>
      <c r="J3609" s="564">
        <v>6</v>
      </c>
      <c r="K3609" s="564">
        <v>28</v>
      </c>
      <c r="L3609" s="564">
        <v>3</v>
      </c>
      <c r="M3609" s="561" t="s">
        <v>137</v>
      </c>
      <c r="N3609" s="520"/>
      <c r="O3609" s="564"/>
      <c r="P3609" s="564" t="s">
        <v>4345</v>
      </c>
      <c r="Q3609" s="564"/>
      <c r="R3609" s="564">
        <v>2</v>
      </c>
    </row>
    <row r="3610" spans="1:18" s="484" customFormat="1" x14ac:dyDescent="0.25">
      <c r="A3610" s="564">
        <v>36</v>
      </c>
      <c r="B3610" s="564">
        <v>3</v>
      </c>
      <c r="C3610" s="564">
        <v>2</v>
      </c>
      <c r="D3610" s="564">
        <v>5</v>
      </c>
      <c r="E3610" s="564">
        <v>2</v>
      </c>
      <c r="F3610" s="564">
        <v>2</v>
      </c>
      <c r="G3610" s="564" t="s">
        <v>493</v>
      </c>
      <c r="H3610" s="564">
        <v>1327.52</v>
      </c>
      <c r="I3610" s="564">
        <v>0</v>
      </c>
      <c r="J3610" s="564">
        <v>6</v>
      </c>
      <c r="K3610" s="564">
        <v>28</v>
      </c>
      <c r="L3610" s="564">
        <v>3</v>
      </c>
      <c r="M3610" s="561" t="s">
        <v>137</v>
      </c>
      <c r="N3610" s="520"/>
      <c r="O3610" s="564"/>
      <c r="P3610" s="564" t="s">
        <v>4346</v>
      </c>
      <c r="Q3610" s="564"/>
      <c r="R3610" s="564">
        <v>2</v>
      </c>
    </row>
    <row r="3611" spans="1:18" s="484" customFormat="1" x14ac:dyDescent="0.25">
      <c r="A3611" s="564">
        <v>36</v>
      </c>
      <c r="B3611" s="564">
        <v>3</v>
      </c>
      <c r="C3611" s="564">
        <v>2</v>
      </c>
      <c r="D3611" s="564">
        <v>5</v>
      </c>
      <c r="E3611" s="564">
        <v>2</v>
      </c>
      <c r="F3611" s="564">
        <v>2</v>
      </c>
      <c r="G3611" s="564" t="s">
        <v>474</v>
      </c>
      <c r="H3611" s="564">
        <v>1317.41</v>
      </c>
      <c r="I3611" s="564">
        <v>89</v>
      </c>
      <c r="J3611" s="564">
        <v>58</v>
      </c>
      <c r="K3611" s="564">
        <v>11</v>
      </c>
      <c r="L3611" s="564">
        <v>2</v>
      </c>
      <c r="M3611" s="561" t="s">
        <v>137</v>
      </c>
      <c r="N3611" s="520"/>
      <c r="O3611" s="564"/>
      <c r="P3611" s="564" t="s">
        <v>4347</v>
      </c>
      <c r="Q3611" s="564"/>
      <c r="R3611" s="564">
        <v>2</v>
      </c>
    </row>
    <row r="3612" spans="1:18" s="484" customFormat="1" x14ac:dyDescent="0.25">
      <c r="A3612" s="564">
        <v>36</v>
      </c>
      <c r="B3612" s="564">
        <v>3</v>
      </c>
      <c r="C3612" s="564">
        <v>2</v>
      </c>
      <c r="D3612" s="564">
        <v>5</v>
      </c>
      <c r="E3612" s="564">
        <v>2</v>
      </c>
      <c r="F3612" s="564">
        <v>2</v>
      </c>
      <c r="G3612" s="521" t="s">
        <v>477</v>
      </c>
      <c r="H3612" s="564">
        <v>1317.51</v>
      </c>
      <c r="I3612" s="564">
        <v>89</v>
      </c>
      <c r="J3612" s="564">
        <v>58</v>
      </c>
      <c r="K3612" s="564">
        <v>41</v>
      </c>
      <c r="L3612" s="564">
        <v>2</v>
      </c>
      <c r="M3612" s="561" t="s">
        <v>137</v>
      </c>
      <c r="N3612" s="520"/>
      <c r="O3612" s="564"/>
      <c r="P3612" s="564" t="s">
        <v>4348</v>
      </c>
      <c r="Q3612" s="564"/>
      <c r="R3612" s="564">
        <v>2</v>
      </c>
    </row>
    <row r="3613" spans="1:18" s="484" customFormat="1" x14ac:dyDescent="0.25">
      <c r="A3613" s="564">
        <v>36</v>
      </c>
      <c r="B3613" s="564">
        <v>3</v>
      </c>
      <c r="C3613" s="564">
        <v>2</v>
      </c>
      <c r="D3613" s="564">
        <v>5</v>
      </c>
      <c r="E3613" s="564">
        <v>2</v>
      </c>
      <c r="F3613" s="564">
        <v>2</v>
      </c>
      <c r="G3613" s="564" t="s">
        <v>479</v>
      </c>
      <c r="H3613" s="564">
        <v>1317.51</v>
      </c>
      <c r="I3613" s="564">
        <v>89</v>
      </c>
      <c r="J3613" s="564">
        <v>58</v>
      </c>
      <c r="K3613" s="564">
        <v>51</v>
      </c>
      <c r="L3613" s="564">
        <v>2</v>
      </c>
      <c r="M3613" s="561" t="s">
        <v>137</v>
      </c>
      <c r="N3613" s="520"/>
      <c r="O3613" s="564"/>
      <c r="P3613" s="564" t="s">
        <v>4349</v>
      </c>
      <c r="Q3613" s="564"/>
      <c r="R3613" s="564">
        <v>2</v>
      </c>
    </row>
    <row r="3614" spans="1:18" s="484" customFormat="1" x14ac:dyDescent="0.25">
      <c r="A3614" s="564">
        <v>36</v>
      </c>
      <c r="B3614" s="564">
        <v>3</v>
      </c>
      <c r="C3614" s="564">
        <v>2</v>
      </c>
      <c r="D3614" s="564">
        <v>5</v>
      </c>
      <c r="E3614" s="564">
        <v>2</v>
      </c>
      <c r="F3614" s="564">
        <v>2</v>
      </c>
      <c r="G3614" s="564" t="s">
        <v>485</v>
      </c>
      <c r="H3614" s="564">
        <v>1331.31</v>
      </c>
      <c r="I3614" s="564">
        <v>89</v>
      </c>
      <c r="J3614" s="564">
        <v>8</v>
      </c>
      <c r="K3614" s="564">
        <v>18</v>
      </c>
      <c r="L3614" s="564">
        <v>2</v>
      </c>
      <c r="M3614" s="561" t="s">
        <v>137</v>
      </c>
      <c r="N3614" s="520"/>
      <c r="O3614" s="564"/>
      <c r="P3614" s="564" t="s">
        <v>4350</v>
      </c>
      <c r="Q3614" s="564"/>
      <c r="R3614" s="564">
        <v>2</v>
      </c>
    </row>
    <row r="3615" spans="1:18" s="484" customFormat="1" x14ac:dyDescent="0.25">
      <c r="A3615" s="564">
        <v>36</v>
      </c>
      <c r="B3615" s="564">
        <v>3</v>
      </c>
      <c r="C3615" s="564">
        <v>2</v>
      </c>
      <c r="D3615" s="564">
        <v>5</v>
      </c>
      <c r="E3615" s="564">
        <v>2</v>
      </c>
      <c r="F3615" s="564">
        <v>2</v>
      </c>
      <c r="G3615" s="564" t="s">
        <v>487</v>
      </c>
      <c r="H3615" s="564">
        <v>1322.0550000000001</v>
      </c>
      <c r="I3615" s="564">
        <v>89</v>
      </c>
      <c r="J3615" s="564">
        <v>59</v>
      </c>
      <c r="K3615" s="564">
        <v>22</v>
      </c>
      <c r="L3615" s="564">
        <v>3</v>
      </c>
      <c r="M3615" s="561" t="s">
        <v>137</v>
      </c>
      <c r="N3615" s="520"/>
      <c r="O3615" s="564"/>
      <c r="P3615" s="564" t="s">
        <v>4351</v>
      </c>
      <c r="Q3615" s="564"/>
      <c r="R3615" s="564">
        <v>2</v>
      </c>
    </row>
    <row r="3616" spans="1:18" s="484" customFormat="1" x14ac:dyDescent="0.25">
      <c r="A3616" s="564">
        <v>36</v>
      </c>
      <c r="B3616" s="564">
        <v>3</v>
      </c>
      <c r="C3616" s="564">
        <v>2</v>
      </c>
      <c r="D3616" s="564">
        <v>5</v>
      </c>
      <c r="E3616" s="564">
        <v>2</v>
      </c>
      <c r="F3616" s="564">
        <v>2</v>
      </c>
      <c r="G3616" s="521" t="s">
        <v>489</v>
      </c>
      <c r="H3616" s="564">
        <v>1322.0550000000001</v>
      </c>
      <c r="I3616" s="564">
        <v>89</v>
      </c>
      <c r="J3616" s="564">
        <v>59</v>
      </c>
      <c r="K3616" s="564">
        <v>22</v>
      </c>
      <c r="L3616" s="564">
        <v>3</v>
      </c>
      <c r="M3616" s="561" t="s">
        <v>137</v>
      </c>
      <c r="N3616" s="520"/>
      <c r="O3616" s="564"/>
      <c r="P3616" s="564" t="s">
        <v>4352</v>
      </c>
      <c r="Q3616" s="564"/>
      <c r="R3616" s="564">
        <v>2</v>
      </c>
    </row>
    <row r="3617" spans="1:18" s="484" customFormat="1" x14ac:dyDescent="0.25">
      <c r="A3617" s="564">
        <v>36</v>
      </c>
      <c r="B3617" s="564">
        <v>3</v>
      </c>
      <c r="C3617" s="564">
        <v>2</v>
      </c>
      <c r="D3617" s="564">
        <v>5</v>
      </c>
      <c r="E3617" s="564">
        <v>2</v>
      </c>
      <c r="F3617" s="564">
        <v>2</v>
      </c>
      <c r="G3617" s="564" t="s">
        <v>491</v>
      </c>
      <c r="H3617" s="564">
        <v>1327.875</v>
      </c>
      <c r="I3617" s="564">
        <v>89</v>
      </c>
      <c r="J3617" s="564">
        <v>56</v>
      </c>
      <c r="K3617" s="564">
        <v>23</v>
      </c>
      <c r="L3617" s="564">
        <v>3</v>
      </c>
      <c r="M3617" s="561" t="s">
        <v>137</v>
      </c>
      <c r="N3617" s="520"/>
      <c r="O3617" s="564"/>
      <c r="P3617" s="564" t="s">
        <v>4353</v>
      </c>
      <c r="Q3617" s="564"/>
      <c r="R3617" s="564">
        <v>2</v>
      </c>
    </row>
    <row r="3618" spans="1:18" s="484" customFormat="1" x14ac:dyDescent="0.25">
      <c r="A3618" s="564">
        <v>36</v>
      </c>
      <c r="B3618" s="564">
        <v>3</v>
      </c>
      <c r="C3618" s="564">
        <v>2</v>
      </c>
      <c r="D3618" s="564">
        <v>5</v>
      </c>
      <c r="E3618" s="564">
        <v>2</v>
      </c>
      <c r="F3618" s="564">
        <v>2</v>
      </c>
      <c r="G3618" s="564" t="s">
        <v>494</v>
      </c>
      <c r="H3618" s="564">
        <v>1327.875</v>
      </c>
      <c r="I3618" s="564">
        <v>89</v>
      </c>
      <c r="J3618" s="564">
        <v>56</v>
      </c>
      <c r="K3618" s="564">
        <v>23</v>
      </c>
      <c r="L3618" s="564">
        <v>3</v>
      </c>
      <c r="M3618" s="561" t="s">
        <v>137</v>
      </c>
      <c r="N3618" s="520"/>
      <c r="O3618" s="564"/>
      <c r="P3618" s="564" t="s">
        <v>4354</v>
      </c>
      <c r="Q3618" s="564"/>
      <c r="R3618" s="564">
        <v>2</v>
      </c>
    </row>
    <row r="3619" spans="1:18" s="484" customFormat="1" x14ac:dyDescent="0.25">
      <c r="A3619" s="564">
        <v>36</v>
      </c>
      <c r="B3619" s="564">
        <v>3</v>
      </c>
      <c r="C3619" s="564">
        <v>2</v>
      </c>
      <c r="D3619" s="564">
        <v>1</v>
      </c>
      <c r="E3619" s="564">
        <v>1</v>
      </c>
      <c r="F3619" s="564">
        <v>2</v>
      </c>
      <c r="G3619" s="564" t="s">
        <v>473</v>
      </c>
      <c r="H3619" s="564">
        <v>1321.06</v>
      </c>
      <c r="I3619" s="564">
        <v>0</v>
      </c>
      <c r="J3619" s="564">
        <v>14</v>
      </c>
      <c r="K3619" s="564">
        <v>6</v>
      </c>
      <c r="L3619" s="564">
        <v>4</v>
      </c>
      <c r="M3619" s="561" t="s">
        <v>137</v>
      </c>
      <c r="N3619" s="651">
        <v>4304756486</v>
      </c>
      <c r="O3619" s="564" t="s">
        <v>4355</v>
      </c>
      <c r="P3619" s="564" t="s">
        <v>4356</v>
      </c>
      <c r="Q3619" s="564"/>
      <c r="R3619" s="564">
        <v>1</v>
      </c>
    </row>
    <row r="3620" spans="1:18" s="484" customFormat="1" x14ac:dyDescent="0.25">
      <c r="A3620" s="564">
        <v>36</v>
      </c>
      <c r="B3620" s="564">
        <v>3</v>
      </c>
      <c r="C3620" s="564">
        <v>2</v>
      </c>
      <c r="D3620" s="564">
        <v>1</v>
      </c>
      <c r="E3620" s="564">
        <v>1</v>
      </c>
      <c r="F3620" s="564">
        <v>2</v>
      </c>
      <c r="G3620" s="521" t="s">
        <v>476</v>
      </c>
      <c r="H3620" s="564">
        <v>1321.97</v>
      </c>
      <c r="I3620" s="564">
        <v>0</v>
      </c>
      <c r="J3620" s="564">
        <v>11</v>
      </c>
      <c r="K3620" s="564">
        <v>53</v>
      </c>
      <c r="L3620" s="564">
        <v>1</v>
      </c>
      <c r="M3620" s="561" t="s">
        <v>137</v>
      </c>
      <c r="N3620" s="651">
        <v>4304756486</v>
      </c>
      <c r="O3620" s="564" t="s">
        <v>4355</v>
      </c>
      <c r="P3620" s="564" t="s">
        <v>4357</v>
      </c>
      <c r="Q3620" s="564"/>
      <c r="R3620" s="564">
        <v>1</v>
      </c>
    </row>
    <row r="3621" spans="1:18" s="484" customFormat="1" x14ac:dyDescent="0.25">
      <c r="A3621" s="564">
        <v>36</v>
      </c>
      <c r="B3621" s="564">
        <v>3</v>
      </c>
      <c r="C3621" s="564">
        <v>2</v>
      </c>
      <c r="D3621" s="564">
        <v>1</v>
      </c>
      <c r="E3621" s="564">
        <v>1</v>
      </c>
      <c r="F3621" s="564">
        <v>2</v>
      </c>
      <c r="G3621" s="564" t="s">
        <v>478</v>
      </c>
      <c r="H3621" s="564">
        <v>1314.19</v>
      </c>
      <c r="I3621" s="564">
        <v>0</v>
      </c>
      <c r="J3621" s="564">
        <v>1</v>
      </c>
      <c r="K3621" s="564">
        <v>29</v>
      </c>
      <c r="L3621" s="564">
        <v>4</v>
      </c>
      <c r="M3621" s="561" t="s">
        <v>137</v>
      </c>
      <c r="N3621" s="651">
        <v>4304756486</v>
      </c>
      <c r="O3621" s="564" t="s">
        <v>4355</v>
      </c>
      <c r="P3621" s="564" t="s">
        <v>4358</v>
      </c>
      <c r="Q3621" s="564"/>
      <c r="R3621" s="564">
        <v>1</v>
      </c>
    </row>
    <row r="3622" spans="1:18" s="484" customFormat="1" x14ac:dyDescent="0.25">
      <c r="A3622" s="564">
        <v>36</v>
      </c>
      <c r="B3622" s="564">
        <v>3</v>
      </c>
      <c r="C3622" s="564">
        <v>2</v>
      </c>
      <c r="D3622" s="564">
        <v>1</v>
      </c>
      <c r="E3622" s="564">
        <v>1</v>
      </c>
      <c r="F3622" s="564">
        <v>2</v>
      </c>
      <c r="G3622" s="564" t="s">
        <v>484</v>
      </c>
      <c r="H3622" s="564">
        <v>1321.13</v>
      </c>
      <c r="I3622" s="564">
        <v>0</v>
      </c>
      <c r="J3622" s="564">
        <v>22</v>
      </c>
      <c r="K3622" s="564">
        <v>59</v>
      </c>
      <c r="L3622" s="564">
        <v>4</v>
      </c>
      <c r="M3622" s="561" t="s">
        <v>137</v>
      </c>
      <c r="N3622" s="651">
        <v>4304756486</v>
      </c>
      <c r="O3622" s="564" t="s">
        <v>4355</v>
      </c>
      <c r="P3622" s="564" t="s">
        <v>4359</v>
      </c>
      <c r="Q3622" s="564"/>
      <c r="R3622" s="564">
        <v>1</v>
      </c>
    </row>
    <row r="3623" spans="1:18" s="484" customFormat="1" x14ac:dyDescent="0.25">
      <c r="A3623" s="564">
        <v>36</v>
      </c>
      <c r="B3623" s="564">
        <v>3</v>
      </c>
      <c r="C3623" s="564">
        <v>2</v>
      </c>
      <c r="D3623" s="564">
        <v>1</v>
      </c>
      <c r="E3623" s="564">
        <v>1</v>
      </c>
      <c r="F3623" s="564">
        <v>2</v>
      </c>
      <c r="G3623" s="564" t="s">
        <v>486</v>
      </c>
      <c r="H3623" s="564">
        <v>1341.12</v>
      </c>
      <c r="I3623" s="564">
        <v>0</v>
      </c>
      <c r="J3623" s="564">
        <v>52</v>
      </c>
      <c r="K3623" s="564">
        <v>41</v>
      </c>
      <c r="L3623" s="564">
        <v>3</v>
      </c>
      <c r="M3623" s="561" t="s">
        <v>137</v>
      </c>
      <c r="N3623" s="651">
        <v>4304756486</v>
      </c>
      <c r="O3623" s="564" t="s">
        <v>4355</v>
      </c>
      <c r="P3623" s="564" t="s">
        <v>4360</v>
      </c>
      <c r="Q3623" s="564"/>
      <c r="R3623" s="564">
        <v>1</v>
      </c>
    </row>
    <row r="3624" spans="1:18" s="484" customFormat="1" x14ac:dyDescent="0.25">
      <c r="A3624" s="564">
        <v>36</v>
      </c>
      <c r="B3624" s="564">
        <v>3</v>
      </c>
      <c r="C3624" s="564">
        <v>2</v>
      </c>
      <c r="D3624" s="564">
        <v>1</v>
      </c>
      <c r="E3624" s="564">
        <v>1</v>
      </c>
      <c r="F3624" s="564">
        <v>2</v>
      </c>
      <c r="G3624" s="521" t="s">
        <v>488</v>
      </c>
      <c r="H3624" s="564">
        <v>1322.88</v>
      </c>
      <c r="I3624" s="564">
        <v>0</v>
      </c>
      <c r="J3624" s="564">
        <v>4</v>
      </c>
      <c r="K3624" s="564">
        <v>37</v>
      </c>
      <c r="L3624" s="564">
        <v>4</v>
      </c>
      <c r="M3624" s="561" t="s">
        <v>137</v>
      </c>
      <c r="N3624" s="651">
        <v>4304756486</v>
      </c>
      <c r="O3624" s="564" t="s">
        <v>4355</v>
      </c>
      <c r="P3624" s="564" t="s">
        <v>4361</v>
      </c>
      <c r="Q3624" s="564"/>
      <c r="R3624" s="564">
        <v>1</v>
      </c>
    </row>
    <row r="3625" spans="1:18" s="484" customFormat="1" x14ac:dyDescent="0.25">
      <c r="A3625" s="564">
        <v>36</v>
      </c>
      <c r="B3625" s="564">
        <v>3</v>
      </c>
      <c r="C3625" s="564">
        <v>2</v>
      </c>
      <c r="D3625" s="564">
        <v>1</v>
      </c>
      <c r="E3625" s="564">
        <v>1</v>
      </c>
      <c r="F3625" s="564">
        <v>2</v>
      </c>
      <c r="G3625" s="564" t="s">
        <v>490</v>
      </c>
      <c r="H3625" s="564">
        <v>1325.2</v>
      </c>
      <c r="I3625" s="564">
        <v>0</v>
      </c>
      <c r="J3625" s="564">
        <v>14</v>
      </c>
      <c r="K3625" s="564">
        <v>58</v>
      </c>
      <c r="L3625" s="564">
        <v>1</v>
      </c>
      <c r="M3625" s="561" t="s">
        <v>137</v>
      </c>
      <c r="N3625" s="651">
        <v>4304756486</v>
      </c>
      <c r="O3625" s="564" t="s">
        <v>4355</v>
      </c>
      <c r="P3625" s="564" t="s">
        <v>4362</v>
      </c>
      <c r="Q3625" s="564"/>
      <c r="R3625" s="564">
        <v>1</v>
      </c>
    </row>
    <row r="3626" spans="1:18" s="484" customFormat="1" x14ac:dyDescent="0.25">
      <c r="A3626" s="564">
        <v>36</v>
      </c>
      <c r="B3626" s="564">
        <v>3</v>
      </c>
      <c r="C3626" s="564">
        <v>2</v>
      </c>
      <c r="D3626" s="564">
        <v>1</v>
      </c>
      <c r="E3626" s="564">
        <v>1</v>
      </c>
      <c r="F3626" s="564">
        <v>2</v>
      </c>
      <c r="G3626" s="564" t="s">
        <v>493</v>
      </c>
      <c r="H3626" s="564">
        <v>1320.05</v>
      </c>
      <c r="I3626" s="564">
        <v>0</v>
      </c>
      <c r="J3626" s="564">
        <v>11</v>
      </c>
      <c r="K3626" s="564">
        <v>35</v>
      </c>
      <c r="L3626" s="564">
        <v>3</v>
      </c>
      <c r="M3626" s="561" t="s">
        <v>137</v>
      </c>
      <c r="N3626" s="651">
        <v>4304756486</v>
      </c>
      <c r="O3626" s="564" t="s">
        <v>4355</v>
      </c>
      <c r="P3626" s="564" t="s">
        <v>4363</v>
      </c>
      <c r="Q3626" s="564"/>
      <c r="R3626" s="564">
        <v>1</v>
      </c>
    </row>
    <row r="3627" spans="1:18" s="484" customFormat="1" x14ac:dyDescent="0.25">
      <c r="A3627" s="564">
        <v>36</v>
      </c>
      <c r="B3627" s="564">
        <v>3</v>
      </c>
      <c r="C3627" s="564">
        <v>2</v>
      </c>
      <c r="D3627" s="564">
        <v>1</v>
      </c>
      <c r="E3627" s="564">
        <v>1</v>
      </c>
      <c r="F3627" s="564">
        <v>2</v>
      </c>
      <c r="G3627" s="564" t="s">
        <v>474</v>
      </c>
      <c r="H3627" s="564">
        <v>1324.43</v>
      </c>
      <c r="I3627" s="564">
        <v>89</v>
      </c>
      <c r="J3627" s="564">
        <v>59</v>
      </c>
      <c r="K3627" s="564">
        <v>18</v>
      </c>
      <c r="L3627" s="564">
        <v>1</v>
      </c>
      <c r="M3627" s="561" t="s">
        <v>137</v>
      </c>
      <c r="N3627" s="651">
        <v>4304756486</v>
      </c>
      <c r="O3627" s="564" t="s">
        <v>4355</v>
      </c>
      <c r="P3627" s="564" t="s">
        <v>4364</v>
      </c>
      <c r="Q3627" s="564"/>
      <c r="R3627" s="564">
        <v>1</v>
      </c>
    </row>
    <row r="3628" spans="1:18" s="484" customFormat="1" x14ac:dyDescent="0.25">
      <c r="A3628" s="564">
        <v>36</v>
      </c>
      <c r="B3628" s="564">
        <v>3</v>
      </c>
      <c r="C3628" s="564">
        <v>2</v>
      </c>
      <c r="D3628" s="564">
        <v>1</v>
      </c>
      <c r="E3628" s="564">
        <v>1</v>
      </c>
      <c r="F3628" s="564">
        <v>2</v>
      </c>
      <c r="G3628" s="521" t="s">
        <v>477</v>
      </c>
      <c r="H3628" s="564">
        <v>1332.81</v>
      </c>
      <c r="I3628" s="564">
        <v>89</v>
      </c>
      <c r="J3628" s="564">
        <v>28</v>
      </c>
      <c r="K3628" s="564">
        <v>26</v>
      </c>
      <c r="L3628" s="564">
        <v>2</v>
      </c>
      <c r="M3628" s="561" t="s">
        <v>137</v>
      </c>
      <c r="N3628" s="651">
        <v>4304756486</v>
      </c>
      <c r="O3628" s="564" t="s">
        <v>4355</v>
      </c>
      <c r="P3628" s="564" t="s">
        <v>4365</v>
      </c>
      <c r="Q3628" s="564"/>
      <c r="R3628" s="564">
        <v>1</v>
      </c>
    </row>
    <row r="3629" spans="1:18" s="484" customFormat="1" x14ac:dyDescent="0.25">
      <c r="A3629" s="564">
        <v>36</v>
      </c>
      <c r="B3629" s="564">
        <v>3</v>
      </c>
      <c r="C3629" s="564">
        <v>2</v>
      </c>
      <c r="D3629" s="564">
        <v>1</v>
      </c>
      <c r="E3629" s="564">
        <v>1</v>
      </c>
      <c r="F3629" s="564">
        <v>2</v>
      </c>
      <c r="G3629" s="564" t="s">
        <v>479</v>
      </c>
      <c r="H3629" s="564">
        <v>1332.81</v>
      </c>
      <c r="I3629" s="564">
        <v>89</v>
      </c>
      <c r="J3629" s="564">
        <v>28</v>
      </c>
      <c r="K3629" s="564">
        <v>26</v>
      </c>
      <c r="L3629" s="564">
        <v>2</v>
      </c>
      <c r="M3629" s="561" t="s">
        <v>137</v>
      </c>
      <c r="N3629" s="651">
        <v>4304756486</v>
      </c>
      <c r="O3629" s="564" t="s">
        <v>4355</v>
      </c>
      <c r="P3629" s="564" t="s">
        <v>4366</v>
      </c>
      <c r="Q3629" s="564"/>
      <c r="R3629" s="564">
        <v>1</v>
      </c>
    </row>
    <row r="3630" spans="1:18" s="484" customFormat="1" x14ac:dyDescent="0.25">
      <c r="A3630" s="564">
        <v>36</v>
      </c>
      <c r="B3630" s="564">
        <v>3</v>
      </c>
      <c r="C3630" s="564">
        <v>2</v>
      </c>
      <c r="D3630" s="564">
        <v>1</v>
      </c>
      <c r="E3630" s="564">
        <v>1</v>
      </c>
      <c r="F3630" s="564">
        <v>2</v>
      </c>
      <c r="G3630" s="564" t="s">
        <v>485</v>
      </c>
      <c r="H3630" s="564">
        <v>1329.06</v>
      </c>
      <c r="I3630" s="564">
        <v>89</v>
      </c>
      <c r="J3630" s="564">
        <v>59</v>
      </c>
      <c r="K3630" s="564">
        <v>49</v>
      </c>
      <c r="L3630" s="564">
        <v>3</v>
      </c>
      <c r="M3630" s="561" t="s">
        <v>137</v>
      </c>
      <c r="N3630" s="651">
        <v>4304756486</v>
      </c>
      <c r="O3630" s="564" t="s">
        <v>4355</v>
      </c>
      <c r="P3630" s="564" t="s">
        <v>4367</v>
      </c>
      <c r="Q3630" s="564"/>
      <c r="R3630" s="564">
        <v>1</v>
      </c>
    </row>
    <row r="3631" spans="1:18" s="484" customFormat="1" x14ac:dyDescent="0.25">
      <c r="A3631" s="564">
        <v>36</v>
      </c>
      <c r="B3631" s="564">
        <v>3</v>
      </c>
      <c r="C3631" s="564">
        <v>2</v>
      </c>
      <c r="D3631" s="564">
        <v>1</v>
      </c>
      <c r="E3631" s="564">
        <v>1</v>
      </c>
      <c r="F3631" s="564">
        <v>2</v>
      </c>
      <c r="G3631" s="564" t="s">
        <v>487</v>
      </c>
      <c r="H3631" s="564">
        <v>1320.7325000000001</v>
      </c>
      <c r="I3631" s="564">
        <v>89</v>
      </c>
      <c r="J3631" s="564">
        <v>56</v>
      </c>
      <c r="K3631" s="564">
        <v>18</v>
      </c>
      <c r="L3631" s="564">
        <v>2</v>
      </c>
      <c r="M3631" s="561" t="s">
        <v>137</v>
      </c>
      <c r="N3631" s="651">
        <v>4304756486</v>
      </c>
      <c r="O3631" s="564" t="s">
        <v>4355</v>
      </c>
      <c r="P3631" s="564" t="s">
        <v>4368</v>
      </c>
      <c r="Q3631" s="564"/>
      <c r="R3631" s="564">
        <v>1</v>
      </c>
    </row>
    <row r="3632" spans="1:18" s="484" customFormat="1" x14ac:dyDescent="0.25">
      <c r="A3632" s="564">
        <v>36</v>
      </c>
      <c r="B3632" s="564">
        <v>3</v>
      </c>
      <c r="C3632" s="564">
        <v>2</v>
      </c>
      <c r="D3632" s="564">
        <v>1</v>
      </c>
      <c r="E3632" s="564">
        <v>1</v>
      </c>
      <c r="F3632" s="564">
        <v>2</v>
      </c>
      <c r="G3632" s="521" t="s">
        <v>489</v>
      </c>
      <c r="H3632" s="564">
        <v>1320.7325000000001</v>
      </c>
      <c r="I3632" s="564">
        <v>89</v>
      </c>
      <c r="J3632" s="564">
        <v>56</v>
      </c>
      <c r="K3632" s="564">
        <v>18</v>
      </c>
      <c r="L3632" s="564">
        <v>2</v>
      </c>
      <c r="M3632" s="561" t="s">
        <v>137</v>
      </c>
      <c r="N3632" s="651">
        <v>4304756486</v>
      </c>
      <c r="O3632" s="564" t="s">
        <v>4355</v>
      </c>
      <c r="P3632" s="564" t="s">
        <v>4369</v>
      </c>
      <c r="Q3632" s="564"/>
      <c r="R3632" s="564">
        <v>1</v>
      </c>
    </row>
    <row r="3633" spans="1:18" s="484" customFormat="1" x14ac:dyDescent="0.25">
      <c r="A3633" s="564">
        <v>36</v>
      </c>
      <c r="B3633" s="564">
        <v>3</v>
      </c>
      <c r="C3633" s="564">
        <v>2</v>
      </c>
      <c r="D3633" s="564">
        <v>1</v>
      </c>
      <c r="E3633" s="564">
        <v>1</v>
      </c>
      <c r="F3633" s="564">
        <v>2</v>
      </c>
      <c r="G3633" s="564" t="s">
        <v>491</v>
      </c>
      <c r="H3633" s="564">
        <v>1320.7325000000001</v>
      </c>
      <c r="I3633" s="564">
        <v>89</v>
      </c>
      <c r="J3633" s="564">
        <v>56</v>
      </c>
      <c r="K3633" s="564">
        <v>18</v>
      </c>
      <c r="L3633" s="564">
        <v>2</v>
      </c>
      <c r="M3633" s="561" t="s">
        <v>137</v>
      </c>
      <c r="N3633" s="651">
        <v>4304756486</v>
      </c>
      <c r="O3633" s="564" t="s">
        <v>4355</v>
      </c>
      <c r="P3633" s="564" t="s">
        <v>4370</v>
      </c>
      <c r="Q3633" s="564"/>
      <c r="R3633" s="564">
        <v>1</v>
      </c>
    </row>
    <row r="3634" spans="1:18" s="484" customFormat="1" x14ac:dyDescent="0.25">
      <c r="A3634" s="564">
        <v>36</v>
      </c>
      <c r="B3634" s="564">
        <v>3</v>
      </c>
      <c r="C3634" s="564">
        <v>2</v>
      </c>
      <c r="D3634" s="564">
        <v>1</v>
      </c>
      <c r="E3634" s="564">
        <v>1</v>
      </c>
      <c r="F3634" s="564">
        <v>2</v>
      </c>
      <c r="G3634" s="564" t="s">
        <v>494</v>
      </c>
      <c r="H3634" s="564">
        <v>1320.7325000000001</v>
      </c>
      <c r="I3634" s="564">
        <v>89</v>
      </c>
      <c r="J3634" s="564">
        <v>56</v>
      </c>
      <c r="K3634" s="564">
        <v>18</v>
      </c>
      <c r="L3634" s="564">
        <v>2</v>
      </c>
      <c r="M3634" s="561" t="s">
        <v>137</v>
      </c>
      <c r="N3634" s="651">
        <v>4304756486</v>
      </c>
      <c r="O3634" s="564" t="s">
        <v>4355</v>
      </c>
      <c r="P3634" s="564" t="s">
        <v>4371</v>
      </c>
      <c r="Q3634" s="564"/>
      <c r="R3634" s="564">
        <v>1</v>
      </c>
    </row>
    <row r="3635" spans="1:18" x14ac:dyDescent="0.25">
      <c r="A3635" s="553">
        <v>36</v>
      </c>
      <c r="B3635" s="553">
        <v>7</v>
      </c>
      <c r="C3635" s="553">
        <v>2</v>
      </c>
      <c r="D3635" s="553">
        <v>20</v>
      </c>
      <c r="E3635" s="553">
        <v>1</v>
      </c>
      <c r="F3635" s="553">
        <v>1</v>
      </c>
      <c r="G3635" s="553" t="s">
        <v>473</v>
      </c>
      <c r="H3635" s="553">
        <v>1375.26</v>
      </c>
      <c r="I3635" s="553">
        <v>0</v>
      </c>
      <c r="J3635" s="553">
        <v>54</v>
      </c>
      <c r="K3635" s="553">
        <v>35</v>
      </c>
      <c r="L3635" s="553">
        <v>2</v>
      </c>
      <c r="M3635" s="505" t="s">
        <v>137</v>
      </c>
      <c r="N3635" s="500">
        <v>43047565270000</v>
      </c>
      <c r="O3635" s="553" t="s">
        <v>7</v>
      </c>
      <c r="P3635" s="650" t="str">
        <f t="shared" ref="P3635:P3650" si="0">A3635&amp;B3635&amp;C3635&amp;D3635&amp;E3635&amp;F3635&amp;G3635</f>
        <v>36722011West-Up2</v>
      </c>
      <c r="Q3635" s="501"/>
      <c r="R3635" s="564">
        <v>2</v>
      </c>
    </row>
    <row r="3636" spans="1:18" x14ac:dyDescent="0.25">
      <c r="A3636" s="553">
        <v>36</v>
      </c>
      <c r="B3636" s="553">
        <v>7</v>
      </c>
      <c r="C3636" s="553">
        <v>2</v>
      </c>
      <c r="D3636" s="553">
        <v>20</v>
      </c>
      <c r="E3636" s="553">
        <v>1</v>
      </c>
      <c r="F3636" s="553">
        <v>1</v>
      </c>
      <c r="G3636" s="502" t="s">
        <v>476</v>
      </c>
      <c r="H3636" s="553">
        <v>1375.27</v>
      </c>
      <c r="I3636" s="553">
        <v>0</v>
      </c>
      <c r="J3636" s="553">
        <v>55</v>
      </c>
      <c r="K3636" s="553">
        <v>0</v>
      </c>
      <c r="L3636" s="553">
        <v>2</v>
      </c>
      <c r="M3636" s="505" t="s">
        <v>137</v>
      </c>
      <c r="N3636" s="500">
        <v>43047565270000</v>
      </c>
      <c r="O3636" s="553" t="s">
        <v>7</v>
      </c>
      <c r="P3636" s="650" t="str">
        <f t="shared" si="0"/>
        <v>36722011West-Up1</v>
      </c>
      <c r="Q3636" s="501"/>
      <c r="R3636" s="564">
        <v>2</v>
      </c>
    </row>
    <row r="3637" spans="1:18" x14ac:dyDescent="0.25">
      <c r="A3637" s="553">
        <v>36</v>
      </c>
      <c r="B3637" s="553">
        <v>7</v>
      </c>
      <c r="C3637" s="553">
        <v>2</v>
      </c>
      <c r="D3637" s="553">
        <v>20</v>
      </c>
      <c r="E3637" s="553">
        <v>1</v>
      </c>
      <c r="F3637" s="553">
        <v>1</v>
      </c>
      <c r="G3637" s="553" t="s">
        <v>478</v>
      </c>
      <c r="H3637" s="553">
        <v>1371.85</v>
      </c>
      <c r="I3637" s="553">
        <v>0</v>
      </c>
      <c r="J3637" s="553">
        <v>55</v>
      </c>
      <c r="K3637" s="553">
        <v>44</v>
      </c>
      <c r="L3637" s="553">
        <v>2</v>
      </c>
      <c r="M3637" s="505" t="s">
        <v>137</v>
      </c>
      <c r="N3637" s="500">
        <v>43047565270000</v>
      </c>
      <c r="O3637" s="553" t="s">
        <v>7</v>
      </c>
      <c r="P3637" s="650" t="str">
        <f t="shared" si="0"/>
        <v>36722011West-Down1</v>
      </c>
      <c r="Q3637" s="501"/>
      <c r="R3637" s="564">
        <v>2</v>
      </c>
    </row>
    <row r="3638" spans="1:18" x14ac:dyDescent="0.25">
      <c r="A3638" s="553">
        <v>36</v>
      </c>
      <c r="B3638" s="553">
        <v>7</v>
      </c>
      <c r="C3638" s="553">
        <v>2</v>
      </c>
      <c r="D3638" s="553">
        <v>20</v>
      </c>
      <c r="E3638" s="553">
        <v>1</v>
      </c>
      <c r="F3638" s="553">
        <v>1</v>
      </c>
      <c r="G3638" s="553" t="s">
        <v>484</v>
      </c>
      <c r="H3638" s="553">
        <v>1371.08</v>
      </c>
      <c r="I3638" s="553">
        <v>0</v>
      </c>
      <c r="J3638" s="553">
        <v>55</v>
      </c>
      <c r="K3638" s="553">
        <v>24</v>
      </c>
      <c r="L3638" s="553">
        <v>2</v>
      </c>
      <c r="M3638" s="505" t="s">
        <v>137</v>
      </c>
      <c r="N3638" s="500">
        <v>43047565270000</v>
      </c>
      <c r="O3638" s="553" t="s">
        <v>7</v>
      </c>
      <c r="P3638" s="650" t="str">
        <f t="shared" si="0"/>
        <v>36722011West-Down2</v>
      </c>
      <c r="Q3638" s="501"/>
      <c r="R3638" s="564">
        <v>2</v>
      </c>
    </row>
    <row r="3639" spans="1:18" x14ac:dyDescent="0.25">
      <c r="A3639" s="553">
        <v>36</v>
      </c>
      <c r="B3639" s="553">
        <v>7</v>
      </c>
      <c r="C3639" s="553">
        <v>2</v>
      </c>
      <c r="D3639" s="553">
        <v>20</v>
      </c>
      <c r="E3639" s="553">
        <v>1</v>
      </c>
      <c r="F3639" s="553">
        <v>1</v>
      </c>
      <c r="G3639" s="553" t="s">
        <v>486</v>
      </c>
      <c r="H3639" s="553">
        <v>1370.7</v>
      </c>
      <c r="I3639" s="553">
        <v>0</v>
      </c>
      <c r="J3639" s="553">
        <v>16</v>
      </c>
      <c r="K3639" s="553">
        <v>30</v>
      </c>
      <c r="L3639" s="553">
        <v>4</v>
      </c>
      <c r="M3639" s="505" t="s">
        <v>137</v>
      </c>
      <c r="N3639" s="500">
        <v>43047565270000</v>
      </c>
      <c r="O3639" s="553" t="s">
        <v>7</v>
      </c>
      <c r="P3639" s="650" t="str">
        <f t="shared" si="0"/>
        <v>36722011East-Up2</v>
      </c>
      <c r="Q3639" s="501"/>
      <c r="R3639" s="564">
        <v>2</v>
      </c>
    </row>
    <row r="3640" spans="1:18" x14ac:dyDescent="0.25">
      <c r="A3640" s="553">
        <v>36</v>
      </c>
      <c r="B3640" s="553">
        <v>7</v>
      </c>
      <c r="C3640" s="553">
        <v>2</v>
      </c>
      <c r="D3640" s="553">
        <v>20</v>
      </c>
      <c r="E3640" s="553">
        <v>1</v>
      </c>
      <c r="F3640" s="553">
        <v>1</v>
      </c>
      <c r="G3640" s="502" t="s">
        <v>488</v>
      </c>
      <c r="H3640" s="553">
        <v>1316.93</v>
      </c>
      <c r="I3640" s="553">
        <v>0</v>
      </c>
      <c r="J3640" s="553">
        <v>50</v>
      </c>
      <c r="K3640" s="553">
        <v>46</v>
      </c>
      <c r="L3640" s="553">
        <v>4</v>
      </c>
      <c r="M3640" s="505" t="s">
        <v>137</v>
      </c>
      <c r="N3640" s="500">
        <v>43047565270000</v>
      </c>
      <c r="O3640" s="553" t="s">
        <v>7</v>
      </c>
      <c r="P3640" s="650" t="str">
        <f t="shared" si="0"/>
        <v>36722011East-Up1</v>
      </c>
      <c r="Q3640" s="501"/>
      <c r="R3640" s="564">
        <v>2</v>
      </c>
    </row>
    <row r="3641" spans="1:18" x14ac:dyDescent="0.25">
      <c r="A3641" s="553">
        <v>36</v>
      </c>
      <c r="B3641" s="553">
        <v>7</v>
      </c>
      <c r="C3641" s="553">
        <v>2</v>
      </c>
      <c r="D3641" s="553">
        <v>20</v>
      </c>
      <c r="E3641" s="553">
        <v>1</v>
      </c>
      <c r="F3641" s="553">
        <v>1</v>
      </c>
      <c r="G3641" s="553" t="s">
        <v>490</v>
      </c>
      <c r="H3641" s="553">
        <v>1385.87</v>
      </c>
      <c r="I3641" s="553">
        <v>1</v>
      </c>
      <c r="J3641" s="553">
        <v>0</v>
      </c>
      <c r="K3641" s="553">
        <v>40</v>
      </c>
      <c r="L3641" s="553">
        <v>4</v>
      </c>
      <c r="M3641" s="505" t="s">
        <v>137</v>
      </c>
      <c r="N3641" s="500">
        <v>43047565270000</v>
      </c>
      <c r="O3641" s="553" t="s">
        <v>7</v>
      </c>
      <c r="P3641" s="650" t="str">
        <f t="shared" si="0"/>
        <v>36722011East-Down1</v>
      </c>
      <c r="Q3641" s="501"/>
      <c r="R3641" s="564">
        <v>2</v>
      </c>
    </row>
    <row r="3642" spans="1:18" x14ac:dyDescent="0.25">
      <c r="A3642" s="553">
        <v>36</v>
      </c>
      <c r="B3642" s="553">
        <v>7</v>
      </c>
      <c r="C3642" s="553">
        <v>2</v>
      </c>
      <c r="D3642" s="553">
        <v>20</v>
      </c>
      <c r="E3642" s="553">
        <v>1</v>
      </c>
      <c r="F3642" s="553">
        <v>1</v>
      </c>
      <c r="G3642" s="553" t="s">
        <v>493</v>
      </c>
      <c r="H3642" s="553">
        <v>1246.6099999999999</v>
      </c>
      <c r="I3642" s="553">
        <v>0</v>
      </c>
      <c r="J3642" s="553">
        <v>58</v>
      </c>
      <c r="K3642" s="553">
        <v>24</v>
      </c>
      <c r="L3642" s="553">
        <v>4</v>
      </c>
      <c r="M3642" s="505" t="s">
        <v>137</v>
      </c>
      <c r="N3642" s="500">
        <v>43047565270000</v>
      </c>
      <c r="O3642" s="553" t="s">
        <v>7</v>
      </c>
      <c r="P3642" s="650" t="str">
        <f t="shared" si="0"/>
        <v>36722011East-Down2</v>
      </c>
      <c r="Q3642" s="501"/>
      <c r="R3642" s="564">
        <v>2</v>
      </c>
    </row>
    <row r="3643" spans="1:18" x14ac:dyDescent="0.25">
      <c r="A3643" s="553">
        <v>36</v>
      </c>
      <c r="B3643" s="553">
        <v>7</v>
      </c>
      <c r="C3643" s="553">
        <v>2</v>
      </c>
      <c r="D3643" s="553">
        <v>20</v>
      </c>
      <c r="E3643" s="553">
        <v>1</v>
      </c>
      <c r="F3643" s="553">
        <v>1</v>
      </c>
      <c r="G3643" s="553" t="s">
        <v>474</v>
      </c>
      <c r="H3643" s="553">
        <v>1288.4649999999999</v>
      </c>
      <c r="I3643" s="553">
        <v>88</v>
      </c>
      <c r="J3643" s="553">
        <v>42</v>
      </c>
      <c r="K3643" s="553">
        <v>20</v>
      </c>
      <c r="L3643" s="553">
        <v>4</v>
      </c>
      <c r="M3643" s="505" t="s">
        <v>137</v>
      </c>
      <c r="N3643" s="500">
        <v>43047565270000</v>
      </c>
      <c r="O3643" s="553" t="s">
        <v>7</v>
      </c>
      <c r="P3643" s="650" t="str">
        <f t="shared" si="0"/>
        <v>36722011North-Left2</v>
      </c>
      <c r="Q3643" s="501"/>
      <c r="R3643" s="564">
        <v>2</v>
      </c>
    </row>
    <row r="3644" spans="1:18" x14ac:dyDescent="0.25">
      <c r="A3644" s="553">
        <v>36</v>
      </c>
      <c r="B3644" s="553">
        <v>7</v>
      </c>
      <c r="C3644" s="553">
        <v>2</v>
      </c>
      <c r="D3644" s="553">
        <v>20</v>
      </c>
      <c r="E3644" s="553">
        <v>1</v>
      </c>
      <c r="F3644" s="553">
        <v>1</v>
      </c>
      <c r="G3644" s="502" t="s">
        <v>477</v>
      </c>
      <c r="H3644" s="553">
        <v>1288.4649999999999</v>
      </c>
      <c r="I3644" s="553">
        <v>88</v>
      </c>
      <c r="J3644" s="553">
        <v>42</v>
      </c>
      <c r="K3644" s="553">
        <v>20</v>
      </c>
      <c r="L3644" s="553">
        <v>4</v>
      </c>
      <c r="M3644" s="505" t="s">
        <v>137</v>
      </c>
      <c r="N3644" s="500">
        <v>43047565270000</v>
      </c>
      <c r="O3644" s="553" t="s">
        <v>7</v>
      </c>
      <c r="P3644" s="650" t="str">
        <f t="shared" si="0"/>
        <v>36722011North-Left1</v>
      </c>
      <c r="Q3644" s="501"/>
      <c r="R3644" s="564">
        <v>2</v>
      </c>
    </row>
    <row r="3645" spans="1:18" x14ac:dyDescent="0.25">
      <c r="A3645" s="553">
        <v>36</v>
      </c>
      <c r="B3645" s="553">
        <v>7</v>
      </c>
      <c r="C3645" s="553">
        <v>2</v>
      </c>
      <c r="D3645" s="553">
        <v>20</v>
      </c>
      <c r="E3645" s="553">
        <v>1</v>
      </c>
      <c r="F3645" s="553">
        <v>1</v>
      </c>
      <c r="G3645" s="553" t="s">
        <v>479</v>
      </c>
      <c r="H3645" s="553">
        <v>1289.8800000000001</v>
      </c>
      <c r="I3645" s="553">
        <v>88</v>
      </c>
      <c r="J3645" s="553">
        <v>42</v>
      </c>
      <c r="K3645" s="553">
        <v>50</v>
      </c>
      <c r="L3645" s="553">
        <v>4</v>
      </c>
      <c r="M3645" s="505" t="s">
        <v>137</v>
      </c>
      <c r="N3645" s="500">
        <v>43047565270000</v>
      </c>
      <c r="O3645" s="553" t="s">
        <v>7</v>
      </c>
      <c r="P3645" s="650" t="str">
        <f t="shared" si="0"/>
        <v>36722011North-Right1</v>
      </c>
      <c r="Q3645" s="501"/>
      <c r="R3645" s="564">
        <v>2</v>
      </c>
    </row>
    <row r="3646" spans="1:18" x14ac:dyDescent="0.25">
      <c r="A3646" s="553">
        <v>36</v>
      </c>
      <c r="B3646" s="553">
        <v>7</v>
      </c>
      <c r="C3646" s="553">
        <v>2</v>
      </c>
      <c r="D3646" s="553">
        <v>20</v>
      </c>
      <c r="E3646" s="553">
        <v>1</v>
      </c>
      <c r="F3646" s="553">
        <v>1</v>
      </c>
      <c r="G3646" s="553" t="s">
        <v>485</v>
      </c>
      <c r="H3646" s="553">
        <v>1289.8800000000001</v>
      </c>
      <c r="I3646" s="553">
        <v>88</v>
      </c>
      <c r="J3646" s="553">
        <v>42</v>
      </c>
      <c r="K3646" s="553">
        <v>50</v>
      </c>
      <c r="L3646" s="553">
        <v>4</v>
      </c>
      <c r="M3646" s="505" t="s">
        <v>137</v>
      </c>
      <c r="N3646" s="500">
        <v>43047565270000</v>
      </c>
      <c r="O3646" s="553" t="s">
        <v>7</v>
      </c>
      <c r="P3646" s="650" t="str">
        <f t="shared" si="0"/>
        <v>36722011North-Right2</v>
      </c>
      <c r="Q3646" s="501"/>
      <c r="R3646" s="564">
        <v>2</v>
      </c>
    </row>
    <row r="3647" spans="1:18" x14ac:dyDescent="0.25">
      <c r="A3647" s="553">
        <v>36</v>
      </c>
      <c r="B3647" s="553">
        <v>7</v>
      </c>
      <c r="C3647" s="553">
        <v>2</v>
      </c>
      <c r="D3647" s="553">
        <v>20</v>
      </c>
      <c r="E3647" s="553">
        <v>1</v>
      </c>
      <c r="F3647" s="553">
        <v>1</v>
      </c>
      <c r="G3647" s="553" t="s">
        <v>487</v>
      </c>
      <c r="H3647" s="553">
        <v>1328.875</v>
      </c>
      <c r="I3647" s="553">
        <v>89</v>
      </c>
      <c r="J3647" s="553">
        <v>23</v>
      </c>
      <c r="K3647" s="553">
        <v>17</v>
      </c>
      <c r="L3647" s="553">
        <v>3</v>
      </c>
      <c r="M3647" s="505" t="s">
        <v>137</v>
      </c>
      <c r="N3647" s="500">
        <v>43047565270000</v>
      </c>
      <c r="O3647" s="553" t="s">
        <v>7</v>
      </c>
      <c r="P3647" s="650" t="str">
        <f t="shared" si="0"/>
        <v>36722011South-Left2</v>
      </c>
      <c r="Q3647" s="501"/>
      <c r="R3647" s="564">
        <v>2</v>
      </c>
    </row>
    <row r="3648" spans="1:18" x14ac:dyDescent="0.25">
      <c r="A3648" s="553">
        <v>36</v>
      </c>
      <c r="B3648" s="553">
        <v>7</v>
      </c>
      <c r="C3648" s="553">
        <v>2</v>
      </c>
      <c r="D3648" s="553">
        <v>20</v>
      </c>
      <c r="E3648" s="553">
        <v>1</v>
      </c>
      <c r="F3648" s="553">
        <v>1</v>
      </c>
      <c r="G3648" s="502" t="s">
        <v>489</v>
      </c>
      <c r="H3648" s="553">
        <v>1328.875</v>
      </c>
      <c r="I3648" s="553">
        <v>89</v>
      </c>
      <c r="J3648" s="553">
        <v>23</v>
      </c>
      <c r="K3648" s="553">
        <v>17</v>
      </c>
      <c r="L3648" s="553">
        <v>3</v>
      </c>
      <c r="M3648" s="505" t="s">
        <v>137</v>
      </c>
      <c r="N3648" s="500">
        <v>43047565270000</v>
      </c>
      <c r="O3648" s="553" t="s">
        <v>7</v>
      </c>
      <c r="P3648" s="650" t="str">
        <f t="shared" si="0"/>
        <v>36722011South-Left1</v>
      </c>
      <c r="Q3648" s="501"/>
      <c r="R3648" s="564">
        <v>2</v>
      </c>
    </row>
    <row r="3649" spans="1:18" x14ac:dyDescent="0.25">
      <c r="A3649" s="553">
        <v>36</v>
      </c>
      <c r="B3649" s="553">
        <v>7</v>
      </c>
      <c r="C3649" s="553">
        <v>2</v>
      </c>
      <c r="D3649" s="553">
        <v>20</v>
      </c>
      <c r="E3649" s="553">
        <v>1</v>
      </c>
      <c r="F3649" s="553">
        <v>1</v>
      </c>
      <c r="G3649" s="553" t="s">
        <v>491</v>
      </c>
      <c r="H3649" s="553">
        <v>1328.885</v>
      </c>
      <c r="I3649" s="553">
        <v>89</v>
      </c>
      <c r="J3649" s="553">
        <v>22</v>
      </c>
      <c r="K3649" s="553">
        <v>53</v>
      </c>
      <c r="L3649" s="553">
        <v>3</v>
      </c>
      <c r="M3649" s="505" t="s">
        <v>137</v>
      </c>
      <c r="N3649" s="500">
        <v>43047565270000</v>
      </c>
      <c r="O3649" s="553" t="s">
        <v>7</v>
      </c>
      <c r="P3649" s="650" t="str">
        <f t="shared" si="0"/>
        <v>36722011South-Right1</v>
      </c>
      <c r="Q3649" s="501"/>
      <c r="R3649" s="564">
        <v>2</v>
      </c>
    </row>
    <row r="3650" spans="1:18" x14ac:dyDescent="0.25">
      <c r="A3650" s="553">
        <v>36</v>
      </c>
      <c r="B3650" s="553">
        <v>7</v>
      </c>
      <c r="C3650" s="553">
        <v>2</v>
      </c>
      <c r="D3650" s="553">
        <v>20</v>
      </c>
      <c r="E3650" s="553">
        <v>1</v>
      </c>
      <c r="F3650" s="553">
        <v>1</v>
      </c>
      <c r="G3650" s="553" t="s">
        <v>494</v>
      </c>
      <c r="H3650" s="553">
        <v>1328.885</v>
      </c>
      <c r="I3650" s="553">
        <v>89</v>
      </c>
      <c r="J3650" s="553">
        <v>22</v>
      </c>
      <c r="K3650" s="553">
        <v>53</v>
      </c>
      <c r="L3650" s="553">
        <v>3</v>
      </c>
      <c r="M3650" s="505" t="s">
        <v>137</v>
      </c>
      <c r="N3650" s="500">
        <v>43047565270000</v>
      </c>
      <c r="O3650" s="553" t="s">
        <v>7</v>
      </c>
      <c r="P3650" s="650" t="str">
        <f t="shared" si="0"/>
        <v>36722011South-Right2</v>
      </c>
      <c r="Q3650" s="501"/>
      <c r="R3650" s="564">
        <v>2</v>
      </c>
    </row>
    <row r="3651" spans="1:18" x14ac:dyDescent="0.25">
      <c r="A3651" s="501">
        <v>31</v>
      </c>
      <c r="B3651" s="501">
        <v>3</v>
      </c>
      <c r="C3651" s="501">
        <v>2</v>
      </c>
      <c r="D3651" s="501">
        <v>2</v>
      </c>
      <c r="E3651" s="501">
        <v>2</v>
      </c>
      <c r="F3651" s="501">
        <v>2</v>
      </c>
      <c r="G3651" s="564" t="s">
        <v>473</v>
      </c>
      <c r="H3651" s="501">
        <v>0</v>
      </c>
      <c r="I3651" s="501">
        <v>0</v>
      </c>
      <c r="J3651" s="501">
        <v>0</v>
      </c>
      <c r="K3651" s="501">
        <v>0</v>
      </c>
      <c r="L3651" s="501">
        <v>0</v>
      </c>
      <c r="M3651" s="667" t="s">
        <v>137</v>
      </c>
      <c r="N3651" s="668">
        <v>43013540710000</v>
      </c>
      <c r="O3651" s="501" t="s">
        <v>4372</v>
      </c>
      <c r="P3651" s="501" t="s">
        <v>4373</v>
      </c>
      <c r="Q3651" s="501" t="s">
        <v>4374</v>
      </c>
      <c r="R3651" s="564">
        <v>1</v>
      </c>
    </row>
    <row r="3652" spans="1:18" x14ac:dyDescent="0.25">
      <c r="A3652" s="501">
        <v>31</v>
      </c>
      <c r="B3652" s="501">
        <v>3</v>
      </c>
      <c r="C3652" s="501">
        <v>2</v>
      </c>
      <c r="D3652" s="501">
        <v>2</v>
      </c>
      <c r="E3652" s="501">
        <v>2</v>
      </c>
      <c r="F3652" s="501">
        <v>2</v>
      </c>
      <c r="G3652" s="521" t="s">
        <v>476</v>
      </c>
      <c r="H3652" s="501">
        <v>2635.63</v>
      </c>
      <c r="I3652" s="501">
        <v>0</v>
      </c>
      <c r="J3652" s="501">
        <v>2</v>
      </c>
      <c r="K3652" s="501">
        <v>33</v>
      </c>
      <c r="L3652" s="501">
        <v>2</v>
      </c>
      <c r="M3652" s="667" t="s">
        <v>137</v>
      </c>
      <c r="N3652" s="668">
        <v>43013540710000</v>
      </c>
      <c r="O3652" s="501" t="s">
        <v>4372</v>
      </c>
      <c r="P3652" s="501" t="s">
        <v>4375</v>
      </c>
      <c r="Q3652" s="501" t="s">
        <v>4374</v>
      </c>
      <c r="R3652" s="564">
        <v>1</v>
      </c>
    </row>
    <row r="3653" spans="1:18" x14ac:dyDescent="0.25">
      <c r="A3653" s="501">
        <v>31</v>
      </c>
      <c r="B3653" s="501">
        <v>3</v>
      </c>
      <c r="C3653" s="501">
        <v>2</v>
      </c>
      <c r="D3653" s="501">
        <v>2</v>
      </c>
      <c r="E3653" s="501">
        <v>2</v>
      </c>
      <c r="F3653" s="501">
        <v>2</v>
      </c>
      <c r="G3653" s="564" t="s">
        <v>478</v>
      </c>
      <c r="H3653" s="501">
        <v>2642.98</v>
      </c>
      <c r="I3653" s="501">
        <v>0</v>
      </c>
      <c r="J3653" s="501">
        <v>7</v>
      </c>
      <c r="K3653" s="501">
        <v>44</v>
      </c>
      <c r="L3653" s="501">
        <v>2</v>
      </c>
      <c r="M3653" s="667" t="s">
        <v>137</v>
      </c>
      <c r="N3653" s="668">
        <v>43013540710000</v>
      </c>
      <c r="O3653" s="501" t="s">
        <v>4372</v>
      </c>
      <c r="P3653" s="501" t="s">
        <v>4376</v>
      </c>
      <c r="Q3653" s="501" t="s">
        <v>4374</v>
      </c>
      <c r="R3653" s="564">
        <v>1</v>
      </c>
    </row>
    <row r="3654" spans="1:18" x14ac:dyDescent="0.25">
      <c r="A3654" s="501">
        <v>31</v>
      </c>
      <c r="B3654" s="501">
        <v>3</v>
      </c>
      <c r="C3654" s="501">
        <v>2</v>
      </c>
      <c r="D3654" s="501">
        <v>2</v>
      </c>
      <c r="E3654" s="501">
        <v>2</v>
      </c>
      <c r="F3654" s="501">
        <v>2</v>
      </c>
      <c r="G3654" s="564" t="s">
        <v>484</v>
      </c>
      <c r="H3654" s="501">
        <v>0</v>
      </c>
      <c r="I3654" s="501">
        <v>0</v>
      </c>
      <c r="J3654" s="501">
        <v>0</v>
      </c>
      <c r="K3654" s="501">
        <v>0</v>
      </c>
      <c r="L3654" s="501">
        <v>0</v>
      </c>
      <c r="M3654" s="667" t="s">
        <v>137</v>
      </c>
      <c r="N3654" s="668">
        <v>43013540710000</v>
      </c>
      <c r="O3654" s="501" t="s">
        <v>4372</v>
      </c>
      <c r="P3654" s="501" t="s">
        <v>4377</v>
      </c>
      <c r="Q3654" s="501" t="s">
        <v>4374</v>
      </c>
      <c r="R3654" s="564">
        <v>1</v>
      </c>
    </row>
    <row r="3655" spans="1:18" x14ac:dyDescent="0.25">
      <c r="A3655" s="501">
        <v>31</v>
      </c>
      <c r="B3655" s="501">
        <v>3</v>
      </c>
      <c r="C3655" s="501">
        <v>2</v>
      </c>
      <c r="D3655" s="501">
        <v>2</v>
      </c>
      <c r="E3655" s="501">
        <v>2</v>
      </c>
      <c r="F3655" s="501">
        <v>2</v>
      </c>
      <c r="G3655" s="564" t="s">
        <v>486</v>
      </c>
      <c r="H3655" s="501">
        <v>0</v>
      </c>
      <c r="I3655" s="501">
        <v>0</v>
      </c>
      <c r="J3655" s="501">
        <v>0</v>
      </c>
      <c r="K3655" s="501">
        <v>0</v>
      </c>
      <c r="L3655" s="501">
        <v>0</v>
      </c>
      <c r="M3655" s="667" t="s">
        <v>137</v>
      </c>
      <c r="N3655" s="668">
        <v>43013540710000</v>
      </c>
      <c r="O3655" s="501" t="s">
        <v>4372</v>
      </c>
      <c r="P3655" s="501" t="s">
        <v>4378</v>
      </c>
      <c r="Q3655" s="501" t="s">
        <v>4374</v>
      </c>
      <c r="R3655" s="564">
        <v>1</v>
      </c>
    </row>
    <row r="3656" spans="1:18" x14ac:dyDescent="0.25">
      <c r="A3656" s="501">
        <v>31</v>
      </c>
      <c r="B3656" s="501">
        <v>3</v>
      </c>
      <c r="C3656" s="501">
        <v>2</v>
      </c>
      <c r="D3656" s="501">
        <v>2</v>
      </c>
      <c r="E3656" s="501">
        <v>2</v>
      </c>
      <c r="F3656" s="501">
        <v>2</v>
      </c>
      <c r="G3656" s="521" t="s">
        <v>488</v>
      </c>
      <c r="H3656" s="501">
        <v>2666.69</v>
      </c>
      <c r="I3656" s="501">
        <v>0</v>
      </c>
      <c r="J3656" s="501">
        <v>3</v>
      </c>
      <c r="K3656" s="501">
        <v>0</v>
      </c>
      <c r="L3656" s="501">
        <v>2</v>
      </c>
      <c r="M3656" s="667" t="s">
        <v>137</v>
      </c>
      <c r="N3656" s="668">
        <v>43013540710000</v>
      </c>
      <c r="O3656" s="501" t="s">
        <v>4372</v>
      </c>
      <c r="P3656" s="501" t="s">
        <v>4379</v>
      </c>
      <c r="Q3656" s="501" t="s">
        <v>4374</v>
      </c>
      <c r="R3656" s="564">
        <v>1</v>
      </c>
    </row>
    <row r="3657" spans="1:18" x14ac:dyDescent="0.25">
      <c r="A3657" s="501">
        <v>31</v>
      </c>
      <c r="B3657" s="501">
        <v>3</v>
      </c>
      <c r="C3657" s="501">
        <v>2</v>
      </c>
      <c r="D3657" s="501">
        <v>2</v>
      </c>
      <c r="E3657" s="501">
        <v>2</v>
      </c>
      <c r="F3657" s="501">
        <v>2</v>
      </c>
      <c r="G3657" s="564" t="s">
        <v>490</v>
      </c>
      <c r="H3657" s="501">
        <v>2606.85</v>
      </c>
      <c r="I3657" s="501">
        <v>0</v>
      </c>
      <c r="J3657" s="501">
        <v>3</v>
      </c>
      <c r="K3657" s="501">
        <v>17</v>
      </c>
      <c r="L3657" s="501">
        <v>2</v>
      </c>
      <c r="M3657" s="667" t="s">
        <v>137</v>
      </c>
      <c r="N3657" s="668">
        <v>43013540710000</v>
      </c>
      <c r="O3657" s="501" t="s">
        <v>4372</v>
      </c>
      <c r="P3657" s="501" t="s">
        <v>4380</v>
      </c>
      <c r="Q3657" s="501" t="s">
        <v>4374</v>
      </c>
      <c r="R3657" s="564">
        <v>1</v>
      </c>
    </row>
    <row r="3658" spans="1:18" x14ac:dyDescent="0.25">
      <c r="A3658" s="501">
        <v>31</v>
      </c>
      <c r="B3658" s="501">
        <v>3</v>
      </c>
      <c r="C3658" s="501">
        <v>2</v>
      </c>
      <c r="D3658" s="501">
        <v>2</v>
      </c>
      <c r="E3658" s="501">
        <v>2</v>
      </c>
      <c r="F3658" s="501">
        <v>2</v>
      </c>
      <c r="G3658" s="564" t="s">
        <v>493</v>
      </c>
      <c r="H3658" s="501">
        <v>0</v>
      </c>
      <c r="I3658" s="501">
        <v>0</v>
      </c>
      <c r="J3658" s="501">
        <v>0</v>
      </c>
      <c r="K3658" s="501">
        <v>0</v>
      </c>
      <c r="L3658" s="501">
        <v>0</v>
      </c>
      <c r="M3658" s="667" t="s">
        <v>137</v>
      </c>
      <c r="N3658" s="668">
        <v>43013540710000</v>
      </c>
      <c r="O3658" s="501" t="s">
        <v>4372</v>
      </c>
      <c r="P3658" s="501" t="s">
        <v>4381</v>
      </c>
      <c r="Q3658" s="501" t="s">
        <v>4374</v>
      </c>
      <c r="R3658" s="564">
        <v>1</v>
      </c>
    </row>
    <row r="3659" spans="1:18" x14ac:dyDescent="0.25">
      <c r="A3659" s="501">
        <v>31</v>
      </c>
      <c r="B3659" s="501">
        <v>3</v>
      </c>
      <c r="C3659" s="501">
        <v>2</v>
      </c>
      <c r="D3659" s="501">
        <v>2</v>
      </c>
      <c r="E3659" s="501">
        <v>2</v>
      </c>
      <c r="F3659" s="501">
        <v>2</v>
      </c>
      <c r="G3659" s="564" t="s">
        <v>474</v>
      </c>
      <c r="H3659" s="501">
        <v>0</v>
      </c>
      <c r="I3659" s="501">
        <v>0</v>
      </c>
      <c r="J3659" s="501">
        <v>0</v>
      </c>
      <c r="K3659" s="501">
        <v>0</v>
      </c>
      <c r="L3659" s="501">
        <v>0</v>
      </c>
      <c r="M3659" s="667" t="s">
        <v>137</v>
      </c>
      <c r="N3659" s="668">
        <v>43013540710000</v>
      </c>
      <c r="O3659" s="501" t="s">
        <v>4372</v>
      </c>
      <c r="P3659" s="501" t="s">
        <v>4382</v>
      </c>
      <c r="Q3659" s="501" t="s">
        <v>4374</v>
      </c>
      <c r="R3659" s="564">
        <v>1</v>
      </c>
    </row>
    <row r="3660" spans="1:18" x14ac:dyDescent="0.25">
      <c r="A3660" s="501">
        <v>31</v>
      </c>
      <c r="B3660" s="501">
        <v>3</v>
      </c>
      <c r="C3660" s="501">
        <v>2</v>
      </c>
      <c r="D3660" s="501">
        <v>2</v>
      </c>
      <c r="E3660" s="501">
        <v>2</v>
      </c>
      <c r="F3660" s="501">
        <v>2</v>
      </c>
      <c r="G3660" s="521" t="s">
        <v>477</v>
      </c>
      <c r="H3660" s="501">
        <v>5195.76</v>
      </c>
      <c r="I3660" s="501">
        <v>89</v>
      </c>
      <c r="J3660" s="501">
        <v>52</v>
      </c>
      <c r="K3660" s="501">
        <v>46</v>
      </c>
      <c r="L3660" s="501">
        <v>3</v>
      </c>
      <c r="M3660" s="667" t="s">
        <v>137</v>
      </c>
      <c r="N3660" s="668">
        <v>43013540710000</v>
      </c>
      <c r="O3660" s="501" t="s">
        <v>4372</v>
      </c>
      <c r="P3660" s="501" t="s">
        <v>4383</v>
      </c>
      <c r="Q3660" s="501" t="s">
        <v>4374</v>
      </c>
      <c r="R3660" s="564">
        <v>1</v>
      </c>
    </row>
    <row r="3661" spans="1:18" x14ac:dyDescent="0.25">
      <c r="A3661" s="501">
        <v>31</v>
      </c>
      <c r="B3661" s="501">
        <v>3</v>
      </c>
      <c r="C3661" s="501">
        <v>2</v>
      </c>
      <c r="D3661" s="501">
        <v>2</v>
      </c>
      <c r="E3661" s="501">
        <v>2</v>
      </c>
      <c r="F3661" s="501">
        <v>2</v>
      </c>
      <c r="G3661" s="564" t="s">
        <v>479</v>
      </c>
      <c r="H3661" s="501">
        <v>0</v>
      </c>
      <c r="I3661" s="501">
        <v>0</v>
      </c>
      <c r="J3661" s="501">
        <v>0</v>
      </c>
      <c r="K3661" s="501">
        <v>0</v>
      </c>
      <c r="L3661" s="501">
        <v>0</v>
      </c>
      <c r="M3661" s="667" t="s">
        <v>137</v>
      </c>
      <c r="N3661" s="668">
        <v>43013540710000</v>
      </c>
      <c r="O3661" s="501" t="s">
        <v>4372</v>
      </c>
      <c r="P3661" s="501" t="s">
        <v>4384</v>
      </c>
      <c r="Q3661" s="501" t="s">
        <v>4374</v>
      </c>
      <c r="R3661" s="564">
        <v>1</v>
      </c>
    </row>
    <row r="3662" spans="1:18" x14ac:dyDescent="0.25">
      <c r="A3662" s="501">
        <v>31</v>
      </c>
      <c r="B3662" s="501">
        <v>3</v>
      </c>
      <c r="C3662" s="501">
        <v>2</v>
      </c>
      <c r="D3662" s="501">
        <v>2</v>
      </c>
      <c r="E3662" s="501">
        <v>2</v>
      </c>
      <c r="F3662" s="501">
        <v>2</v>
      </c>
      <c r="G3662" s="564" t="s">
        <v>485</v>
      </c>
      <c r="H3662" s="501">
        <v>0</v>
      </c>
      <c r="I3662" s="501">
        <v>0</v>
      </c>
      <c r="J3662" s="501">
        <v>0</v>
      </c>
      <c r="K3662" s="501">
        <v>0</v>
      </c>
      <c r="L3662" s="501">
        <v>0</v>
      </c>
      <c r="M3662" s="667" t="s">
        <v>137</v>
      </c>
      <c r="N3662" s="668">
        <v>43013540710000</v>
      </c>
      <c r="O3662" s="501" t="s">
        <v>4372</v>
      </c>
      <c r="P3662" s="501" t="s">
        <v>4385</v>
      </c>
      <c r="Q3662" s="501" t="s">
        <v>4374</v>
      </c>
      <c r="R3662" s="564">
        <v>1</v>
      </c>
    </row>
    <row r="3663" spans="1:18" x14ac:dyDescent="0.25">
      <c r="A3663" s="501">
        <v>31</v>
      </c>
      <c r="B3663" s="501">
        <v>3</v>
      </c>
      <c r="C3663" s="501">
        <v>2</v>
      </c>
      <c r="D3663" s="501">
        <v>2</v>
      </c>
      <c r="E3663" s="501">
        <v>2</v>
      </c>
      <c r="F3663" s="501">
        <v>2</v>
      </c>
      <c r="G3663" s="564" t="s">
        <v>487</v>
      </c>
      <c r="H3663" s="501">
        <v>1235.52</v>
      </c>
      <c r="I3663" s="501">
        <v>89</v>
      </c>
      <c r="J3663" s="501">
        <v>49</v>
      </c>
      <c r="K3663" s="501">
        <v>22</v>
      </c>
      <c r="L3663" s="501">
        <v>3</v>
      </c>
      <c r="M3663" s="667" t="s">
        <v>137</v>
      </c>
      <c r="N3663" s="668">
        <v>43013540710000</v>
      </c>
      <c r="O3663" s="501" t="s">
        <v>4372</v>
      </c>
      <c r="P3663" s="501" t="s">
        <v>4386</v>
      </c>
      <c r="Q3663" s="501" t="s">
        <v>4374</v>
      </c>
      <c r="R3663" s="564">
        <v>1</v>
      </c>
    </row>
    <row r="3664" spans="1:18" x14ac:dyDescent="0.25">
      <c r="A3664" s="501">
        <v>31</v>
      </c>
      <c r="B3664" s="501">
        <v>3</v>
      </c>
      <c r="C3664" s="501">
        <v>2</v>
      </c>
      <c r="D3664" s="501">
        <v>2</v>
      </c>
      <c r="E3664" s="501">
        <v>2</v>
      </c>
      <c r="F3664" s="501">
        <v>2</v>
      </c>
      <c r="G3664" s="521" t="s">
        <v>489</v>
      </c>
      <c r="H3664" s="501">
        <v>1321.87</v>
      </c>
      <c r="I3664" s="501">
        <v>89</v>
      </c>
      <c r="J3664" s="501">
        <v>49</v>
      </c>
      <c r="K3664" s="501">
        <v>26</v>
      </c>
      <c r="L3664" s="501">
        <v>3</v>
      </c>
      <c r="M3664" s="667" t="s">
        <v>137</v>
      </c>
      <c r="N3664" s="668">
        <v>43013540710000</v>
      </c>
      <c r="O3664" s="501" t="s">
        <v>4372</v>
      </c>
      <c r="P3664" s="501" t="s">
        <v>4387</v>
      </c>
      <c r="Q3664" s="501" t="s">
        <v>4374</v>
      </c>
      <c r="R3664" s="564">
        <v>1</v>
      </c>
    </row>
    <row r="3665" spans="1:18" x14ac:dyDescent="0.25">
      <c r="A3665" s="501">
        <v>31</v>
      </c>
      <c r="B3665" s="501">
        <v>3</v>
      </c>
      <c r="C3665" s="501">
        <v>2</v>
      </c>
      <c r="D3665" s="501">
        <v>2</v>
      </c>
      <c r="E3665" s="501">
        <v>2</v>
      </c>
      <c r="F3665" s="501">
        <v>2</v>
      </c>
      <c r="G3665" s="564" t="s">
        <v>491</v>
      </c>
      <c r="H3665" s="501">
        <v>2641.48</v>
      </c>
      <c r="I3665" s="501">
        <v>89</v>
      </c>
      <c r="J3665" s="501">
        <v>49</v>
      </c>
      <c r="K3665" s="501">
        <v>27</v>
      </c>
      <c r="L3665" s="501">
        <v>3</v>
      </c>
      <c r="M3665" s="667" t="s">
        <v>137</v>
      </c>
      <c r="N3665" s="668">
        <v>43013540710000</v>
      </c>
      <c r="O3665" s="501" t="s">
        <v>4372</v>
      </c>
      <c r="P3665" s="501" t="s">
        <v>4388</v>
      </c>
      <c r="Q3665" s="501" t="s">
        <v>4374</v>
      </c>
      <c r="R3665" s="564">
        <v>1</v>
      </c>
    </row>
    <row r="3666" spans="1:18" x14ac:dyDescent="0.25">
      <c r="A3666" s="501">
        <v>31</v>
      </c>
      <c r="B3666" s="501">
        <v>3</v>
      </c>
      <c r="C3666" s="501">
        <v>2</v>
      </c>
      <c r="D3666" s="501">
        <v>2</v>
      </c>
      <c r="E3666" s="501">
        <v>2</v>
      </c>
      <c r="F3666" s="501">
        <v>2</v>
      </c>
      <c r="G3666" s="564" t="s">
        <v>494</v>
      </c>
      <c r="H3666" s="501">
        <v>0</v>
      </c>
      <c r="I3666" s="501">
        <v>0</v>
      </c>
      <c r="J3666" s="501">
        <v>0</v>
      </c>
      <c r="K3666" s="501">
        <v>0</v>
      </c>
      <c r="L3666" s="501">
        <v>0</v>
      </c>
      <c r="M3666" s="667" t="s">
        <v>137</v>
      </c>
      <c r="N3666" s="668">
        <v>43013540710000</v>
      </c>
      <c r="O3666" s="501" t="s">
        <v>4372</v>
      </c>
      <c r="P3666" s="501" t="s">
        <v>4389</v>
      </c>
      <c r="Q3666" s="501" t="s">
        <v>4374</v>
      </c>
      <c r="R3666" s="564">
        <v>1</v>
      </c>
    </row>
    <row r="3667" spans="1:18" x14ac:dyDescent="0.25">
      <c r="A3667" s="501">
        <v>30</v>
      </c>
      <c r="B3667" s="501">
        <v>3</v>
      </c>
      <c r="C3667" s="501">
        <v>2</v>
      </c>
      <c r="D3667" s="501">
        <v>2</v>
      </c>
      <c r="E3667" s="501">
        <v>2</v>
      </c>
      <c r="F3667" s="501">
        <v>2</v>
      </c>
      <c r="G3667" s="553" t="s">
        <v>473</v>
      </c>
      <c r="H3667" s="501">
        <v>0</v>
      </c>
      <c r="I3667" s="501">
        <v>0</v>
      </c>
      <c r="J3667" s="501">
        <v>0</v>
      </c>
      <c r="K3667" s="501">
        <v>0</v>
      </c>
      <c r="L3667" s="501">
        <v>0</v>
      </c>
      <c r="M3667" s="667" t="s">
        <v>137</v>
      </c>
      <c r="N3667" s="668">
        <v>43013540710000</v>
      </c>
      <c r="O3667" s="501" t="s">
        <v>4372</v>
      </c>
      <c r="P3667" s="501" t="s">
        <v>4390</v>
      </c>
      <c r="Q3667" s="501" t="s">
        <v>4374</v>
      </c>
      <c r="R3667" s="564">
        <v>2</v>
      </c>
    </row>
    <row r="3668" spans="1:18" x14ac:dyDescent="0.25">
      <c r="A3668" s="501">
        <v>30</v>
      </c>
      <c r="B3668" s="501">
        <v>3</v>
      </c>
      <c r="C3668" s="501">
        <v>2</v>
      </c>
      <c r="D3668" s="501">
        <v>2</v>
      </c>
      <c r="E3668" s="501">
        <v>2</v>
      </c>
      <c r="F3668" s="501">
        <v>2</v>
      </c>
      <c r="G3668" s="502" t="s">
        <v>476</v>
      </c>
      <c r="H3668" s="501">
        <v>2593.09</v>
      </c>
      <c r="I3668" s="501">
        <v>0</v>
      </c>
      <c r="J3668" s="501">
        <v>11</v>
      </c>
      <c r="K3668" s="501">
        <v>56</v>
      </c>
      <c r="L3668" s="501">
        <v>2</v>
      </c>
      <c r="M3668" s="667" t="s">
        <v>137</v>
      </c>
      <c r="N3668" s="668">
        <v>43013540710000</v>
      </c>
      <c r="O3668" s="501" t="s">
        <v>4372</v>
      </c>
      <c r="P3668" s="501" t="s">
        <v>4391</v>
      </c>
      <c r="Q3668" s="501" t="s">
        <v>4374</v>
      </c>
      <c r="R3668" s="564">
        <v>2</v>
      </c>
    </row>
    <row r="3669" spans="1:18" x14ac:dyDescent="0.25">
      <c r="A3669" s="501">
        <v>30</v>
      </c>
      <c r="B3669" s="501">
        <v>3</v>
      </c>
      <c r="C3669" s="501">
        <v>2</v>
      </c>
      <c r="D3669" s="501">
        <v>2</v>
      </c>
      <c r="E3669" s="501">
        <v>2</v>
      </c>
      <c r="F3669" s="501">
        <v>2</v>
      </c>
      <c r="G3669" s="553" t="s">
        <v>478</v>
      </c>
      <c r="H3669" s="501">
        <v>1369.34</v>
      </c>
      <c r="I3669" s="501">
        <v>0</v>
      </c>
      <c r="J3669" s="501">
        <v>39</v>
      </c>
      <c r="K3669" s="501">
        <v>33</v>
      </c>
      <c r="L3669" s="501">
        <v>2</v>
      </c>
      <c r="M3669" s="667" t="s">
        <v>137</v>
      </c>
      <c r="N3669" s="668">
        <v>43013540710000</v>
      </c>
      <c r="O3669" s="501" t="s">
        <v>4372</v>
      </c>
      <c r="P3669" s="501" t="s">
        <v>4392</v>
      </c>
      <c r="Q3669" s="501" t="s">
        <v>4374</v>
      </c>
      <c r="R3669" s="564">
        <v>2</v>
      </c>
    </row>
    <row r="3670" spans="1:18" x14ac:dyDescent="0.25">
      <c r="A3670" s="501">
        <v>30</v>
      </c>
      <c r="B3670" s="501">
        <v>3</v>
      </c>
      <c r="C3670" s="501">
        <v>2</v>
      </c>
      <c r="D3670" s="501">
        <v>2</v>
      </c>
      <c r="E3670" s="501">
        <v>2</v>
      </c>
      <c r="F3670" s="501">
        <v>2</v>
      </c>
      <c r="G3670" s="553" t="s">
        <v>484</v>
      </c>
      <c r="H3670" s="501">
        <v>1322.2</v>
      </c>
      <c r="I3670" s="501">
        <v>0</v>
      </c>
      <c r="J3670" s="501">
        <v>10</v>
      </c>
      <c r="K3670" s="501">
        <v>19</v>
      </c>
      <c r="L3670" s="501">
        <v>2</v>
      </c>
      <c r="M3670" s="667" t="s">
        <v>137</v>
      </c>
      <c r="N3670" s="668">
        <v>43013540710000</v>
      </c>
      <c r="O3670" s="501" t="s">
        <v>4372</v>
      </c>
      <c r="P3670" s="501" t="s">
        <v>4393</v>
      </c>
      <c r="Q3670" s="501" t="s">
        <v>4374</v>
      </c>
      <c r="R3670" s="564">
        <v>2</v>
      </c>
    </row>
    <row r="3671" spans="1:18" x14ac:dyDescent="0.25">
      <c r="A3671" s="501">
        <v>30</v>
      </c>
      <c r="B3671" s="501">
        <v>3</v>
      </c>
      <c r="C3671" s="501">
        <v>2</v>
      </c>
      <c r="D3671" s="501">
        <v>2</v>
      </c>
      <c r="E3671" s="501">
        <v>2</v>
      </c>
      <c r="F3671" s="501">
        <v>2</v>
      </c>
      <c r="G3671" s="553" t="s">
        <v>486</v>
      </c>
      <c r="H3671" s="501">
        <v>0</v>
      </c>
      <c r="I3671" s="501">
        <v>0</v>
      </c>
      <c r="J3671" s="501">
        <v>0</v>
      </c>
      <c r="K3671" s="501">
        <v>0</v>
      </c>
      <c r="L3671" s="501">
        <v>0</v>
      </c>
      <c r="M3671" s="667" t="s">
        <v>137</v>
      </c>
      <c r="N3671" s="668">
        <v>43013540710000</v>
      </c>
      <c r="O3671" s="501" t="s">
        <v>4372</v>
      </c>
      <c r="P3671" s="501" t="s">
        <v>4394</v>
      </c>
      <c r="Q3671" s="501" t="s">
        <v>4374</v>
      </c>
      <c r="R3671" s="564">
        <v>2</v>
      </c>
    </row>
    <row r="3672" spans="1:18" x14ac:dyDescent="0.25">
      <c r="A3672" s="501">
        <v>30</v>
      </c>
      <c r="B3672" s="501">
        <v>3</v>
      </c>
      <c r="C3672" s="501">
        <v>2</v>
      </c>
      <c r="D3672" s="501">
        <v>2</v>
      </c>
      <c r="E3672" s="501">
        <v>2</v>
      </c>
      <c r="F3672" s="501">
        <v>2</v>
      </c>
      <c r="G3672" s="502" t="s">
        <v>488</v>
      </c>
      <c r="H3672" s="501">
        <v>5291.72</v>
      </c>
      <c r="I3672" s="501">
        <v>0</v>
      </c>
      <c r="J3672" s="501">
        <v>12</v>
      </c>
      <c r="K3672" s="501">
        <v>4</v>
      </c>
      <c r="L3672" s="501">
        <v>2</v>
      </c>
      <c r="M3672" s="667" t="s">
        <v>137</v>
      </c>
      <c r="N3672" s="668">
        <v>43013540710000</v>
      </c>
      <c r="O3672" s="501" t="s">
        <v>4372</v>
      </c>
      <c r="P3672" s="501" t="s">
        <v>4395</v>
      </c>
      <c r="Q3672" s="501" t="s">
        <v>4374</v>
      </c>
      <c r="R3672" s="564">
        <v>2</v>
      </c>
    </row>
    <row r="3673" spans="1:18" x14ac:dyDescent="0.25">
      <c r="A3673" s="501">
        <v>30</v>
      </c>
      <c r="B3673" s="501">
        <v>3</v>
      </c>
      <c r="C3673" s="501">
        <v>2</v>
      </c>
      <c r="D3673" s="501">
        <v>2</v>
      </c>
      <c r="E3673" s="501">
        <v>2</v>
      </c>
      <c r="F3673" s="501">
        <v>2</v>
      </c>
      <c r="G3673" s="553" t="s">
        <v>490</v>
      </c>
      <c r="H3673" s="501">
        <v>0</v>
      </c>
      <c r="I3673" s="501">
        <v>0</v>
      </c>
      <c r="J3673" s="501">
        <v>0</v>
      </c>
      <c r="K3673" s="501">
        <v>0</v>
      </c>
      <c r="L3673" s="501">
        <v>0</v>
      </c>
      <c r="M3673" s="667" t="s">
        <v>137</v>
      </c>
      <c r="N3673" s="668">
        <v>43013540710000</v>
      </c>
      <c r="O3673" s="501" t="s">
        <v>4372</v>
      </c>
      <c r="P3673" s="501" t="s">
        <v>4396</v>
      </c>
      <c r="Q3673" s="501" t="s">
        <v>4374</v>
      </c>
      <c r="R3673" s="564">
        <v>2</v>
      </c>
    </row>
    <row r="3674" spans="1:18" x14ac:dyDescent="0.25">
      <c r="A3674" s="501">
        <v>30</v>
      </c>
      <c r="B3674" s="501">
        <v>3</v>
      </c>
      <c r="C3674" s="501">
        <v>2</v>
      </c>
      <c r="D3674" s="501">
        <v>2</v>
      </c>
      <c r="E3674" s="501">
        <v>2</v>
      </c>
      <c r="F3674" s="501">
        <v>2</v>
      </c>
      <c r="G3674" s="553" t="s">
        <v>493</v>
      </c>
      <c r="H3674" s="501">
        <v>0</v>
      </c>
      <c r="I3674" s="501">
        <v>0</v>
      </c>
      <c r="J3674" s="501">
        <v>0</v>
      </c>
      <c r="K3674" s="501">
        <v>0</v>
      </c>
      <c r="L3674" s="501">
        <v>0</v>
      </c>
      <c r="M3674" s="667" t="s">
        <v>137</v>
      </c>
      <c r="N3674" s="668">
        <v>43013540710000</v>
      </c>
      <c r="O3674" s="501" t="s">
        <v>4372</v>
      </c>
      <c r="P3674" s="501" t="s">
        <v>4397</v>
      </c>
      <c r="Q3674" s="501" t="s">
        <v>4374</v>
      </c>
      <c r="R3674" s="564">
        <v>2</v>
      </c>
    </row>
    <row r="3675" spans="1:18" x14ac:dyDescent="0.25">
      <c r="A3675" s="501">
        <v>30</v>
      </c>
      <c r="B3675" s="501">
        <v>3</v>
      </c>
      <c r="C3675" s="501">
        <v>2</v>
      </c>
      <c r="D3675" s="501">
        <v>2</v>
      </c>
      <c r="E3675" s="501">
        <v>2</v>
      </c>
      <c r="F3675" s="501">
        <v>2</v>
      </c>
      <c r="G3675" s="553" t="s">
        <v>474</v>
      </c>
      <c r="H3675" s="501">
        <v>0</v>
      </c>
      <c r="I3675" s="501">
        <v>0</v>
      </c>
      <c r="J3675" s="501">
        <v>0</v>
      </c>
      <c r="K3675" s="501">
        <v>0</v>
      </c>
      <c r="L3675" s="501">
        <v>0</v>
      </c>
      <c r="M3675" s="667" t="s">
        <v>137</v>
      </c>
      <c r="N3675" s="668">
        <v>43013540710000</v>
      </c>
      <c r="O3675" s="501" t="s">
        <v>4372</v>
      </c>
      <c r="P3675" s="501" t="s">
        <v>4398</v>
      </c>
      <c r="Q3675" s="501" t="s">
        <v>4374</v>
      </c>
      <c r="R3675" s="564">
        <v>2</v>
      </c>
    </row>
    <row r="3676" spans="1:18" x14ac:dyDescent="0.25">
      <c r="A3676" s="501">
        <v>30</v>
      </c>
      <c r="B3676" s="501">
        <v>3</v>
      </c>
      <c r="C3676" s="501">
        <v>2</v>
      </c>
      <c r="D3676" s="501">
        <v>2</v>
      </c>
      <c r="E3676" s="501">
        <v>2</v>
      </c>
      <c r="F3676" s="501">
        <v>2</v>
      </c>
      <c r="G3676" s="502" t="s">
        <v>477</v>
      </c>
      <c r="H3676" s="501">
        <v>5185.62</v>
      </c>
      <c r="I3676" s="501">
        <v>89</v>
      </c>
      <c r="J3676" s="501">
        <v>48</v>
      </c>
      <c r="K3676" s="501">
        <v>0</v>
      </c>
      <c r="L3676" s="501">
        <v>3</v>
      </c>
      <c r="M3676" s="667" t="s">
        <v>137</v>
      </c>
      <c r="N3676" s="668">
        <v>43013540710000</v>
      </c>
      <c r="O3676" s="501" t="s">
        <v>4372</v>
      </c>
      <c r="P3676" s="501" t="s">
        <v>4399</v>
      </c>
      <c r="Q3676" s="501" t="s">
        <v>4374</v>
      </c>
      <c r="R3676" s="564">
        <v>2</v>
      </c>
    </row>
    <row r="3677" spans="1:18" x14ac:dyDescent="0.25">
      <c r="A3677" s="501">
        <v>30</v>
      </c>
      <c r="B3677" s="501">
        <v>3</v>
      </c>
      <c r="C3677" s="501">
        <v>2</v>
      </c>
      <c r="D3677" s="501">
        <v>2</v>
      </c>
      <c r="E3677" s="501">
        <v>2</v>
      </c>
      <c r="F3677" s="501">
        <v>2</v>
      </c>
      <c r="G3677" s="553" t="s">
        <v>479</v>
      </c>
      <c r="H3677" s="501">
        <v>0</v>
      </c>
      <c r="I3677" s="501">
        <v>0</v>
      </c>
      <c r="J3677" s="501">
        <v>0</v>
      </c>
      <c r="K3677" s="501">
        <v>0</v>
      </c>
      <c r="L3677" s="501">
        <v>0</v>
      </c>
      <c r="M3677" s="667" t="s">
        <v>137</v>
      </c>
      <c r="N3677" s="668">
        <v>43013540710000</v>
      </c>
      <c r="O3677" s="501" t="s">
        <v>4372</v>
      </c>
      <c r="P3677" s="501" t="s">
        <v>4400</v>
      </c>
      <c r="Q3677" s="501" t="s">
        <v>4374</v>
      </c>
      <c r="R3677" s="564">
        <v>2</v>
      </c>
    </row>
    <row r="3678" spans="1:18" x14ac:dyDescent="0.25">
      <c r="A3678" s="501">
        <v>30</v>
      </c>
      <c r="B3678" s="501">
        <v>3</v>
      </c>
      <c r="C3678" s="501">
        <v>2</v>
      </c>
      <c r="D3678" s="501">
        <v>2</v>
      </c>
      <c r="E3678" s="501">
        <v>2</v>
      </c>
      <c r="F3678" s="501">
        <v>2</v>
      </c>
      <c r="G3678" s="553" t="s">
        <v>485</v>
      </c>
      <c r="H3678" s="501">
        <v>0</v>
      </c>
      <c r="I3678" s="501">
        <v>0</v>
      </c>
      <c r="J3678" s="501">
        <v>0</v>
      </c>
      <c r="K3678" s="501">
        <v>0</v>
      </c>
      <c r="L3678" s="501">
        <v>0</v>
      </c>
      <c r="M3678" s="667" t="s">
        <v>137</v>
      </c>
      <c r="N3678" s="668">
        <v>43013540710000</v>
      </c>
      <c r="O3678" s="501" t="s">
        <v>4372</v>
      </c>
      <c r="P3678" s="501" t="s">
        <v>4401</v>
      </c>
      <c r="Q3678" s="501" t="s">
        <v>4374</v>
      </c>
      <c r="R3678" s="564">
        <v>2</v>
      </c>
    </row>
    <row r="3679" spans="1:18" x14ac:dyDescent="0.25">
      <c r="A3679" s="501">
        <v>30</v>
      </c>
      <c r="B3679" s="501">
        <v>3</v>
      </c>
      <c r="C3679" s="501">
        <v>2</v>
      </c>
      <c r="D3679" s="501">
        <v>2</v>
      </c>
      <c r="E3679" s="501">
        <v>2</v>
      </c>
      <c r="F3679" s="501">
        <v>2</v>
      </c>
      <c r="G3679" s="553" t="s">
        <v>487</v>
      </c>
      <c r="H3679" s="501">
        <v>0</v>
      </c>
      <c r="I3679" s="501">
        <v>0</v>
      </c>
      <c r="J3679" s="501">
        <v>0</v>
      </c>
      <c r="K3679" s="501">
        <v>0</v>
      </c>
      <c r="L3679" s="501">
        <v>0</v>
      </c>
      <c r="M3679" s="667" t="s">
        <v>137</v>
      </c>
      <c r="N3679" s="668">
        <v>43013540710000</v>
      </c>
      <c r="O3679" s="501" t="s">
        <v>4372</v>
      </c>
      <c r="P3679" s="501" t="s">
        <v>4402</v>
      </c>
      <c r="Q3679" s="501" t="s">
        <v>4374</v>
      </c>
      <c r="R3679" s="564">
        <v>2</v>
      </c>
    </row>
    <row r="3680" spans="1:18" x14ac:dyDescent="0.25">
      <c r="A3680" s="501">
        <v>30</v>
      </c>
      <c r="B3680" s="501">
        <v>3</v>
      </c>
      <c r="C3680" s="501">
        <v>2</v>
      </c>
      <c r="D3680" s="501">
        <v>2</v>
      </c>
      <c r="E3680" s="501">
        <v>2</v>
      </c>
      <c r="F3680" s="501">
        <v>2</v>
      </c>
      <c r="G3680" s="502" t="s">
        <v>489</v>
      </c>
      <c r="H3680" s="501">
        <v>5195.76</v>
      </c>
      <c r="I3680" s="501">
        <v>89</v>
      </c>
      <c r="J3680" s="501">
        <v>52</v>
      </c>
      <c r="K3680" s="501">
        <v>46</v>
      </c>
      <c r="L3680" s="501">
        <v>3</v>
      </c>
      <c r="M3680" s="667" t="s">
        <v>137</v>
      </c>
      <c r="N3680" s="668">
        <v>43013540710000</v>
      </c>
      <c r="O3680" s="501" t="s">
        <v>4372</v>
      </c>
      <c r="P3680" s="501" t="s">
        <v>4403</v>
      </c>
      <c r="Q3680" s="501" t="s">
        <v>4374</v>
      </c>
      <c r="R3680" s="564">
        <v>2</v>
      </c>
    </row>
    <row r="3681" spans="1:18" x14ac:dyDescent="0.25">
      <c r="A3681" s="501">
        <v>30</v>
      </c>
      <c r="B3681" s="501">
        <v>3</v>
      </c>
      <c r="C3681" s="501">
        <v>2</v>
      </c>
      <c r="D3681" s="501">
        <v>2</v>
      </c>
      <c r="E3681" s="501">
        <v>2</v>
      </c>
      <c r="F3681" s="501">
        <v>2</v>
      </c>
      <c r="G3681" s="553" t="s">
        <v>491</v>
      </c>
      <c r="H3681" s="501">
        <v>0</v>
      </c>
      <c r="I3681" s="501">
        <v>0</v>
      </c>
      <c r="J3681" s="501">
        <v>0</v>
      </c>
      <c r="K3681" s="501">
        <v>0</v>
      </c>
      <c r="L3681" s="501">
        <v>0</v>
      </c>
      <c r="M3681" s="667" t="s">
        <v>137</v>
      </c>
      <c r="N3681" s="668">
        <v>43013540710000</v>
      </c>
      <c r="O3681" s="501" t="s">
        <v>4372</v>
      </c>
      <c r="P3681" s="501" t="s">
        <v>4404</v>
      </c>
      <c r="Q3681" s="501" t="s">
        <v>4374</v>
      </c>
      <c r="R3681" s="564">
        <v>2</v>
      </c>
    </row>
    <row r="3682" spans="1:18" x14ac:dyDescent="0.25">
      <c r="A3682" s="501">
        <v>30</v>
      </c>
      <c r="B3682" s="501">
        <v>3</v>
      </c>
      <c r="C3682" s="501">
        <v>2</v>
      </c>
      <c r="D3682" s="501">
        <v>2</v>
      </c>
      <c r="E3682" s="501">
        <v>2</v>
      </c>
      <c r="F3682" s="501">
        <v>2</v>
      </c>
      <c r="G3682" s="553" t="s">
        <v>494</v>
      </c>
      <c r="H3682" s="501">
        <v>0</v>
      </c>
      <c r="I3682" s="501">
        <v>0</v>
      </c>
      <c r="J3682" s="501">
        <v>0</v>
      </c>
      <c r="K3682" s="501">
        <v>0</v>
      </c>
      <c r="L3682" s="501">
        <v>0</v>
      </c>
      <c r="M3682" s="667" t="s">
        <v>137</v>
      </c>
      <c r="N3682" s="668">
        <v>43013540710000</v>
      </c>
      <c r="O3682" s="501" t="s">
        <v>4372</v>
      </c>
      <c r="P3682" s="501" t="s">
        <v>4405</v>
      </c>
      <c r="Q3682" s="501" t="s">
        <v>4374</v>
      </c>
      <c r="R3682" s="564">
        <v>2</v>
      </c>
    </row>
    <row r="3683" spans="1:18" x14ac:dyDescent="0.25">
      <c r="A3683" s="501">
        <v>2</v>
      </c>
      <c r="B3683" s="501">
        <v>2</v>
      </c>
      <c r="C3683" s="501">
        <v>2</v>
      </c>
      <c r="D3683" s="501">
        <v>1</v>
      </c>
      <c r="E3683" s="501">
        <v>2</v>
      </c>
      <c r="F3683" s="501">
        <v>2</v>
      </c>
      <c r="G3683" s="564" t="s">
        <v>473</v>
      </c>
      <c r="H3683" s="501">
        <v>0</v>
      </c>
      <c r="I3683" s="501">
        <v>0</v>
      </c>
      <c r="J3683" s="501">
        <v>0</v>
      </c>
      <c r="K3683" s="501">
        <v>0</v>
      </c>
      <c r="L3683" s="501">
        <v>0</v>
      </c>
      <c r="M3683" s="667" t="s">
        <v>137</v>
      </c>
      <c r="N3683" s="668">
        <v>43047557750000</v>
      </c>
      <c r="O3683" s="501" t="s">
        <v>4406</v>
      </c>
      <c r="P3683" s="501" t="str">
        <f t="shared" ref="P3683:P3746" si="1">A3683&amp;B3683&amp;C3683&amp;D3683&amp;E3683&amp;F3683&amp;G3683</f>
        <v>222122West-Up2</v>
      </c>
      <c r="Q3683" s="501" t="s">
        <v>4374</v>
      </c>
      <c r="R3683" s="564">
        <v>1</v>
      </c>
    </row>
    <row r="3684" spans="1:18" x14ac:dyDescent="0.25">
      <c r="A3684" s="501">
        <v>2</v>
      </c>
      <c r="B3684" s="501">
        <v>2</v>
      </c>
      <c r="C3684" s="501">
        <v>2</v>
      </c>
      <c r="D3684" s="501">
        <v>1</v>
      </c>
      <c r="E3684" s="501">
        <v>2</v>
      </c>
      <c r="F3684" s="501">
        <v>2</v>
      </c>
      <c r="G3684" s="521" t="s">
        <v>476</v>
      </c>
      <c r="H3684" s="501">
        <v>2659.28</v>
      </c>
      <c r="I3684" s="501">
        <v>0</v>
      </c>
      <c r="J3684" s="501">
        <v>24</v>
      </c>
      <c r="K3684" s="501">
        <v>57</v>
      </c>
      <c r="L3684" s="501">
        <v>3</v>
      </c>
      <c r="M3684" s="667" t="s">
        <v>137</v>
      </c>
      <c r="N3684" s="668">
        <v>43047557750000</v>
      </c>
      <c r="O3684" s="501" t="s">
        <v>4406</v>
      </c>
      <c r="P3684" s="501" t="str">
        <f t="shared" si="1"/>
        <v>222122West-Up1</v>
      </c>
      <c r="Q3684" s="501" t="s">
        <v>4374</v>
      </c>
      <c r="R3684" s="564">
        <v>1</v>
      </c>
    </row>
    <row r="3685" spans="1:18" x14ac:dyDescent="0.25">
      <c r="A3685" s="501">
        <v>2</v>
      </c>
      <c r="B3685" s="501">
        <v>2</v>
      </c>
      <c r="C3685" s="501">
        <v>2</v>
      </c>
      <c r="D3685" s="501">
        <v>1</v>
      </c>
      <c r="E3685" s="501">
        <v>2</v>
      </c>
      <c r="F3685" s="501">
        <v>2</v>
      </c>
      <c r="G3685" s="564" t="s">
        <v>478</v>
      </c>
      <c r="H3685" s="501">
        <v>1319.44</v>
      </c>
      <c r="I3685" s="501">
        <v>0</v>
      </c>
      <c r="J3685" s="501">
        <v>20</v>
      </c>
      <c r="K3685" s="501">
        <v>4</v>
      </c>
      <c r="L3685" s="501">
        <v>3</v>
      </c>
      <c r="M3685" s="667" t="s">
        <v>137</v>
      </c>
      <c r="N3685" s="668">
        <v>43047557750000</v>
      </c>
      <c r="O3685" s="501" t="s">
        <v>4406</v>
      </c>
      <c r="P3685" s="501" t="str">
        <f t="shared" si="1"/>
        <v>222122West-Down1</v>
      </c>
      <c r="Q3685" s="501" t="s">
        <v>4374</v>
      </c>
      <c r="R3685" s="564">
        <v>1</v>
      </c>
    </row>
    <row r="3686" spans="1:18" x14ac:dyDescent="0.25">
      <c r="A3686" s="501">
        <v>2</v>
      </c>
      <c r="B3686" s="501">
        <v>2</v>
      </c>
      <c r="C3686" s="501">
        <v>2</v>
      </c>
      <c r="D3686" s="501">
        <v>1</v>
      </c>
      <c r="E3686" s="501">
        <v>2</v>
      </c>
      <c r="F3686" s="501">
        <v>2</v>
      </c>
      <c r="G3686" s="564" t="s">
        <v>484</v>
      </c>
      <c r="H3686" s="501">
        <v>1319.38</v>
      </c>
      <c r="I3686" s="501">
        <v>0</v>
      </c>
      <c r="J3686" s="501">
        <v>19</v>
      </c>
      <c r="K3686" s="501">
        <v>55</v>
      </c>
      <c r="L3686" s="501">
        <v>3</v>
      </c>
      <c r="M3686" s="667" t="s">
        <v>137</v>
      </c>
      <c r="N3686" s="668">
        <v>43047557750000</v>
      </c>
      <c r="O3686" s="501" t="s">
        <v>4406</v>
      </c>
      <c r="P3686" s="501" t="str">
        <f t="shared" si="1"/>
        <v>222122West-Down2</v>
      </c>
      <c r="Q3686" s="501" t="s">
        <v>4374</v>
      </c>
      <c r="R3686" s="564">
        <v>1</v>
      </c>
    </row>
    <row r="3687" spans="1:18" x14ac:dyDescent="0.25">
      <c r="A3687" s="501">
        <v>2</v>
      </c>
      <c r="B3687" s="501">
        <v>2</v>
      </c>
      <c r="C3687" s="501">
        <v>2</v>
      </c>
      <c r="D3687" s="501">
        <v>1</v>
      </c>
      <c r="E3687" s="501">
        <v>2</v>
      </c>
      <c r="F3687" s="501">
        <v>2</v>
      </c>
      <c r="G3687" s="564" t="s">
        <v>486</v>
      </c>
      <c r="H3687" s="501">
        <v>0</v>
      </c>
      <c r="I3687" s="501">
        <v>0</v>
      </c>
      <c r="J3687" s="501">
        <v>0</v>
      </c>
      <c r="K3687" s="501">
        <v>0</v>
      </c>
      <c r="L3687" s="501">
        <v>0</v>
      </c>
      <c r="M3687" s="667" t="s">
        <v>137</v>
      </c>
      <c r="N3687" s="668">
        <v>43047557750000</v>
      </c>
      <c r="O3687" s="501" t="s">
        <v>4406</v>
      </c>
      <c r="P3687" s="501" t="str">
        <f t="shared" si="1"/>
        <v>222122East-Up2</v>
      </c>
      <c r="Q3687" s="501" t="s">
        <v>4374</v>
      </c>
      <c r="R3687" s="564">
        <v>1</v>
      </c>
    </row>
    <row r="3688" spans="1:18" x14ac:dyDescent="0.25">
      <c r="A3688" s="501">
        <v>2</v>
      </c>
      <c r="B3688" s="501">
        <v>2</v>
      </c>
      <c r="C3688" s="501">
        <v>2</v>
      </c>
      <c r="D3688" s="501">
        <v>1</v>
      </c>
      <c r="E3688" s="501">
        <v>2</v>
      </c>
      <c r="F3688" s="501">
        <v>2</v>
      </c>
      <c r="G3688" s="521" t="s">
        <v>488</v>
      </c>
      <c r="H3688" s="501">
        <v>2632.5</v>
      </c>
      <c r="I3688" s="501">
        <v>0</v>
      </c>
      <c r="J3688" s="501">
        <v>16</v>
      </c>
      <c r="K3688" s="501">
        <v>52</v>
      </c>
      <c r="L3688" s="501">
        <v>2</v>
      </c>
      <c r="M3688" s="667" t="s">
        <v>137</v>
      </c>
      <c r="N3688" s="668">
        <v>43047557750000</v>
      </c>
      <c r="O3688" s="501" t="s">
        <v>4406</v>
      </c>
      <c r="P3688" s="501" t="str">
        <f t="shared" si="1"/>
        <v>222122East-Up1</v>
      </c>
      <c r="Q3688" s="501" t="s">
        <v>4374</v>
      </c>
      <c r="R3688" s="564">
        <v>1</v>
      </c>
    </row>
    <row r="3689" spans="1:18" x14ac:dyDescent="0.25">
      <c r="A3689" s="501">
        <v>2</v>
      </c>
      <c r="B3689" s="501">
        <v>2</v>
      </c>
      <c r="C3689" s="501">
        <v>2</v>
      </c>
      <c r="D3689" s="501">
        <v>1</v>
      </c>
      <c r="E3689" s="501">
        <v>2</v>
      </c>
      <c r="F3689" s="501">
        <v>2</v>
      </c>
      <c r="G3689" s="564" t="s">
        <v>490</v>
      </c>
      <c r="H3689" s="501">
        <v>2638.87</v>
      </c>
      <c r="I3689" s="501">
        <v>0</v>
      </c>
      <c r="J3689" s="501">
        <v>15</v>
      </c>
      <c r="K3689" s="501">
        <v>8</v>
      </c>
      <c r="L3689" s="501">
        <v>2</v>
      </c>
      <c r="M3689" s="667" t="s">
        <v>137</v>
      </c>
      <c r="N3689" s="668">
        <v>43047557750000</v>
      </c>
      <c r="O3689" s="501" t="s">
        <v>4406</v>
      </c>
      <c r="P3689" s="501" t="str">
        <f t="shared" si="1"/>
        <v>222122East-Down1</v>
      </c>
      <c r="Q3689" s="501" t="s">
        <v>4374</v>
      </c>
      <c r="R3689" s="564">
        <v>1</v>
      </c>
    </row>
    <row r="3690" spans="1:18" x14ac:dyDescent="0.25">
      <c r="A3690" s="501">
        <v>2</v>
      </c>
      <c r="B3690" s="501">
        <v>2</v>
      </c>
      <c r="C3690" s="501">
        <v>2</v>
      </c>
      <c r="D3690" s="501">
        <v>1</v>
      </c>
      <c r="E3690" s="501">
        <v>2</v>
      </c>
      <c r="F3690" s="501">
        <v>2</v>
      </c>
      <c r="G3690" s="564" t="s">
        <v>493</v>
      </c>
      <c r="H3690" s="501">
        <v>0</v>
      </c>
      <c r="I3690" s="501">
        <v>0</v>
      </c>
      <c r="J3690" s="501">
        <v>0</v>
      </c>
      <c r="K3690" s="501">
        <v>0</v>
      </c>
      <c r="L3690" s="501">
        <v>0</v>
      </c>
      <c r="M3690" s="667" t="s">
        <v>137</v>
      </c>
      <c r="N3690" s="668">
        <v>43047557750000</v>
      </c>
      <c r="O3690" s="501" t="s">
        <v>4406</v>
      </c>
      <c r="P3690" s="501" t="str">
        <f t="shared" si="1"/>
        <v>222122East-Down2</v>
      </c>
      <c r="Q3690" s="501" t="s">
        <v>4374</v>
      </c>
      <c r="R3690" s="564">
        <v>1</v>
      </c>
    </row>
    <row r="3691" spans="1:18" x14ac:dyDescent="0.25">
      <c r="A3691" s="501">
        <v>2</v>
      </c>
      <c r="B3691" s="501">
        <v>2</v>
      </c>
      <c r="C3691" s="501">
        <v>2</v>
      </c>
      <c r="D3691" s="501">
        <v>1</v>
      </c>
      <c r="E3691" s="501">
        <v>2</v>
      </c>
      <c r="F3691" s="501">
        <v>2</v>
      </c>
      <c r="G3691" s="564" t="s">
        <v>474</v>
      </c>
      <c r="H3691" s="501">
        <v>0</v>
      </c>
      <c r="I3691" s="501">
        <v>0</v>
      </c>
      <c r="J3691" s="501">
        <v>0</v>
      </c>
      <c r="K3691" s="501">
        <v>0</v>
      </c>
      <c r="L3691" s="501">
        <v>0</v>
      </c>
      <c r="M3691" s="667" t="s">
        <v>137</v>
      </c>
      <c r="N3691" s="668">
        <v>43047557750000</v>
      </c>
      <c r="O3691" s="501" t="s">
        <v>4406</v>
      </c>
      <c r="P3691" s="501" t="str">
        <f t="shared" si="1"/>
        <v>222122North-Left2</v>
      </c>
      <c r="Q3691" s="501" t="s">
        <v>4374</v>
      </c>
      <c r="R3691" s="564">
        <v>1</v>
      </c>
    </row>
    <row r="3692" spans="1:18" x14ac:dyDescent="0.25">
      <c r="A3692" s="501">
        <v>2</v>
      </c>
      <c r="B3692" s="501">
        <v>2</v>
      </c>
      <c r="C3692" s="501">
        <v>2</v>
      </c>
      <c r="D3692" s="501">
        <v>1</v>
      </c>
      <c r="E3692" s="501">
        <v>2</v>
      </c>
      <c r="F3692" s="501">
        <v>2</v>
      </c>
      <c r="G3692" s="521" t="s">
        <v>477</v>
      </c>
      <c r="H3692" s="501">
        <v>5296.68</v>
      </c>
      <c r="I3692" s="501">
        <v>89</v>
      </c>
      <c r="J3692" s="501">
        <v>53</v>
      </c>
      <c r="K3692" s="501">
        <v>56</v>
      </c>
      <c r="L3692" s="501">
        <v>2</v>
      </c>
      <c r="M3692" s="667" t="s">
        <v>137</v>
      </c>
      <c r="N3692" s="668">
        <v>43047557750000</v>
      </c>
      <c r="O3692" s="501" t="s">
        <v>4406</v>
      </c>
      <c r="P3692" s="501" t="str">
        <f t="shared" si="1"/>
        <v>222122North-Left1</v>
      </c>
      <c r="Q3692" s="501" t="s">
        <v>4374</v>
      </c>
      <c r="R3692" s="564">
        <v>1</v>
      </c>
    </row>
    <row r="3693" spans="1:18" x14ac:dyDescent="0.25">
      <c r="A3693" s="501">
        <v>2</v>
      </c>
      <c r="B3693" s="501">
        <v>2</v>
      </c>
      <c r="C3693" s="501">
        <v>2</v>
      </c>
      <c r="D3693" s="501">
        <v>1</v>
      </c>
      <c r="E3693" s="501">
        <v>2</v>
      </c>
      <c r="F3693" s="501">
        <v>2</v>
      </c>
      <c r="G3693" s="564" t="s">
        <v>479</v>
      </c>
      <c r="H3693" s="501">
        <v>0</v>
      </c>
      <c r="I3693" s="501">
        <v>0</v>
      </c>
      <c r="J3693" s="501">
        <v>0</v>
      </c>
      <c r="K3693" s="501">
        <v>0</v>
      </c>
      <c r="L3693" s="501">
        <v>0</v>
      </c>
      <c r="M3693" s="667" t="s">
        <v>137</v>
      </c>
      <c r="N3693" s="668">
        <v>43047557750000</v>
      </c>
      <c r="O3693" s="501" t="s">
        <v>4406</v>
      </c>
      <c r="P3693" s="501" t="str">
        <f t="shared" si="1"/>
        <v>222122North-Right1</v>
      </c>
      <c r="Q3693" s="501" t="s">
        <v>4374</v>
      </c>
      <c r="R3693" s="564">
        <v>1</v>
      </c>
    </row>
    <row r="3694" spans="1:18" x14ac:dyDescent="0.25">
      <c r="A3694" s="501">
        <v>2</v>
      </c>
      <c r="B3694" s="501">
        <v>2</v>
      </c>
      <c r="C3694" s="501">
        <v>2</v>
      </c>
      <c r="D3694" s="501">
        <v>1</v>
      </c>
      <c r="E3694" s="501">
        <v>2</v>
      </c>
      <c r="F3694" s="501">
        <v>2</v>
      </c>
      <c r="G3694" s="564" t="s">
        <v>485</v>
      </c>
      <c r="H3694" s="501">
        <v>0</v>
      </c>
      <c r="I3694" s="501">
        <v>0</v>
      </c>
      <c r="J3694" s="501">
        <v>0</v>
      </c>
      <c r="K3694" s="501">
        <v>0</v>
      </c>
      <c r="L3694" s="501">
        <v>0</v>
      </c>
      <c r="M3694" s="667" t="s">
        <v>137</v>
      </c>
      <c r="N3694" s="668">
        <v>43047557750000</v>
      </c>
      <c r="O3694" s="501" t="s">
        <v>4406</v>
      </c>
      <c r="P3694" s="501" t="str">
        <f t="shared" si="1"/>
        <v>222122North-Right2</v>
      </c>
      <c r="Q3694" s="501" t="s">
        <v>4374</v>
      </c>
      <c r="R3694" s="564">
        <v>1</v>
      </c>
    </row>
    <row r="3695" spans="1:18" x14ac:dyDescent="0.25">
      <c r="A3695" s="501">
        <v>2</v>
      </c>
      <c r="B3695" s="501">
        <v>2</v>
      </c>
      <c r="C3695" s="501">
        <v>2</v>
      </c>
      <c r="D3695" s="501">
        <v>1</v>
      </c>
      <c r="E3695" s="501">
        <v>2</v>
      </c>
      <c r="F3695" s="501">
        <v>2</v>
      </c>
      <c r="G3695" s="564" t="s">
        <v>487</v>
      </c>
      <c r="H3695" s="501">
        <v>0</v>
      </c>
      <c r="I3695" s="501">
        <v>0</v>
      </c>
      <c r="J3695" s="501">
        <v>0</v>
      </c>
      <c r="K3695" s="501">
        <v>0</v>
      </c>
      <c r="L3695" s="501">
        <v>0</v>
      </c>
      <c r="M3695" s="667" t="s">
        <v>137</v>
      </c>
      <c r="N3695" s="668">
        <v>43047557750000</v>
      </c>
      <c r="O3695" s="501" t="s">
        <v>4406</v>
      </c>
      <c r="P3695" s="501" t="str">
        <f t="shared" si="1"/>
        <v>222122South-Left2</v>
      </c>
      <c r="Q3695" s="501" t="s">
        <v>4374</v>
      </c>
      <c r="R3695" s="564">
        <v>1</v>
      </c>
    </row>
    <row r="3696" spans="1:18" x14ac:dyDescent="0.25">
      <c r="A3696" s="501">
        <v>2</v>
      </c>
      <c r="B3696" s="501">
        <v>2</v>
      </c>
      <c r="C3696" s="501">
        <v>2</v>
      </c>
      <c r="D3696" s="501">
        <v>1</v>
      </c>
      <c r="E3696" s="501">
        <v>2</v>
      </c>
      <c r="F3696" s="501">
        <v>2</v>
      </c>
      <c r="G3696" s="521" t="s">
        <v>489</v>
      </c>
      <c r="H3696" s="501">
        <v>2655.79</v>
      </c>
      <c r="I3696" s="501">
        <v>89</v>
      </c>
      <c r="J3696" s="501">
        <v>36</v>
      </c>
      <c r="K3696" s="501">
        <v>18</v>
      </c>
      <c r="L3696" s="501">
        <v>2</v>
      </c>
      <c r="M3696" s="667" t="s">
        <v>137</v>
      </c>
      <c r="N3696" s="668">
        <v>43047557750000</v>
      </c>
      <c r="O3696" s="501" t="s">
        <v>4406</v>
      </c>
      <c r="P3696" s="501" t="str">
        <f t="shared" si="1"/>
        <v>222122South-Left1</v>
      </c>
      <c r="Q3696" s="501" t="s">
        <v>4374</v>
      </c>
      <c r="R3696" s="564">
        <v>1</v>
      </c>
    </row>
    <row r="3697" spans="1:18" x14ac:dyDescent="0.25">
      <c r="A3697" s="501">
        <v>2</v>
      </c>
      <c r="B3697" s="501">
        <v>2</v>
      </c>
      <c r="C3697" s="501">
        <v>2</v>
      </c>
      <c r="D3697" s="501">
        <v>1</v>
      </c>
      <c r="E3697" s="501">
        <v>2</v>
      </c>
      <c r="F3697" s="501">
        <v>2</v>
      </c>
      <c r="G3697" s="564" t="s">
        <v>491</v>
      </c>
      <c r="H3697" s="501">
        <v>2651.13</v>
      </c>
      <c r="I3697" s="501">
        <v>89</v>
      </c>
      <c r="J3697" s="501">
        <v>37</v>
      </c>
      <c r="K3697" s="501">
        <v>2</v>
      </c>
      <c r="L3697" s="501">
        <v>2</v>
      </c>
      <c r="M3697" s="667" t="s">
        <v>137</v>
      </c>
      <c r="N3697" s="668">
        <v>43047557750000</v>
      </c>
      <c r="O3697" s="501" t="s">
        <v>4406</v>
      </c>
      <c r="P3697" s="501" t="str">
        <f t="shared" si="1"/>
        <v>222122South-Right1</v>
      </c>
      <c r="Q3697" s="501" t="s">
        <v>4374</v>
      </c>
      <c r="R3697" s="564">
        <v>1</v>
      </c>
    </row>
    <row r="3698" spans="1:18" x14ac:dyDescent="0.25">
      <c r="A3698" s="501">
        <v>2</v>
      </c>
      <c r="B3698" s="501">
        <v>2</v>
      </c>
      <c r="C3698" s="501">
        <v>2</v>
      </c>
      <c r="D3698" s="501">
        <v>1</v>
      </c>
      <c r="E3698" s="501">
        <v>2</v>
      </c>
      <c r="F3698" s="501">
        <v>2</v>
      </c>
      <c r="G3698" s="564" t="s">
        <v>494</v>
      </c>
      <c r="H3698" s="501">
        <v>0</v>
      </c>
      <c r="I3698" s="501">
        <v>0</v>
      </c>
      <c r="J3698" s="501">
        <v>0</v>
      </c>
      <c r="K3698" s="501">
        <v>0</v>
      </c>
      <c r="L3698" s="501">
        <v>0</v>
      </c>
      <c r="M3698" s="667" t="s">
        <v>137</v>
      </c>
      <c r="N3698" s="668">
        <v>43047557750000</v>
      </c>
      <c r="O3698" s="501" t="s">
        <v>4406</v>
      </c>
      <c r="P3698" s="501" t="str">
        <f t="shared" si="1"/>
        <v>222122South-Right2</v>
      </c>
      <c r="Q3698" s="501" t="s">
        <v>4374</v>
      </c>
      <c r="R3698" s="564">
        <v>1</v>
      </c>
    </row>
    <row r="3699" spans="1:18" x14ac:dyDescent="0.25">
      <c r="A3699" s="501">
        <v>36</v>
      </c>
      <c r="B3699" s="501">
        <v>3</v>
      </c>
      <c r="C3699" s="501">
        <v>2</v>
      </c>
      <c r="D3699" s="501">
        <v>2</v>
      </c>
      <c r="E3699" s="501">
        <v>1</v>
      </c>
      <c r="F3699" s="501">
        <v>2</v>
      </c>
      <c r="G3699" s="553" t="s">
        <v>473</v>
      </c>
      <c r="H3699" s="501">
        <v>1321.06</v>
      </c>
      <c r="I3699" s="501">
        <v>0</v>
      </c>
      <c r="J3699" s="501">
        <v>14</v>
      </c>
      <c r="K3699" s="501">
        <v>6</v>
      </c>
      <c r="L3699" s="501">
        <v>4</v>
      </c>
      <c r="M3699" s="667" t="s">
        <v>137</v>
      </c>
      <c r="N3699" s="668">
        <v>43047564860000</v>
      </c>
      <c r="O3699" s="501" t="s">
        <v>4407</v>
      </c>
      <c r="P3699" s="501" t="str">
        <f t="shared" si="1"/>
        <v>3632212West-Up2</v>
      </c>
      <c r="Q3699" s="501" t="s">
        <v>4374</v>
      </c>
      <c r="R3699" s="564">
        <v>2</v>
      </c>
    </row>
    <row r="3700" spans="1:18" x14ac:dyDescent="0.25">
      <c r="A3700" s="501">
        <v>36</v>
      </c>
      <c r="B3700" s="501">
        <v>3</v>
      </c>
      <c r="C3700" s="501">
        <v>2</v>
      </c>
      <c r="D3700" s="501">
        <v>2</v>
      </c>
      <c r="E3700" s="501">
        <v>1</v>
      </c>
      <c r="F3700" s="501">
        <v>2</v>
      </c>
      <c r="G3700" s="502" t="s">
        <v>476</v>
      </c>
      <c r="H3700" s="501">
        <v>1321.97</v>
      </c>
      <c r="I3700" s="501">
        <v>0</v>
      </c>
      <c r="J3700" s="501">
        <v>11</v>
      </c>
      <c r="K3700" s="501">
        <v>53</v>
      </c>
      <c r="L3700" s="501">
        <v>1</v>
      </c>
      <c r="M3700" s="667" t="s">
        <v>137</v>
      </c>
      <c r="N3700" s="668">
        <v>43047564860000</v>
      </c>
      <c r="O3700" s="501" t="s">
        <v>4407</v>
      </c>
      <c r="P3700" s="501" t="str">
        <f t="shared" si="1"/>
        <v>3632212West-Up1</v>
      </c>
      <c r="Q3700" s="501" t="s">
        <v>4374</v>
      </c>
      <c r="R3700" s="564">
        <v>2</v>
      </c>
    </row>
    <row r="3701" spans="1:18" x14ac:dyDescent="0.25">
      <c r="A3701" s="501">
        <v>36</v>
      </c>
      <c r="B3701" s="501">
        <v>3</v>
      </c>
      <c r="C3701" s="501">
        <v>2</v>
      </c>
      <c r="D3701" s="501">
        <v>2</v>
      </c>
      <c r="E3701" s="501">
        <v>1</v>
      </c>
      <c r="F3701" s="501">
        <v>2</v>
      </c>
      <c r="G3701" s="553" t="s">
        <v>478</v>
      </c>
      <c r="H3701" s="501">
        <v>1314.19</v>
      </c>
      <c r="I3701" s="501">
        <v>0</v>
      </c>
      <c r="J3701" s="501">
        <v>1</v>
      </c>
      <c r="K3701" s="501">
        <v>29</v>
      </c>
      <c r="L3701" s="501">
        <v>4</v>
      </c>
      <c r="M3701" s="667" t="s">
        <v>137</v>
      </c>
      <c r="N3701" s="668">
        <v>43047564860000</v>
      </c>
      <c r="O3701" s="501" t="s">
        <v>4407</v>
      </c>
      <c r="P3701" s="501" t="str">
        <f t="shared" si="1"/>
        <v>3632212West-Down1</v>
      </c>
      <c r="Q3701" s="501" t="s">
        <v>4374</v>
      </c>
      <c r="R3701" s="564">
        <v>2</v>
      </c>
    </row>
    <row r="3702" spans="1:18" x14ac:dyDescent="0.25">
      <c r="A3702" s="501">
        <v>36</v>
      </c>
      <c r="B3702" s="501">
        <v>3</v>
      </c>
      <c r="C3702" s="501">
        <v>2</v>
      </c>
      <c r="D3702" s="501">
        <v>2</v>
      </c>
      <c r="E3702" s="501">
        <v>1</v>
      </c>
      <c r="F3702" s="501">
        <v>2</v>
      </c>
      <c r="G3702" s="553" t="s">
        <v>484</v>
      </c>
      <c r="H3702" s="501">
        <v>1321.13</v>
      </c>
      <c r="I3702" s="501">
        <v>0</v>
      </c>
      <c r="J3702" s="501">
        <v>22</v>
      </c>
      <c r="K3702" s="501">
        <v>57</v>
      </c>
      <c r="L3702" s="501">
        <v>4</v>
      </c>
      <c r="M3702" s="667" t="s">
        <v>137</v>
      </c>
      <c r="N3702" s="668">
        <v>43047564860000</v>
      </c>
      <c r="O3702" s="501" t="s">
        <v>4407</v>
      </c>
      <c r="P3702" s="501" t="str">
        <f t="shared" si="1"/>
        <v>3632212West-Down2</v>
      </c>
      <c r="Q3702" s="501" t="s">
        <v>4374</v>
      </c>
      <c r="R3702" s="564">
        <v>2</v>
      </c>
    </row>
    <row r="3703" spans="1:18" x14ac:dyDescent="0.25">
      <c r="A3703" s="501">
        <v>36</v>
      </c>
      <c r="B3703" s="501">
        <v>3</v>
      </c>
      <c r="C3703" s="501">
        <v>2</v>
      </c>
      <c r="D3703" s="501">
        <v>2</v>
      </c>
      <c r="E3703" s="501">
        <v>1</v>
      </c>
      <c r="F3703" s="501">
        <v>2</v>
      </c>
      <c r="G3703" s="553" t="s">
        <v>486</v>
      </c>
      <c r="H3703" s="501">
        <v>1341.12</v>
      </c>
      <c r="I3703" s="501">
        <v>0</v>
      </c>
      <c r="J3703" s="501">
        <v>52</v>
      </c>
      <c r="K3703" s="501">
        <v>41</v>
      </c>
      <c r="L3703" s="501">
        <v>3</v>
      </c>
      <c r="M3703" s="667" t="s">
        <v>137</v>
      </c>
      <c r="N3703" s="668">
        <v>43047564860000</v>
      </c>
      <c r="O3703" s="501" t="s">
        <v>4407</v>
      </c>
      <c r="P3703" s="501" t="str">
        <f t="shared" si="1"/>
        <v>3632212East-Up2</v>
      </c>
      <c r="Q3703" s="501" t="s">
        <v>4374</v>
      </c>
      <c r="R3703" s="564">
        <v>2</v>
      </c>
    </row>
    <row r="3704" spans="1:18" x14ac:dyDescent="0.25">
      <c r="A3704" s="501">
        <v>36</v>
      </c>
      <c r="B3704" s="501">
        <v>3</v>
      </c>
      <c r="C3704" s="501">
        <v>2</v>
      </c>
      <c r="D3704" s="501">
        <v>2</v>
      </c>
      <c r="E3704" s="501">
        <v>1</v>
      </c>
      <c r="F3704" s="501">
        <v>2</v>
      </c>
      <c r="G3704" s="502" t="s">
        <v>488</v>
      </c>
      <c r="H3704" s="501">
        <v>1322.88</v>
      </c>
      <c r="I3704" s="501">
        <v>0</v>
      </c>
      <c r="J3704" s="501">
        <v>4</v>
      </c>
      <c r="K3704" s="501">
        <v>37</v>
      </c>
      <c r="L3704" s="501">
        <v>4</v>
      </c>
      <c r="M3704" s="667" t="s">
        <v>137</v>
      </c>
      <c r="N3704" s="668">
        <v>43047564860000</v>
      </c>
      <c r="O3704" s="501" t="s">
        <v>4407</v>
      </c>
      <c r="P3704" s="501" t="str">
        <f t="shared" si="1"/>
        <v>3632212East-Up1</v>
      </c>
      <c r="Q3704" s="501" t="s">
        <v>4374</v>
      </c>
      <c r="R3704" s="564">
        <v>2</v>
      </c>
    </row>
    <row r="3705" spans="1:18" x14ac:dyDescent="0.25">
      <c r="A3705" s="501">
        <v>36</v>
      </c>
      <c r="B3705" s="501">
        <v>3</v>
      </c>
      <c r="C3705" s="501">
        <v>2</v>
      </c>
      <c r="D3705" s="501">
        <v>2</v>
      </c>
      <c r="E3705" s="501">
        <v>1</v>
      </c>
      <c r="F3705" s="501">
        <v>2</v>
      </c>
      <c r="G3705" s="553" t="s">
        <v>490</v>
      </c>
      <c r="H3705" s="501">
        <v>1325.2</v>
      </c>
      <c r="I3705" s="501">
        <v>0</v>
      </c>
      <c r="J3705" s="501">
        <v>14</v>
      </c>
      <c r="K3705" s="501">
        <v>58</v>
      </c>
      <c r="L3705" s="501">
        <v>1</v>
      </c>
      <c r="M3705" s="667" t="s">
        <v>137</v>
      </c>
      <c r="N3705" s="668">
        <v>43047564860000</v>
      </c>
      <c r="O3705" s="501" t="s">
        <v>4407</v>
      </c>
      <c r="P3705" s="501" t="str">
        <f t="shared" si="1"/>
        <v>3632212East-Down1</v>
      </c>
      <c r="Q3705" s="501" t="s">
        <v>4374</v>
      </c>
      <c r="R3705" s="564">
        <v>2</v>
      </c>
    </row>
    <row r="3706" spans="1:18" x14ac:dyDescent="0.25">
      <c r="A3706" s="501">
        <v>36</v>
      </c>
      <c r="B3706" s="501">
        <v>3</v>
      </c>
      <c r="C3706" s="501">
        <v>2</v>
      </c>
      <c r="D3706" s="501">
        <v>2</v>
      </c>
      <c r="E3706" s="501">
        <v>1</v>
      </c>
      <c r="F3706" s="501">
        <v>2</v>
      </c>
      <c r="G3706" s="553" t="s">
        <v>493</v>
      </c>
      <c r="H3706" s="501">
        <v>1320.05</v>
      </c>
      <c r="I3706" s="501">
        <v>0</v>
      </c>
      <c r="J3706" s="501">
        <v>11</v>
      </c>
      <c r="K3706" s="501">
        <v>36</v>
      </c>
      <c r="L3706" s="501">
        <v>3</v>
      </c>
      <c r="M3706" s="667" t="s">
        <v>137</v>
      </c>
      <c r="N3706" s="668">
        <v>43047564860000</v>
      </c>
      <c r="O3706" s="501" t="s">
        <v>4407</v>
      </c>
      <c r="P3706" s="501" t="str">
        <f t="shared" si="1"/>
        <v>3632212East-Down2</v>
      </c>
      <c r="Q3706" s="501" t="s">
        <v>4374</v>
      </c>
      <c r="R3706" s="564">
        <v>2</v>
      </c>
    </row>
    <row r="3707" spans="1:18" x14ac:dyDescent="0.25">
      <c r="A3707" s="501">
        <v>36</v>
      </c>
      <c r="B3707" s="501">
        <v>3</v>
      </c>
      <c r="C3707" s="501">
        <v>2</v>
      </c>
      <c r="D3707" s="501">
        <v>2</v>
      </c>
      <c r="E3707" s="501">
        <v>1</v>
      </c>
      <c r="F3707" s="501">
        <v>2</v>
      </c>
      <c r="G3707" s="553" t="s">
        <v>474</v>
      </c>
      <c r="H3707" s="501">
        <v>1324.43</v>
      </c>
      <c r="I3707" s="501">
        <v>89</v>
      </c>
      <c r="J3707" s="501">
        <v>59</v>
      </c>
      <c r="K3707" s="501">
        <v>18</v>
      </c>
      <c r="L3707" s="501">
        <v>1</v>
      </c>
      <c r="M3707" s="667" t="s">
        <v>137</v>
      </c>
      <c r="N3707" s="668">
        <v>43047564860000</v>
      </c>
      <c r="O3707" s="501" t="s">
        <v>4407</v>
      </c>
      <c r="P3707" s="501" t="str">
        <f t="shared" si="1"/>
        <v>3632212North-Left2</v>
      </c>
      <c r="Q3707" s="501" t="s">
        <v>4374</v>
      </c>
      <c r="R3707" s="564">
        <v>2</v>
      </c>
    </row>
    <row r="3708" spans="1:18" x14ac:dyDescent="0.25">
      <c r="A3708" s="501">
        <v>36</v>
      </c>
      <c r="B3708" s="501">
        <v>3</v>
      </c>
      <c r="C3708" s="501">
        <v>2</v>
      </c>
      <c r="D3708" s="501">
        <v>2</v>
      </c>
      <c r="E3708" s="501">
        <v>1</v>
      </c>
      <c r="F3708" s="501">
        <v>2</v>
      </c>
      <c r="G3708" s="502" t="s">
        <v>477</v>
      </c>
      <c r="H3708" s="501">
        <v>1332.81</v>
      </c>
      <c r="I3708" s="501">
        <v>89</v>
      </c>
      <c r="J3708" s="501">
        <v>28</v>
      </c>
      <c r="K3708" s="501">
        <v>26</v>
      </c>
      <c r="L3708" s="501">
        <v>2</v>
      </c>
      <c r="M3708" s="667" t="s">
        <v>137</v>
      </c>
      <c r="N3708" s="668">
        <v>43047564860000</v>
      </c>
      <c r="O3708" s="501" t="s">
        <v>4407</v>
      </c>
      <c r="P3708" s="501" t="str">
        <f t="shared" si="1"/>
        <v>3632212North-Left1</v>
      </c>
      <c r="Q3708" s="501" t="s">
        <v>4374</v>
      </c>
      <c r="R3708" s="564">
        <v>2</v>
      </c>
    </row>
    <row r="3709" spans="1:18" x14ac:dyDescent="0.25">
      <c r="A3709" s="501">
        <v>36</v>
      </c>
      <c r="B3709" s="501">
        <v>3</v>
      </c>
      <c r="C3709" s="501">
        <v>2</v>
      </c>
      <c r="D3709" s="501">
        <v>2</v>
      </c>
      <c r="E3709" s="501">
        <v>1</v>
      </c>
      <c r="F3709" s="501">
        <v>2</v>
      </c>
      <c r="G3709" s="553" t="s">
        <v>479</v>
      </c>
      <c r="H3709" s="501">
        <v>1332.81</v>
      </c>
      <c r="I3709" s="501">
        <v>89</v>
      </c>
      <c r="J3709" s="501">
        <v>28</v>
      </c>
      <c r="K3709" s="501">
        <v>26</v>
      </c>
      <c r="L3709" s="501">
        <v>2</v>
      </c>
      <c r="M3709" s="667" t="s">
        <v>137</v>
      </c>
      <c r="N3709" s="668">
        <v>43047564860000</v>
      </c>
      <c r="O3709" s="501" t="s">
        <v>4407</v>
      </c>
      <c r="P3709" s="501" t="str">
        <f t="shared" si="1"/>
        <v>3632212North-Right1</v>
      </c>
      <c r="Q3709" s="501" t="s">
        <v>4374</v>
      </c>
      <c r="R3709" s="564">
        <v>2</v>
      </c>
    </row>
    <row r="3710" spans="1:18" x14ac:dyDescent="0.25">
      <c r="A3710" s="501">
        <v>36</v>
      </c>
      <c r="B3710" s="501">
        <v>3</v>
      </c>
      <c r="C3710" s="501">
        <v>2</v>
      </c>
      <c r="D3710" s="501">
        <v>2</v>
      </c>
      <c r="E3710" s="501">
        <v>1</v>
      </c>
      <c r="F3710" s="501">
        <v>2</v>
      </c>
      <c r="G3710" s="553" t="s">
        <v>485</v>
      </c>
      <c r="H3710" s="501">
        <v>1329.2</v>
      </c>
      <c r="I3710" s="501">
        <v>89</v>
      </c>
      <c r="J3710" s="501">
        <v>27</v>
      </c>
      <c r="K3710" s="501">
        <v>26</v>
      </c>
      <c r="L3710" s="501">
        <v>2</v>
      </c>
      <c r="M3710" s="667" t="s">
        <v>137</v>
      </c>
      <c r="N3710" s="668">
        <v>43047564860000</v>
      </c>
      <c r="O3710" s="501" t="s">
        <v>4407</v>
      </c>
      <c r="P3710" s="501" t="str">
        <f t="shared" si="1"/>
        <v>3632212North-Right2</v>
      </c>
      <c r="Q3710" s="501" t="s">
        <v>4374</v>
      </c>
      <c r="R3710" s="564">
        <v>2</v>
      </c>
    </row>
    <row r="3711" spans="1:18" x14ac:dyDescent="0.25">
      <c r="A3711" s="501">
        <v>36</v>
      </c>
      <c r="B3711" s="501">
        <v>3</v>
      </c>
      <c r="C3711" s="501">
        <v>2</v>
      </c>
      <c r="D3711" s="501">
        <v>2</v>
      </c>
      <c r="E3711" s="501">
        <v>1</v>
      </c>
      <c r="F3711" s="501">
        <v>2</v>
      </c>
      <c r="G3711" s="553" t="s">
        <v>487</v>
      </c>
      <c r="H3711" s="501">
        <v>0</v>
      </c>
      <c r="I3711" s="501">
        <v>0</v>
      </c>
      <c r="J3711" s="501">
        <v>0</v>
      </c>
      <c r="K3711" s="501">
        <v>0</v>
      </c>
      <c r="L3711" s="501">
        <v>0</v>
      </c>
      <c r="M3711" s="667" t="s">
        <v>137</v>
      </c>
      <c r="N3711" s="668">
        <v>43047564860000</v>
      </c>
      <c r="O3711" s="501" t="s">
        <v>4407</v>
      </c>
      <c r="P3711" s="501" t="str">
        <f t="shared" si="1"/>
        <v>3632212South-Left2</v>
      </c>
      <c r="Q3711" s="501" t="s">
        <v>4374</v>
      </c>
      <c r="R3711" s="564">
        <v>2</v>
      </c>
    </row>
    <row r="3712" spans="1:18" x14ac:dyDescent="0.25">
      <c r="A3712" s="501">
        <v>36</v>
      </c>
      <c r="B3712" s="501">
        <v>3</v>
      </c>
      <c r="C3712" s="501">
        <v>2</v>
      </c>
      <c r="D3712" s="501">
        <v>2</v>
      </c>
      <c r="E3712" s="501">
        <v>1</v>
      </c>
      <c r="F3712" s="501">
        <v>2</v>
      </c>
      <c r="G3712" s="502" t="s">
        <v>489</v>
      </c>
      <c r="H3712" s="501">
        <v>5282.93</v>
      </c>
      <c r="I3712" s="501">
        <v>89</v>
      </c>
      <c r="J3712" s="501">
        <v>56</v>
      </c>
      <c r="K3712" s="501">
        <v>18</v>
      </c>
      <c r="L3712" s="501">
        <v>2</v>
      </c>
      <c r="M3712" s="667" t="s">
        <v>137</v>
      </c>
      <c r="N3712" s="668">
        <v>43047564860000</v>
      </c>
      <c r="O3712" s="501" t="s">
        <v>4407</v>
      </c>
      <c r="P3712" s="501" t="str">
        <f t="shared" si="1"/>
        <v>3632212South-Left1</v>
      </c>
      <c r="Q3712" s="501" t="s">
        <v>4374</v>
      </c>
      <c r="R3712" s="564">
        <v>2</v>
      </c>
    </row>
    <row r="3713" spans="1:18" x14ac:dyDescent="0.25">
      <c r="A3713" s="501">
        <v>36</v>
      </c>
      <c r="B3713" s="501">
        <v>3</v>
      </c>
      <c r="C3713" s="501">
        <v>2</v>
      </c>
      <c r="D3713" s="501">
        <v>2</v>
      </c>
      <c r="E3713" s="501">
        <v>1</v>
      </c>
      <c r="F3713" s="501">
        <v>2</v>
      </c>
      <c r="G3713" s="553" t="s">
        <v>491</v>
      </c>
      <c r="H3713" s="501">
        <v>0</v>
      </c>
      <c r="I3713" s="501">
        <v>0</v>
      </c>
      <c r="J3713" s="501">
        <v>0</v>
      </c>
      <c r="K3713" s="501">
        <v>0</v>
      </c>
      <c r="L3713" s="501">
        <v>0</v>
      </c>
      <c r="M3713" s="667" t="s">
        <v>137</v>
      </c>
      <c r="N3713" s="668">
        <v>43047564860000</v>
      </c>
      <c r="O3713" s="501" t="s">
        <v>4407</v>
      </c>
      <c r="P3713" s="501" t="str">
        <f t="shared" si="1"/>
        <v>3632212South-Right1</v>
      </c>
      <c r="Q3713" s="501" t="s">
        <v>4374</v>
      </c>
      <c r="R3713" s="564">
        <v>2</v>
      </c>
    </row>
    <row r="3714" spans="1:18" x14ac:dyDescent="0.25">
      <c r="A3714" s="501">
        <v>36</v>
      </c>
      <c r="B3714" s="501">
        <v>3</v>
      </c>
      <c r="C3714" s="501">
        <v>2</v>
      </c>
      <c r="D3714" s="501">
        <v>2</v>
      </c>
      <c r="E3714" s="501">
        <v>1</v>
      </c>
      <c r="F3714" s="501">
        <v>2</v>
      </c>
      <c r="G3714" s="553" t="s">
        <v>494</v>
      </c>
      <c r="H3714" s="501">
        <v>0</v>
      </c>
      <c r="I3714" s="501">
        <v>0</v>
      </c>
      <c r="J3714" s="501">
        <v>0</v>
      </c>
      <c r="K3714" s="501">
        <v>0</v>
      </c>
      <c r="L3714" s="501">
        <v>0</v>
      </c>
      <c r="M3714" s="667" t="s">
        <v>137</v>
      </c>
      <c r="N3714" s="668">
        <v>43047564860000</v>
      </c>
      <c r="O3714" s="501" t="s">
        <v>4407</v>
      </c>
      <c r="P3714" s="501" t="str">
        <f t="shared" si="1"/>
        <v>3632212South-Right2</v>
      </c>
      <c r="Q3714" s="501" t="s">
        <v>4374</v>
      </c>
      <c r="R3714" s="564">
        <v>2</v>
      </c>
    </row>
    <row r="3715" spans="1:18" x14ac:dyDescent="0.25">
      <c r="A3715" s="501">
        <v>8</v>
      </c>
      <c r="B3715" s="501">
        <v>3</v>
      </c>
      <c r="C3715" s="501">
        <v>2</v>
      </c>
      <c r="D3715" s="501">
        <v>1</v>
      </c>
      <c r="E3715" s="501">
        <v>1</v>
      </c>
      <c r="F3715" s="501">
        <v>2</v>
      </c>
      <c r="G3715" s="522" t="s">
        <v>473</v>
      </c>
      <c r="H3715" s="522">
        <v>0</v>
      </c>
      <c r="I3715" s="522">
        <v>0</v>
      </c>
      <c r="J3715" s="522">
        <v>0</v>
      </c>
      <c r="K3715" s="522">
        <v>0</v>
      </c>
      <c r="L3715" s="522">
        <v>0</v>
      </c>
      <c r="M3715" s="669" t="s">
        <v>137</v>
      </c>
      <c r="N3715" s="668">
        <v>43047559600000</v>
      </c>
      <c r="O3715" s="501" t="s">
        <v>4444</v>
      </c>
      <c r="P3715" s="501" t="str">
        <f t="shared" si="1"/>
        <v>832112West-Up2</v>
      </c>
      <c r="Q3715" s="501" t="s">
        <v>4445</v>
      </c>
      <c r="R3715" s="564">
        <v>1</v>
      </c>
    </row>
    <row r="3716" spans="1:18" x14ac:dyDescent="0.25">
      <c r="A3716" s="501">
        <v>8</v>
      </c>
      <c r="B3716" s="501">
        <v>3</v>
      </c>
      <c r="C3716" s="501">
        <v>2</v>
      </c>
      <c r="D3716" s="501">
        <v>1</v>
      </c>
      <c r="E3716" s="501">
        <v>1</v>
      </c>
      <c r="F3716" s="501">
        <v>2</v>
      </c>
      <c r="G3716" s="523" t="s">
        <v>476</v>
      </c>
      <c r="H3716" s="501">
        <v>2640.86</v>
      </c>
      <c r="I3716" s="501">
        <v>0</v>
      </c>
      <c r="J3716" s="501">
        <v>55</v>
      </c>
      <c r="K3716" s="501">
        <v>17</v>
      </c>
      <c r="L3716" s="501">
        <v>4</v>
      </c>
      <c r="M3716" s="669" t="s">
        <v>137</v>
      </c>
      <c r="N3716" s="668">
        <v>43047559600000</v>
      </c>
      <c r="O3716" s="501" t="s">
        <v>4444</v>
      </c>
      <c r="P3716" s="501" t="str">
        <f t="shared" si="1"/>
        <v>832112West-Up1</v>
      </c>
      <c r="Q3716" s="501" t="s">
        <v>4445</v>
      </c>
      <c r="R3716" s="564">
        <v>1</v>
      </c>
    </row>
    <row r="3717" spans="1:18" x14ac:dyDescent="0.25">
      <c r="A3717" s="501">
        <v>8</v>
      </c>
      <c r="B3717" s="501">
        <v>3</v>
      </c>
      <c r="C3717" s="501">
        <v>2</v>
      </c>
      <c r="D3717" s="501">
        <v>1</v>
      </c>
      <c r="E3717" s="501">
        <v>1</v>
      </c>
      <c r="F3717" s="501">
        <v>2</v>
      </c>
      <c r="G3717" s="522" t="s">
        <v>478</v>
      </c>
      <c r="H3717" s="501">
        <v>2637.06</v>
      </c>
      <c r="I3717" s="501">
        <v>1</v>
      </c>
      <c r="J3717" s="501">
        <v>0</v>
      </c>
      <c r="K3717" s="501">
        <v>9</v>
      </c>
      <c r="L3717" s="501">
        <v>4</v>
      </c>
      <c r="M3717" s="669" t="s">
        <v>137</v>
      </c>
      <c r="N3717" s="668">
        <v>43047559600000</v>
      </c>
      <c r="O3717" s="501" t="s">
        <v>4444</v>
      </c>
      <c r="P3717" s="501" t="str">
        <f t="shared" si="1"/>
        <v>832112West-Down1</v>
      </c>
      <c r="Q3717" s="501" t="s">
        <v>4445</v>
      </c>
      <c r="R3717" s="564">
        <v>1</v>
      </c>
    </row>
    <row r="3718" spans="1:18" x14ac:dyDescent="0.25">
      <c r="A3718" s="501">
        <v>8</v>
      </c>
      <c r="B3718" s="501">
        <v>3</v>
      </c>
      <c r="C3718" s="501">
        <v>2</v>
      </c>
      <c r="D3718" s="501">
        <v>1</v>
      </c>
      <c r="E3718" s="501">
        <v>1</v>
      </c>
      <c r="F3718" s="501">
        <v>2</v>
      </c>
      <c r="G3718" s="522" t="s">
        <v>484</v>
      </c>
      <c r="H3718" s="522">
        <v>0</v>
      </c>
      <c r="I3718" s="522">
        <v>0</v>
      </c>
      <c r="J3718" s="522">
        <v>0</v>
      </c>
      <c r="K3718" s="522">
        <v>0</v>
      </c>
      <c r="L3718" s="522">
        <v>0</v>
      </c>
      <c r="M3718" s="669" t="s">
        <v>137</v>
      </c>
      <c r="N3718" s="668">
        <v>43047559600000</v>
      </c>
      <c r="O3718" s="501" t="s">
        <v>4444</v>
      </c>
      <c r="P3718" s="501" t="str">
        <f t="shared" si="1"/>
        <v>832112West-Down2</v>
      </c>
      <c r="Q3718" s="501" t="s">
        <v>4445</v>
      </c>
      <c r="R3718" s="564">
        <v>1</v>
      </c>
    </row>
    <row r="3719" spans="1:18" x14ac:dyDescent="0.25">
      <c r="A3719" s="501">
        <v>8</v>
      </c>
      <c r="B3719" s="501">
        <v>3</v>
      </c>
      <c r="C3719" s="501">
        <v>2</v>
      </c>
      <c r="D3719" s="501">
        <v>1</v>
      </c>
      <c r="E3719" s="501">
        <v>1</v>
      </c>
      <c r="F3719" s="501">
        <v>2</v>
      </c>
      <c r="G3719" s="522" t="s">
        <v>486</v>
      </c>
      <c r="H3719" s="522">
        <v>0</v>
      </c>
      <c r="I3719" s="522">
        <v>0</v>
      </c>
      <c r="J3719" s="522">
        <v>0</v>
      </c>
      <c r="K3719" s="522">
        <v>0</v>
      </c>
      <c r="L3719" s="522">
        <v>0</v>
      </c>
      <c r="M3719" s="669" t="s">
        <v>137</v>
      </c>
      <c r="N3719" s="668">
        <v>43047559600000</v>
      </c>
      <c r="O3719" s="501" t="s">
        <v>4444</v>
      </c>
      <c r="P3719" s="501" t="str">
        <f t="shared" si="1"/>
        <v>832112East-Up2</v>
      </c>
      <c r="Q3719" s="501" t="s">
        <v>4445</v>
      </c>
      <c r="R3719" s="564">
        <v>1</v>
      </c>
    </row>
    <row r="3720" spans="1:18" x14ac:dyDescent="0.25">
      <c r="A3720" s="501">
        <v>8</v>
      </c>
      <c r="B3720" s="501">
        <v>3</v>
      </c>
      <c r="C3720" s="501">
        <v>2</v>
      </c>
      <c r="D3720" s="501">
        <v>1</v>
      </c>
      <c r="E3720" s="501">
        <v>1</v>
      </c>
      <c r="F3720" s="501">
        <v>2</v>
      </c>
      <c r="G3720" s="523" t="s">
        <v>488</v>
      </c>
      <c r="H3720" s="501">
        <v>2638.18</v>
      </c>
      <c r="I3720" s="501">
        <v>1</v>
      </c>
      <c r="J3720" s="501">
        <v>3</v>
      </c>
      <c r="K3720" s="501">
        <v>16</v>
      </c>
      <c r="L3720" s="501">
        <v>4</v>
      </c>
      <c r="M3720" s="669" t="s">
        <v>137</v>
      </c>
      <c r="N3720" s="668">
        <v>43047559600000</v>
      </c>
      <c r="O3720" s="501" t="s">
        <v>4444</v>
      </c>
      <c r="P3720" s="501" t="str">
        <f t="shared" si="1"/>
        <v>832112East-Up1</v>
      </c>
      <c r="Q3720" s="501" t="s">
        <v>4445</v>
      </c>
      <c r="R3720" s="564">
        <v>1</v>
      </c>
    </row>
    <row r="3721" spans="1:18" x14ac:dyDescent="0.25">
      <c r="A3721" s="501">
        <v>8</v>
      </c>
      <c r="B3721" s="501">
        <v>3</v>
      </c>
      <c r="C3721" s="501">
        <v>2</v>
      </c>
      <c r="D3721" s="501">
        <v>1</v>
      </c>
      <c r="E3721" s="501">
        <v>1</v>
      </c>
      <c r="F3721" s="501">
        <v>2</v>
      </c>
      <c r="G3721" s="522" t="s">
        <v>490</v>
      </c>
      <c r="H3721" s="501">
        <v>2643.31</v>
      </c>
      <c r="I3721" s="501">
        <v>1</v>
      </c>
      <c r="J3721" s="501">
        <v>3</v>
      </c>
      <c r="K3721" s="501">
        <v>9</v>
      </c>
      <c r="L3721" s="501">
        <v>4</v>
      </c>
      <c r="M3721" s="669" t="s">
        <v>137</v>
      </c>
      <c r="N3721" s="668">
        <v>43047559600000</v>
      </c>
      <c r="O3721" s="501" t="s">
        <v>4444</v>
      </c>
      <c r="P3721" s="501" t="str">
        <f t="shared" si="1"/>
        <v>832112East-Down1</v>
      </c>
      <c r="Q3721" s="501" t="s">
        <v>4445</v>
      </c>
      <c r="R3721" s="564">
        <v>1</v>
      </c>
    </row>
    <row r="3722" spans="1:18" x14ac:dyDescent="0.25">
      <c r="A3722" s="501">
        <v>8</v>
      </c>
      <c r="B3722" s="501">
        <v>3</v>
      </c>
      <c r="C3722" s="501">
        <v>2</v>
      </c>
      <c r="D3722" s="501">
        <v>1</v>
      </c>
      <c r="E3722" s="501">
        <v>1</v>
      </c>
      <c r="F3722" s="501">
        <v>2</v>
      </c>
      <c r="G3722" s="522" t="s">
        <v>493</v>
      </c>
      <c r="H3722" s="522">
        <v>0</v>
      </c>
      <c r="I3722" s="522">
        <v>0</v>
      </c>
      <c r="J3722" s="522">
        <v>0</v>
      </c>
      <c r="K3722" s="522">
        <v>0</v>
      </c>
      <c r="L3722" s="522">
        <v>0</v>
      </c>
      <c r="M3722" s="669" t="s">
        <v>137</v>
      </c>
      <c r="N3722" s="668">
        <v>43047559600000</v>
      </c>
      <c r="O3722" s="501" t="s">
        <v>4444</v>
      </c>
      <c r="P3722" s="501" t="str">
        <f t="shared" si="1"/>
        <v>832112East-Down2</v>
      </c>
      <c r="Q3722" s="501" t="s">
        <v>4445</v>
      </c>
      <c r="R3722" s="564">
        <v>1</v>
      </c>
    </row>
    <row r="3723" spans="1:18" x14ac:dyDescent="0.25">
      <c r="A3723" s="501">
        <v>8</v>
      </c>
      <c r="B3723" s="501">
        <v>3</v>
      </c>
      <c r="C3723" s="501">
        <v>2</v>
      </c>
      <c r="D3723" s="501">
        <v>1</v>
      </c>
      <c r="E3723" s="501">
        <v>1</v>
      </c>
      <c r="F3723" s="501">
        <v>2</v>
      </c>
      <c r="G3723" s="522" t="s">
        <v>474</v>
      </c>
      <c r="H3723" s="522">
        <v>0</v>
      </c>
      <c r="I3723" s="522">
        <v>0</v>
      </c>
      <c r="J3723" s="522">
        <v>0</v>
      </c>
      <c r="K3723" s="522">
        <v>0</v>
      </c>
      <c r="L3723" s="522">
        <v>0</v>
      </c>
      <c r="M3723" s="669" t="s">
        <v>137</v>
      </c>
      <c r="N3723" s="668">
        <v>43047559600000</v>
      </c>
      <c r="O3723" s="501" t="s">
        <v>4444</v>
      </c>
      <c r="P3723" s="501" t="str">
        <f t="shared" si="1"/>
        <v>832112North-Left2</v>
      </c>
      <c r="Q3723" s="501" t="s">
        <v>4445</v>
      </c>
      <c r="R3723" s="564">
        <v>1</v>
      </c>
    </row>
    <row r="3724" spans="1:18" x14ac:dyDescent="0.25">
      <c r="A3724" s="501">
        <v>8</v>
      </c>
      <c r="B3724" s="501">
        <v>3</v>
      </c>
      <c r="C3724" s="501">
        <v>2</v>
      </c>
      <c r="D3724" s="501">
        <v>1</v>
      </c>
      <c r="E3724" s="501">
        <v>1</v>
      </c>
      <c r="F3724" s="501">
        <v>2</v>
      </c>
      <c r="G3724" s="523" t="s">
        <v>477</v>
      </c>
      <c r="H3724" s="501">
        <v>2630.67</v>
      </c>
      <c r="I3724" s="501">
        <v>89</v>
      </c>
      <c r="J3724" s="501">
        <v>8</v>
      </c>
      <c r="K3724" s="501">
        <v>9</v>
      </c>
      <c r="L3724" s="501">
        <v>3</v>
      </c>
      <c r="M3724" s="669" t="s">
        <v>137</v>
      </c>
      <c r="N3724" s="668">
        <v>43047559600000</v>
      </c>
      <c r="O3724" s="501" t="s">
        <v>4444</v>
      </c>
      <c r="P3724" s="501" t="str">
        <f t="shared" si="1"/>
        <v>832112North-Left1</v>
      </c>
      <c r="Q3724" s="501" t="s">
        <v>4445</v>
      </c>
      <c r="R3724" s="564">
        <v>1</v>
      </c>
    </row>
    <row r="3725" spans="1:18" x14ac:dyDescent="0.25">
      <c r="A3725" s="501">
        <v>8</v>
      </c>
      <c r="B3725" s="501">
        <v>3</v>
      </c>
      <c r="C3725" s="501">
        <v>2</v>
      </c>
      <c r="D3725" s="501">
        <v>1</v>
      </c>
      <c r="E3725" s="501">
        <v>1</v>
      </c>
      <c r="F3725" s="501">
        <v>2</v>
      </c>
      <c r="G3725" s="522" t="s">
        <v>479</v>
      </c>
      <c r="H3725" s="501">
        <v>2630.8</v>
      </c>
      <c r="I3725" s="501">
        <v>89</v>
      </c>
      <c r="J3725" s="501">
        <v>8</v>
      </c>
      <c r="K3725" s="501">
        <v>10</v>
      </c>
      <c r="L3725" s="501">
        <v>3</v>
      </c>
      <c r="M3725" s="669" t="s">
        <v>137</v>
      </c>
      <c r="N3725" s="668">
        <v>43047559600000</v>
      </c>
      <c r="O3725" s="501" t="s">
        <v>4444</v>
      </c>
      <c r="P3725" s="501" t="str">
        <f t="shared" si="1"/>
        <v>832112North-Right1</v>
      </c>
      <c r="Q3725" s="501" t="s">
        <v>4445</v>
      </c>
      <c r="R3725" s="564">
        <v>1</v>
      </c>
    </row>
    <row r="3726" spans="1:18" x14ac:dyDescent="0.25">
      <c r="A3726" s="501">
        <v>8</v>
      </c>
      <c r="B3726" s="501">
        <v>3</v>
      </c>
      <c r="C3726" s="501">
        <v>2</v>
      </c>
      <c r="D3726" s="501">
        <v>1</v>
      </c>
      <c r="E3726" s="501">
        <v>1</v>
      </c>
      <c r="F3726" s="501">
        <v>2</v>
      </c>
      <c r="G3726" s="522" t="s">
        <v>485</v>
      </c>
      <c r="H3726" s="522">
        <v>0</v>
      </c>
      <c r="I3726" s="522">
        <v>0</v>
      </c>
      <c r="J3726" s="522">
        <v>0</v>
      </c>
      <c r="K3726" s="522">
        <v>0</v>
      </c>
      <c r="L3726" s="522">
        <v>0</v>
      </c>
      <c r="M3726" s="669" t="s">
        <v>137</v>
      </c>
      <c r="N3726" s="668">
        <v>43047559600000</v>
      </c>
      <c r="O3726" s="501" t="s">
        <v>4444</v>
      </c>
      <c r="P3726" s="501" t="str">
        <f t="shared" si="1"/>
        <v>832112North-Right2</v>
      </c>
      <c r="Q3726" s="501" t="s">
        <v>4445</v>
      </c>
      <c r="R3726" s="564">
        <v>1</v>
      </c>
    </row>
    <row r="3727" spans="1:18" x14ac:dyDescent="0.25">
      <c r="A3727" s="501">
        <v>8</v>
      </c>
      <c r="B3727" s="501">
        <v>3</v>
      </c>
      <c r="C3727" s="501">
        <v>2</v>
      </c>
      <c r="D3727" s="501">
        <v>1</v>
      </c>
      <c r="E3727" s="501">
        <v>1</v>
      </c>
      <c r="F3727" s="501">
        <v>2</v>
      </c>
      <c r="G3727" s="522" t="s">
        <v>487</v>
      </c>
      <c r="H3727" s="522">
        <v>0</v>
      </c>
      <c r="I3727" s="522">
        <v>0</v>
      </c>
      <c r="J3727" s="522">
        <v>0</v>
      </c>
      <c r="K3727" s="522">
        <v>0</v>
      </c>
      <c r="L3727" s="522">
        <v>0</v>
      </c>
      <c r="M3727" s="669" t="s">
        <v>137</v>
      </c>
      <c r="N3727" s="668">
        <v>43047559600000</v>
      </c>
      <c r="O3727" s="501" t="s">
        <v>4444</v>
      </c>
      <c r="P3727" s="501" t="str">
        <f t="shared" si="1"/>
        <v>832112South-Left2</v>
      </c>
      <c r="Q3727" s="501" t="s">
        <v>4445</v>
      </c>
      <c r="R3727" s="564">
        <v>1</v>
      </c>
    </row>
    <row r="3728" spans="1:18" x14ac:dyDescent="0.25">
      <c r="A3728" s="501">
        <v>8</v>
      </c>
      <c r="B3728" s="501">
        <v>3</v>
      </c>
      <c r="C3728" s="501">
        <v>2</v>
      </c>
      <c r="D3728" s="501">
        <v>1</v>
      </c>
      <c r="E3728" s="501">
        <v>1</v>
      </c>
      <c r="F3728" s="501">
        <v>2</v>
      </c>
      <c r="G3728" s="523" t="s">
        <v>489</v>
      </c>
      <c r="H3728" s="501">
        <v>2630.36</v>
      </c>
      <c r="I3728" s="501">
        <v>89</v>
      </c>
      <c r="J3728" s="501">
        <v>10</v>
      </c>
      <c r="K3728" s="501">
        <v>57</v>
      </c>
      <c r="L3728" s="501">
        <v>3</v>
      </c>
      <c r="M3728" s="669" t="s">
        <v>137</v>
      </c>
      <c r="N3728" s="668">
        <v>43047559600000</v>
      </c>
      <c r="O3728" s="501" t="s">
        <v>4444</v>
      </c>
      <c r="P3728" s="501" t="str">
        <f t="shared" si="1"/>
        <v>832112South-Left1</v>
      </c>
      <c r="Q3728" s="501" t="s">
        <v>4445</v>
      </c>
      <c r="R3728" s="564">
        <v>1</v>
      </c>
    </row>
    <row r="3729" spans="1:18" x14ac:dyDescent="0.25">
      <c r="A3729" s="501">
        <v>8</v>
      </c>
      <c r="B3729" s="501">
        <v>3</v>
      </c>
      <c r="C3729" s="501">
        <v>2</v>
      </c>
      <c r="D3729" s="501">
        <v>1</v>
      </c>
      <c r="E3729" s="501">
        <v>1</v>
      </c>
      <c r="F3729" s="501">
        <v>2</v>
      </c>
      <c r="G3729" s="522" t="s">
        <v>491</v>
      </c>
      <c r="H3729" s="501"/>
      <c r="I3729" s="501"/>
      <c r="J3729" s="501"/>
      <c r="K3729" s="501"/>
      <c r="L3729" s="501"/>
      <c r="M3729" s="669" t="s">
        <v>137</v>
      </c>
      <c r="N3729" s="668">
        <v>43047559600000</v>
      </c>
      <c r="O3729" s="501" t="s">
        <v>4444</v>
      </c>
      <c r="P3729" s="501" t="str">
        <f t="shared" si="1"/>
        <v>832112South-Right1</v>
      </c>
      <c r="Q3729" s="501" t="s">
        <v>4445</v>
      </c>
      <c r="R3729" s="564">
        <v>1</v>
      </c>
    </row>
    <row r="3730" spans="1:18" x14ac:dyDescent="0.25">
      <c r="A3730" s="501">
        <v>8</v>
      </c>
      <c r="B3730" s="501">
        <v>3</v>
      </c>
      <c r="C3730" s="501">
        <v>2</v>
      </c>
      <c r="D3730" s="501">
        <v>1</v>
      </c>
      <c r="E3730" s="501">
        <v>1</v>
      </c>
      <c r="F3730" s="501">
        <v>2</v>
      </c>
      <c r="G3730" s="522" t="s">
        <v>494</v>
      </c>
      <c r="H3730" s="522">
        <v>0</v>
      </c>
      <c r="I3730" s="522">
        <v>0</v>
      </c>
      <c r="J3730" s="522">
        <v>0</v>
      </c>
      <c r="K3730" s="522">
        <v>0</v>
      </c>
      <c r="L3730" s="522">
        <v>0</v>
      </c>
      <c r="M3730" s="669" t="s">
        <v>137</v>
      </c>
      <c r="N3730" s="668">
        <v>43047559600000</v>
      </c>
      <c r="O3730" s="501" t="s">
        <v>4444</v>
      </c>
      <c r="P3730" s="501" t="str">
        <f t="shared" si="1"/>
        <v>832112South-Right2</v>
      </c>
      <c r="Q3730" s="501" t="s">
        <v>4445</v>
      </c>
      <c r="R3730" s="564">
        <v>1</v>
      </c>
    </row>
    <row r="3731" spans="1:18" x14ac:dyDescent="0.25">
      <c r="A3731" s="501">
        <v>17</v>
      </c>
      <c r="B3731" s="501">
        <v>3</v>
      </c>
      <c r="C3731" s="501">
        <v>2</v>
      </c>
      <c r="D3731" s="501">
        <v>1</v>
      </c>
      <c r="E3731" s="501">
        <v>1</v>
      </c>
      <c r="F3731" s="501">
        <v>2</v>
      </c>
      <c r="G3731" s="522" t="s">
        <v>473</v>
      </c>
      <c r="H3731" s="522">
        <v>0</v>
      </c>
      <c r="I3731" s="522">
        <v>0</v>
      </c>
      <c r="J3731" s="522">
        <v>0</v>
      </c>
      <c r="K3731" s="522">
        <v>0</v>
      </c>
      <c r="L3731" s="522">
        <v>0</v>
      </c>
      <c r="M3731" s="669" t="s">
        <v>137</v>
      </c>
      <c r="N3731" s="668">
        <v>43047559600000</v>
      </c>
      <c r="O3731" s="501" t="s">
        <v>4444</v>
      </c>
      <c r="P3731" s="501" t="str">
        <f t="shared" si="1"/>
        <v>1732112West-Up2</v>
      </c>
      <c r="Q3731" s="501" t="s">
        <v>4445</v>
      </c>
      <c r="R3731" s="564">
        <v>2</v>
      </c>
    </row>
    <row r="3732" spans="1:18" x14ac:dyDescent="0.25">
      <c r="A3732" s="501">
        <v>17</v>
      </c>
      <c r="B3732" s="501">
        <v>3</v>
      </c>
      <c r="C3732" s="501">
        <v>2</v>
      </c>
      <c r="D3732" s="501">
        <v>1</v>
      </c>
      <c r="E3732" s="501">
        <v>1</v>
      </c>
      <c r="F3732" s="501">
        <v>2</v>
      </c>
      <c r="G3732" s="523" t="s">
        <v>476</v>
      </c>
      <c r="H3732" s="501">
        <v>2642.24</v>
      </c>
      <c r="I3732" s="501">
        <v>1</v>
      </c>
      <c r="J3732" s="501">
        <v>4</v>
      </c>
      <c r="K3732" s="501">
        <v>3</v>
      </c>
      <c r="L3732" s="501">
        <v>4</v>
      </c>
      <c r="M3732" s="669" t="s">
        <v>137</v>
      </c>
      <c r="N3732" s="668">
        <v>43047559600000</v>
      </c>
      <c r="O3732" s="501" t="s">
        <v>4444</v>
      </c>
      <c r="P3732" s="501" t="str">
        <f t="shared" si="1"/>
        <v>1732112West-Up1</v>
      </c>
      <c r="Q3732" s="501" t="s">
        <v>4445</v>
      </c>
      <c r="R3732" s="564">
        <v>2</v>
      </c>
    </row>
    <row r="3733" spans="1:18" x14ac:dyDescent="0.25">
      <c r="A3733" s="501">
        <v>17</v>
      </c>
      <c r="B3733" s="501">
        <v>3</v>
      </c>
      <c r="C3733" s="501">
        <v>2</v>
      </c>
      <c r="D3733" s="501">
        <v>1</v>
      </c>
      <c r="E3733" s="501">
        <v>1</v>
      </c>
      <c r="F3733" s="501">
        <v>2</v>
      </c>
      <c r="G3733" s="522" t="s">
        <v>478</v>
      </c>
      <c r="H3733" s="501">
        <v>2649.16</v>
      </c>
      <c r="I3733" s="501">
        <v>0</v>
      </c>
      <c r="J3733" s="501">
        <v>57</v>
      </c>
      <c r="K3733" s="501">
        <v>19</v>
      </c>
      <c r="L3733" s="501">
        <v>4</v>
      </c>
      <c r="M3733" s="669" t="s">
        <v>137</v>
      </c>
      <c r="N3733" s="668">
        <v>43047559600000</v>
      </c>
      <c r="O3733" s="501" t="s">
        <v>4444</v>
      </c>
      <c r="P3733" s="501" t="str">
        <f t="shared" si="1"/>
        <v>1732112West-Down1</v>
      </c>
      <c r="Q3733" s="501" t="s">
        <v>4445</v>
      </c>
      <c r="R3733" s="564">
        <v>2</v>
      </c>
    </row>
    <row r="3734" spans="1:18" x14ac:dyDescent="0.25">
      <c r="A3734" s="501">
        <v>17</v>
      </c>
      <c r="B3734" s="501">
        <v>3</v>
      </c>
      <c r="C3734" s="501">
        <v>2</v>
      </c>
      <c r="D3734" s="501">
        <v>1</v>
      </c>
      <c r="E3734" s="501">
        <v>1</v>
      </c>
      <c r="F3734" s="501">
        <v>2</v>
      </c>
      <c r="G3734" s="522" t="s">
        <v>484</v>
      </c>
      <c r="H3734" s="522">
        <v>0</v>
      </c>
      <c r="I3734" s="522">
        <v>0</v>
      </c>
      <c r="J3734" s="522">
        <v>0</v>
      </c>
      <c r="K3734" s="522">
        <v>0</v>
      </c>
      <c r="L3734" s="522">
        <v>0</v>
      </c>
      <c r="M3734" s="669" t="s">
        <v>137</v>
      </c>
      <c r="N3734" s="668">
        <v>43047559600000</v>
      </c>
      <c r="O3734" s="501" t="s">
        <v>4444</v>
      </c>
      <c r="P3734" s="501" t="str">
        <f t="shared" si="1"/>
        <v>1732112West-Down2</v>
      </c>
      <c r="Q3734" s="501" t="s">
        <v>4445</v>
      </c>
      <c r="R3734" s="564">
        <v>2</v>
      </c>
    </row>
    <row r="3735" spans="1:18" x14ac:dyDescent="0.25">
      <c r="A3735" s="501">
        <v>17</v>
      </c>
      <c r="B3735" s="501">
        <v>3</v>
      </c>
      <c r="C3735" s="501">
        <v>2</v>
      </c>
      <c r="D3735" s="501">
        <v>1</v>
      </c>
      <c r="E3735" s="501">
        <v>1</v>
      </c>
      <c r="F3735" s="501">
        <v>2</v>
      </c>
      <c r="G3735" s="522" t="s">
        <v>486</v>
      </c>
      <c r="H3735" s="522">
        <v>0</v>
      </c>
      <c r="I3735" s="522">
        <v>0</v>
      </c>
      <c r="J3735" s="522">
        <v>0</v>
      </c>
      <c r="K3735" s="522">
        <v>0</v>
      </c>
      <c r="L3735" s="522">
        <v>0</v>
      </c>
      <c r="M3735" s="669" t="s">
        <v>137</v>
      </c>
      <c r="N3735" s="668">
        <v>43047559600000</v>
      </c>
      <c r="O3735" s="501" t="s">
        <v>4444</v>
      </c>
      <c r="P3735" s="501" t="str">
        <f t="shared" si="1"/>
        <v>1732112East-Up2</v>
      </c>
      <c r="Q3735" s="501" t="s">
        <v>4445</v>
      </c>
      <c r="R3735" s="564">
        <v>2</v>
      </c>
    </row>
    <row r="3736" spans="1:18" x14ac:dyDescent="0.25">
      <c r="A3736" s="501">
        <v>17</v>
      </c>
      <c r="B3736" s="501">
        <v>3</v>
      </c>
      <c r="C3736" s="501">
        <v>2</v>
      </c>
      <c r="D3736" s="501">
        <v>1</v>
      </c>
      <c r="E3736" s="501">
        <v>1</v>
      </c>
      <c r="F3736" s="501">
        <v>2</v>
      </c>
      <c r="G3736" s="523" t="s">
        <v>488</v>
      </c>
      <c r="H3736" s="501">
        <v>2661.72</v>
      </c>
      <c r="I3736" s="501">
        <v>1</v>
      </c>
      <c r="J3736" s="501">
        <v>19</v>
      </c>
      <c r="K3736" s="501">
        <v>8</v>
      </c>
      <c r="L3736" s="501">
        <v>4</v>
      </c>
      <c r="M3736" s="669" t="s">
        <v>137</v>
      </c>
      <c r="N3736" s="668">
        <v>43047559600000</v>
      </c>
      <c r="O3736" s="501" t="s">
        <v>4444</v>
      </c>
      <c r="P3736" s="501" t="str">
        <f t="shared" si="1"/>
        <v>1732112East-Up1</v>
      </c>
      <c r="Q3736" s="501" t="s">
        <v>4445</v>
      </c>
      <c r="R3736" s="564">
        <v>2</v>
      </c>
    </row>
    <row r="3737" spans="1:18" x14ac:dyDescent="0.25">
      <c r="A3737" s="501">
        <v>17</v>
      </c>
      <c r="B3737" s="501">
        <v>3</v>
      </c>
      <c r="C3737" s="501">
        <v>2</v>
      </c>
      <c r="D3737" s="501">
        <v>1</v>
      </c>
      <c r="E3737" s="501">
        <v>1</v>
      </c>
      <c r="F3737" s="501">
        <v>2</v>
      </c>
      <c r="G3737" s="522" t="s">
        <v>490</v>
      </c>
      <c r="H3737" s="501">
        <v>2653.23</v>
      </c>
      <c r="I3737" s="501">
        <v>0</v>
      </c>
      <c r="J3737" s="501">
        <v>46</v>
      </c>
      <c r="K3737" s="501">
        <v>18</v>
      </c>
      <c r="L3737" s="501">
        <v>4</v>
      </c>
      <c r="M3737" s="669" t="s">
        <v>137</v>
      </c>
      <c r="N3737" s="668">
        <v>43047559600000</v>
      </c>
      <c r="O3737" s="501" t="s">
        <v>4444</v>
      </c>
      <c r="P3737" s="501" t="str">
        <f t="shared" si="1"/>
        <v>1732112East-Down1</v>
      </c>
      <c r="Q3737" s="501" t="s">
        <v>4445</v>
      </c>
      <c r="R3737" s="564">
        <v>2</v>
      </c>
    </row>
    <row r="3738" spans="1:18" x14ac:dyDescent="0.25">
      <c r="A3738" s="501">
        <v>17</v>
      </c>
      <c r="B3738" s="501">
        <v>3</v>
      </c>
      <c r="C3738" s="501">
        <v>2</v>
      </c>
      <c r="D3738" s="501">
        <v>1</v>
      </c>
      <c r="E3738" s="501">
        <v>1</v>
      </c>
      <c r="F3738" s="501">
        <v>2</v>
      </c>
      <c r="G3738" s="522" t="s">
        <v>493</v>
      </c>
      <c r="H3738" s="522">
        <v>0</v>
      </c>
      <c r="I3738" s="522">
        <v>0</v>
      </c>
      <c r="J3738" s="522">
        <v>0</v>
      </c>
      <c r="K3738" s="522">
        <v>0</v>
      </c>
      <c r="L3738" s="522">
        <v>0</v>
      </c>
      <c r="M3738" s="669" t="s">
        <v>137</v>
      </c>
      <c r="N3738" s="668">
        <v>43047559600000</v>
      </c>
      <c r="O3738" s="501" t="s">
        <v>4444</v>
      </c>
      <c r="P3738" s="501" t="str">
        <f t="shared" si="1"/>
        <v>1732112East-Down2</v>
      </c>
      <c r="Q3738" s="501" t="s">
        <v>4445</v>
      </c>
      <c r="R3738" s="564">
        <v>2</v>
      </c>
    </row>
    <row r="3739" spans="1:18" x14ac:dyDescent="0.25">
      <c r="A3739" s="501">
        <v>17</v>
      </c>
      <c r="B3739" s="501">
        <v>3</v>
      </c>
      <c r="C3739" s="501">
        <v>2</v>
      </c>
      <c r="D3739" s="501">
        <v>1</v>
      </c>
      <c r="E3739" s="501">
        <v>1</v>
      </c>
      <c r="F3739" s="501">
        <v>2</v>
      </c>
      <c r="G3739" s="522" t="s">
        <v>474</v>
      </c>
      <c r="H3739" s="522">
        <v>0</v>
      </c>
      <c r="I3739" s="522">
        <v>0</v>
      </c>
      <c r="J3739" s="522">
        <v>0</v>
      </c>
      <c r="K3739" s="522">
        <v>0</v>
      </c>
      <c r="L3739" s="522">
        <v>0</v>
      </c>
      <c r="M3739" s="669" t="s">
        <v>137</v>
      </c>
      <c r="N3739" s="668">
        <v>43047559600000</v>
      </c>
      <c r="O3739" s="501" t="s">
        <v>4444</v>
      </c>
      <c r="P3739" s="501" t="str">
        <f t="shared" si="1"/>
        <v>1732112North-Left2</v>
      </c>
      <c r="Q3739" s="501" t="s">
        <v>4445</v>
      </c>
      <c r="R3739" s="564">
        <v>2</v>
      </c>
    </row>
    <row r="3740" spans="1:18" x14ac:dyDescent="0.25">
      <c r="A3740" s="501">
        <v>17</v>
      </c>
      <c r="B3740" s="501">
        <v>3</v>
      </c>
      <c r="C3740" s="501">
        <v>2</v>
      </c>
      <c r="D3740" s="501">
        <v>1</v>
      </c>
      <c r="E3740" s="501">
        <v>1</v>
      </c>
      <c r="F3740" s="501">
        <v>2</v>
      </c>
      <c r="G3740" s="523" t="s">
        <v>477</v>
      </c>
      <c r="H3740" s="501">
        <v>2630.36</v>
      </c>
      <c r="I3740" s="501">
        <v>89</v>
      </c>
      <c r="J3740" s="501">
        <v>10</v>
      </c>
      <c r="K3740" s="501">
        <v>57</v>
      </c>
      <c r="L3740" s="501">
        <v>3</v>
      </c>
      <c r="M3740" s="669" t="s">
        <v>137</v>
      </c>
      <c r="N3740" s="668">
        <v>43047559600000</v>
      </c>
      <c r="O3740" s="501" t="s">
        <v>4444</v>
      </c>
      <c r="P3740" s="501" t="str">
        <f t="shared" si="1"/>
        <v>1732112North-Left1</v>
      </c>
      <c r="Q3740" s="501" t="s">
        <v>4445</v>
      </c>
      <c r="R3740" s="564">
        <v>2</v>
      </c>
    </row>
    <row r="3741" spans="1:18" x14ac:dyDescent="0.25">
      <c r="A3741" s="501">
        <v>17</v>
      </c>
      <c r="B3741" s="501">
        <v>3</v>
      </c>
      <c r="C3741" s="501">
        <v>2</v>
      </c>
      <c r="D3741" s="501">
        <v>1</v>
      </c>
      <c r="E3741" s="501">
        <v>1</v>
      </c>
      <c r="F3741" s="501">
        <v>2</v>
      </c>
      <c r="G3741" s="522" t="s">
        <v>479</v>
      </c>
      <c r="H3741" s="501">
        <v>2639.55</v>
      </c>
      <c r="I3741" s="501">
        <v>89</v>
      </c>
      <c r="J3741" s="501">
        <v>10</v>
      </c>
      <c r="K3741" s="501">
        <v>1</v>
      </c>
      <c r="L3741" s="501">
        <v>3</v>
      </c>
      <c r="M3741" s="669" t="s">
        <v>137</v>
      </c>
      <c r="N3741" s="668">
        <v>43047559600000</v>
      </c>
      <c r="O3741" s="501" t="s">
        <v>4444</v>
      </c>
      <c r="P3741" s="501" t="str">
        <f t="shared" si="1"/>
        <v>1732112North-Right1</v>
      </c>
      <c r="Q3741" s="501" t="s">
        <v>4445</v>
      </c>
      <c r="R3741" s="564">
        <v>2</v>
      </c>
    </row>
    <row r="3742" spans="1:18" x14ac:dyDescent="0.25">
      <c r="A3742" s="501">
        <v>17</v>
      </c>
      <c r="B3742" s="501">
        <v>3</v>
      </c>
      <c r="C3742" s="501">
        <v>2</v>
      </c>
      <c r="D3742" s="501">
        <v>1</v>
      </c>
      <c r="E3742" s="501">
        <v>1</v>
      </c>
      <c r="F3742" s="501">
        <v>2</v>
      </c>
      <c r="G3742" s="522" t="s">
        <v>485</v>
      </c>
      <c r="H3742" s="522">
        <v>0</v>
      </c>
      <c r="I3742" s="522">
        <v>0</v>
      </c>
      <c r="J3742" s="522">
        <v>0</v>
      </c>
      <c r="K3742" s="522">
        <v>0</v>
      </c>
      <c r="L3742" s="522">
        <v>0</v>
      </c>
      <c r="M3742" s="669" t="s">
        <v>137</v>
      </c>
      <c r="N3742" s="668">
        <v>43047559600000</v>
      </c>
      <c r="O3742" s="501" t="s">
        <v>4444</v>
      </c>
      <c r="P3742" s="501" t="str">
        <f t="shared" si="1"/>
        <v>1732112North-Right2</v>
      </c>
      <c r="Q3742" s="501" t="s">
        <v>4445</v>
      </c>
      <c r="R3742" s="564">
        <v>2</v>
      </c>
    </row>
    <row r="3743" spans="1:18" x14ac:dyDescent="0.25">
      <c r="A3743" s="501">
        <v>17</v>
      </c>
      <c r="B3743" s="501">
        <v>3</v>
      </c>
      <c r="C3743" s="501">
        <v>2</v>
      </c>
      <c r="D3743" s="501">
        <v>1</v>
      </c>
      <c r="E3743" s="501">
        <v>1</v>
      </c>
      <c r="F3743" s="501">
        <v>2</v>
      </c>
      <c r="G3743" s="522" t="s">
        <v>487</v>
      </c>
      <c r="H3743" s="522">
        <v>0</v>
      </c>
      <c r="I3743" s="522">
        <v>0</v>
      </c>
      <c r="J3743" s="522">
        <v>0</v>
      </c>
      <c r="K3743" s="522">
        <v>0</v>
      </c>
      <c r="L3743" s="522">
        <v>0</v>
      </c>
      <c r="M3743" s="669" t="s">
        <v>137</v>
      </c>
      <c r="N3743" s="668">
        <v>43047559600000</v>
      </c>
      <c r="O3743" s="501" t="s">
        <v>4444</v>
      </c>
      <c r="P3743" s="501" t="str">
        <f t="shared" si="1"/>
        <v>1732112South-Left2</v>
      </c>
      <c r="Q3743" s="501" t="s">
        <v>4445</v>
      </c>
      <c r="R3743" s="564">
        <v>2</v>
      </c>
    </row>
    <row r="3744" spans="1:18" x14ac:dyDescent="0.25">
      <c r="A3744" s="501">
        <v>17</v>
      </c>
      <c r="B3744" s="501">
        <v>3</v>
      </c>
      <c r="C3744" s="501">
        <v>2</v>
      </c>
      <c r="D3744" s="501">
        <v>1</v>
      </c>
      <c r="E3744" s="501">
        <v>1</v>
      </c>
      <c r="F3744" s="501">
        <v>2</v>
      </c>
      <c r="G3744" s="523" t="s">
        <v>489</v>
      </c>
      <c r="H3744" s="501">
        <v>2637.66</v>
      </c>
      <c r="I3744" s="501">
        <v>88</v>
      </c>
      <c r="J3744" s="501">
        <v>58</v>
      </c>
      <c r="K3744" s="501">
        <v>55</v>
      </c>
      <c r="L3744" s="501">
        <v>3</v>
      </c>
      <c r="M3744" s="669" t="s">
        <v>137</v>
      </c>
      <c r="N3744" s="668">
        <v>43047559600000</v>
      </c>
      <c r="O3744" s="501" t="s">
        <v>4444</v>
      </c>
      <c r="P3744" s="501" t="str">
        <f t="shared" si="1"/>
        <v>1732112South-Left1</v>
      </c>
      <c r="Q3744" s="501" t="s">
        <v>4445</v>
      </c>
      <c r="R3744" s="564">
        <v>2</v>
      </c>
    </row>
    <row r="3745" spans="1:18" x14ac:dyDescent="0.25">
      <c r="A3745" s="501">
        <v>17</v>
      </c>
      <c r="B3745" s="501">
        <v>3</v>
      </c>
      <c r="C3745" s="501">
        <v>2</v>
      </c>
      <c r="D3745" s="501">
        <v>1</v>
      </c>
      <c r="E3745" s="501">
        <v>1</v>
      </c>
      <c r="F3745" s="501">
        <v>2</v>
      </c>
      <c r="G3745" s="522" t="s">
        <v>491</v>
      </c>
      <c r="H3745" s="501">
        <v>2635.74</v>
      </c>
      <c r="I3745" s="501">
        <v>89</v>
      </c>
      <c r="J3745" s="501">
        <v>52</v>
      </c>
      <c r="K3745" s="501">
        <v>41</v>
      </c>
      <c r="L3745" s="501">
        <v>3</v>
      </c>
      <c r="M3745" s="669" t="s">
        <v>137</v>
      </c>
      <c r="N3745" s="668">
        <v>43047559600000</v>
      </c>
      <c r="O3745" s="501" t="s">
        <v>4444</v>
      </c>
      <c r="P3745" s="501" t="str">
        <f t="shared" si="1"/>
        <v>1732112South-Right1</v>
      </c>
      <c r="Q3745" s="501" t="s">
        <v>4445</v>
      </c>
      <c r="R3745" s="564">
        <v>2</v>
      </c>
    </row>
    <row r="3746" spans="1:18" x14ac:dyDescent="0.25">
      <c r="A3746" s="501">
        <v>17</v>
      </c>
      <c r="B3746" s="501">
        <v>3</v>
      </c>
      <c r="C3746" s="501">
        <v>2</v>
      </c>
      <c r="D3746" s="501">
        <v>1</v>
      </c>
      <c r="E3746" s="501">
        <v>1</v>
      </c>
      <c r="F3746" s="501">
        <v>2</v>
      </c>
      <c r="G3746" s="522" t="s">
        <v>494</v>
      </c>
      <c r="H3746" s="522">
        <v>0</v>
      </c>
      <c r="I3746" s="522">
        <v>0</v>
      </c>
      <c r="J3746" s="522">
        <v>0</v>
      </c>
      <c r="K3746" s="522">
        <v>0</v>
      </c>
      <c r="L3746" s="522">
        <v>0</v>
      </c>
      <c r="M3746" s="669" t="s">
        <v>137</v>
      </c>
      <c r="N3746" s="668">
        <v>43047559600000</v>
      </c>
      <c r="O3746" s="501" t="s">
        <v>4444</v>
      </c>
      <c r="P3746" s="501" t="str">
        <f t="shared" si="1"/>
        <v>1732112South-Right2</v>
      </c>
      <c r="Q3746" s="501" t="s">
        <v>4445</v>
      </c>
      <c r="R3746" s="564">
        <v>2</v>
      </c>
    </row>
    <row r="3747" spans="1:18" x14ac:dyDescent="0.25">
      <c r="A3747" s="501">
        <v>15</v>
      </c>
      <c r="B3747" s="501">
        <v>2</v>
      </c>
      <c r="C3747" s="501">
        <v>2</v>
      </c>
      <c r="D3747" s="501">
        <v>3</v>
      </c>
      <c r="E3747" s="501">
        <v>2</v>
      </c>
      <c r="F3747" s="501">
        <v>1</v>
      </c>
      <c r="G3747" s="564" t="s">
        <v>473</v>
      </c>
      <c r="H3747" s="501">
        <v>0</v>
      </c>
      <c r="I3747" s="501">
        <v>0</v>
      </c>
      <c r="J3747" s="501">
        <v>0</v>
      </c>
      <c r="K3747" s="501">
        <v>0</v>
      </c>
      <c r="L3747" s="501">
        <v>0</v>
      </c>
      <c r="M3747" s="667" t="s">
        <v>137</v>
      </c>
      <c r="N3747" s="668">
        <v>43013538920000</v>
      </c>
      <c r="O3747" s="501" t="s">
        <v>4446</v>
      </c>
      <c r="P3747" s="501" t="s">
        <v>4447</v>
      </c>
      <c r="Q3747" s="501" t="s">
        <v>4448</v>
      </c>
      <c r="R3747" s="564">
        <v>1</v>
      </c>
    </row>
    <row r="3748" spans="1:18" x14ac:dyDescent="0.25">
      <c r="A3748" s="501">
        <v>15</v>
      </c>
      <c r="B3748" s="501">
        <v>2</v>
      </c>
      <c r="C3748" s="501">
        <v>2</v>
      </c>
      <c r="D3748" s="501">
        <v>3</v>
      </c>
      <c r="E3748" s="501">
        <v>2</v>
      </c>
      <c r="F3748" s="501">
        <v>1</v>
      </c>
      <c r="G3748" s="521" t="s">
        <v>476</v>
      </c>
      <c r="H3748" s="501">
        <v>2632.08</v>
      </c>
      <c r="I3748" s="501">
        <v>0</v>
      </c>
      <c r="J3748" s="501">
        <v>26</v>
      </c>
      <c r="K3748" s="501">
        <v>33</v>
      </c>
      <c r="L3748" s="501">
        <v>4</v>
      </c>
      <c r="M3748" s="667" t="s">
        <v>137</v>
      </c>
      <c r="N3748" s="668">
        <v>43013538920000</v>
      </c>
      <c r="O3748" s="501" t="s">
        <v>4446</v>
      </c>
      <c r="P3748" s="501" t="s">
        <v>4449</v>
      </c>
      <c r="Q3748" s="501" t="s">
        <v>4448</v>
      </c>
      <c r="R3748" s="564">
        <v>1</v>
      </c>
    </row>
    <row r="3749" spans="1:18" x14ac:dyDescent="0.25">
      <c r="A3749" s="501">
        <v>15</v>
      </c>
      <c r="B3749" s="501">
        <v>2</v>
      </c>
      <c r="C3749" s="501">
        <v>2</v>
      </c>
      <c r="D3749" s="501">
        <v>3</v>
      </c>
      <c r="E3749" s="501">
        <v>2</v>
      </c>
      <c r="F3749" s="501">
        <v>1</v>
      </c>
      <c r="G3749" s="564" t="s">
        <v>478</v>
      </c>
      <c r="H3749" s="501">
        <v>2627.17</v>
      </c>
      <c r="I3749" s="501">
        <v>0</v>
      </c>
      <c r="J3749" s="501">
        <v>26</v>
      </c>
      <c r="K3749" s="501">
        <v>40</v>
      </c>
      <c r="L3749" s="501">
        <v>4</v>
      </c>
      <c r="M3749" s="667" t="s">
        <v>137</v>
      </c>
      <c r="N3749" s="668">
        <v>43013538920000</v>
      </c>
      <c r="O3749" s="501" t="s">
        <v>4446</v>
      </c>
      <c r="P3749" s="501" t="s">
        <v>4450</v>
      </c>
      <c r="Q3749" s="501" t="s">
        <v>4448</v>
      </c>
      <c r="R3749" s="564">
        <v>1</v>
      </c>
    </row>
    <row r="3750" spans="1:18" x14ac:dyDescent="0.25">
      <c r="A3750" s="501">
        <v>15</v>
      </c>
      <c r="B3750" s="501">
        <v>2</v>
      </c>
      <c r="C3750" s="501">
        <v>2</v>
      </c>
      <c r="D3750" s="501">
        <v>3</v>
      </c>
      <c r="E3750" s="501">
        <v>2</v>
      </c>
      <c r="F3750" s="501">
        <v>1</v>
      </c>
      <c r="G3750" s="564" t="s">
        <v>484</v>
      </c>
      <c r="H3750" s="501">
        <v>0</v>
      </c>
      <c r="I3750" s="501">
        <v>0</v>
      </c>
      <c r="J3750" s="501">
        <v>0</v>
      </c>
      <c r="K3750" s="501">
        <v>0</v>
      </c>
      <c r="L3750" s="501">
        <v>0</v>
      </c>
      <c r="M3750" s="667" t="s">
        <v>137</v>
      </c>
      <c r="N3750" s="668">
        <v>43013538920000</v>
      </c>
      <c r="O3750" s="501" t="s">
        <v>4446</v>
      </c>
      <c r="P3750" s="501" t="s">
        <v>4451</v>
      </c>
      <c r="Q3750" s="501" t="s">
        <v>4448</v>
      </c>
      <c r="R3750" s="564">
        <v>1</v>
      </c>
    </row>
    <row r="3751" spans="1:18" x14ac:dyDescent="0.25">
      <c r="A3751" s="501">
        <v>15</v>
      </c>
      <c r="B3751" s="501">
        <v>2</v>
      </c>
      <c r="C3751" s="501">
        <v>2</v>
      </c>
      <c r="D3751" s="501">
        <v>3</v>
      </c>
      <c r="E3751" s="501">
        <v>2</v>
      </c>
      <c r="F3751" s="501">
        <v>1</v>
      </c>
      <c r="G3751" s="564" t="s">
        <v>486</v>
      </c>
      <c r="H3751" s="501">
        <v>0</v>
      </c>
      <c r="I3751" s="501">
        <v>0</v>
      </c>
      <c r="J3751" s="501">
        <v>0</v>
      </c>
      <c r="K3751" s="501">
        <v>0</v>
      </c>
      <c r="L3751" s="501">
        <v>0</v>
      </c>
      <c r="M3751" s="667" t="s">
        <v>137</v>
      </c>
      <c r="N3751" s="668">
        <v>43013538920000</v>
      </c>
      <c r="O3751" s="501" t="s">
        <v>4446</v>
      </c>
      <c r="P3751" s="501" t="s">
        <v>4452</v>
      </c>
      <c r="Q3751" s="501" t="s">
        <v>4448</v>
      </c>
      <c r="R3751" s="564">
        <v>1</v>
      </c>
    </row>
    <row r="3752" spans="1:18" x14ac:dyDescent="0.25">
      <c r="A3752" s="501">
        <v>15</v>
      </c>
      <c r="B3752" s="501">
        <v>2</v>
      </c>
      <c r="C3752" s="501">
        <v>2</v>
      </c>
      <c r="D3752" s="501">
        <v>3</v>
      </c>
      <c r="E3752" s="501">
        <v>2</v>
      </c>
      <c r="F3752" s="501">
        <v>1</v>
      </c>
      <c r="G3752" s="521" t="s">
        <v>488</v>
      </c>
      <c r="H3752" s="501">
        <v>5267.8</v>
      </c>
      <c r="I3752" s="501">
        <v>0</v>
      </c>
      <c r="J3752" s="501">
        <v>13</v>
      </c>
      <c r="K3752" s="501">
        <v>58</v>
      </c>
      <c r="L3752" s="501">
        <v>2</v>
      </c>
      <c r="M3752" s="667" t="s">
        <v>137</v>
      </c>
      <c r="N3752" s="668">
        <v>43013538920000</v>
      </c>
      <c r="O3752" s="501" t="s">
        <v>4446</v>
      </c>
      <c r="P3752" s="501" t="s">
        <v>4453</v>
      </c>
      <c r="Q3752" s="501" t="s">
        <v>4448</v>
      </c>
      <c r="R3752" s="564">
        <v>1</v>
      </c>
    </row>
    <row r="3753" spans="1:18" x14ac:dyDescent="0.25">
      <c r="A3753" s="501">
        <v>15</v>
      </c>
      <c r="B3753" s="501">
        <v>2</v>
      </c>
      <c r="C3753" s="501">
        <v>2</v>
      </c>
      <c r="D3753" s="501">
        <v>3</v>
      </c>
      <c r="E3753" s="501">
        <v>2</v>
      </c>
      <c r="F3753" s="501">
        <v>1</v>
      </c>
      <c r="G3753" s="564" t="s">
        <v>490</v>
      </c>
      <c r="H3753" s="501">
        <v>0</v>
      </c>
      <c r="I3753" s="501">
        <v>0</v>
      </c>
      <c r="J3753" s="501">
        <v>0</v>
      </c>
      <c r="K3753" s="501">
        <v>0</v>
      </c>
      <c r="L3753" s="501">
        <v>0</v>
      </c>
      <c r="M3753" s="667" t="s">
        <v>137</v>
      </c>
      <c r="N3753" s="668">
        <v>43013538920000</v>
      </c>
      <c r="O3753" s="501" t="s">
        <v>4446</v>
      </c>
      <c r="P3753" s="501" t="s">
        <v>4454</v>
      </c>
      <c r="Q3753" s="501" t="s">
        <v>4448</v>
      </c>
      <c r="R3753" s="564">
        <v>1</v>
      </c>
    </row>
    <row r="3754" spans="1:18" x14ac:dyDescent="0.25">
      <c r="A3754" s="501">
        <v>15</v>
      </c>
      <c r="B3754" s="501">
        <v>2</v>
      </c>
      <c r="C3754" s="501">
        <v>2</v>
      </c>
      <c r="D3754" s="501">
        <v>3</v>
      </c>
      <c r="E3754" s="501">
        <v>2</v>
      </c>
      <c r="F3754" s="501">
        <v>1</v>
      </c>
      <c r="G3754" s="564" t="s">
        <v>493</v>
      </c>
      <c r="H3754" s="501">
        <v>0</v>
      </c>
      <c r="I3754" s="501">
        <v>0</v>
      </c>
      <c r="J3754" s="501">
        <v>0</v>
      </c>
      <c r="K3754" s="501">
        <v>0</v>
      </c>
      <c r="L3754" s="501">
        <v>0</v>
      </c>
      <c r="M3754" s="667" t="s">
        <v>137</v>
      </c>
      <c r="N3754" s="668">
        <v>43013538920000</v>
      </c>
      <c r="O3754" s="501" t="s">
        <v>4446</v>
      </c>
      <c r="P3754" s="501" t="s">
        <v>4455</v>
      </c>
      <c r="Q3754" s="501" t="s">
        <v>4448</v>
      </c>
      <c r="R3754" s="564">
        <v>1</v>
      </c>
    </row>
    <row r="3755" spans="1:18" x14ac:dyDescent="0.25">
      <c r="A3755" s="501">
        <v>15</v>
      </c>
      <c r="B3755" s="501">
        <v>2</v>
      </c>
      <c r="C3755" s="501">
        <v>2</v>
      </c>
      <c r="D3755" s="501">
        <v>3</v>
      </c>
      <c r="E3755" s="501">
        <v>2</v>
      </c>
      <c r="F3755" s="501">
        <v>1</v>
      </c>
      <c r="G3755" s="564" t="s">
        <v>474</v>
      </c>
      <c r="H3755" s="501">
        <v>0</v>
      </c>
      <c r="I3755" s="501">
        <v>0</v>
      </c>
      <c r="J3755" s="501">
        <v>0</v>
      </c>
      <c r="K3755" s="501">
        <v>0</v>
      </c>
      <c r="L3755" s="501">
        <v>0</v>
      </c>
      <c r="M3755" s="667" t="s">
        <v>137</v>
      </c>
      <c r="N3755" s="668">
        <v>43013538920000</v>
      </c>
      <c r="O3755" s="501" t="s">
        <v>4446</v>
      </c>
      <c r="P3755" s="501" t="s">
        <v>4456</v>
      </c>
      <c r="Q3755" s="501" t="s">
        <v>4448</v>
      </c>
      <c r="R3755" s="564">
        <v>1</v>
      </c>
    </row>
    <row r="3756" spans="1:18" x14ac:dyDescent="0.25">
      <c r="A3756" s="501">
        <v>15</v>
      </c>
      <c r="B3756" s="501">
        <v>2</v>
      </c>
      <c r="C3756" s="501">
        <v>2</v>
      </c>
      <c r="D3756" s="501">
        <v>3</v>
      </c>
      <c r="E3756" s="501">
        <v>2</v>
      </c>
      <c r="F3756" s="501">
        <v>1</v>
      </c>
      <c r="G3756" s="521" t="s">
        <v>477</v>
      </c>
      <c r="H3756" s="501">
        <v>5363.91</v>
      </c>
      <c r="I3756" s="501">
        <v>89</v>
      </c>
      <c r="J3756" s="501">
        <v>50</v>
      </c>
      <c r="K3756" s="501">
        <v>13</v>
      </c>
      <c r="L3756" s="501">
        <v>4</v>
      </c>
      <c r="M3756" s="667" t="s">
        <v>137</v>
      </c>
      <c r="N3756" s="668">
        <v>43013538920000</v>
      </c>
      <c r="O3756" s="501" t="s">
        <v>4446</v>
      </c>
      <c r="P3756" s="501" t="s">
        <v>4457</v>
      </c>
      <c r="Q3756" s="501" t="s">
        <v>4448</v>
      </c>
      <c r="R3756" s="564">
        <v>1</v>
      </c>
    </row>
    <row r="3757" spans="1:18" x14ac:dyDescent="0.25">
      <c r="A3757" s="501">
        <v>15</v>
      </c>
      <c r="B3757" s="501">
        <v>2</v>
      </c>
      <c r="C3757" s="501">
        <v>2</v>
      </c>
      <c r="D3757" s="501">
        <v>3</v>
      </c>
      <c r="E3757" s="501">
        <v>2</v>
      </c>
      <c r="F3757" s="501">
        <v>1</v>
      </c>
      <c r="G3757" s="564" t="s">
        <v>479</v>
      </c>
      <c r="H3757" s="501">
        <v>0</v>
      </c>
      <c r="I3757" s="501">
        <v>0</v>
      </c>
      <c r="J3757" s="501">
        <v>0</v>
      </c>
      <c r="K3757" s="501">
        <v>0</v>
      </c>
      <c r="L3757" s="501">
        <v>0</v>
      </c>
      <c r="M3757" s="667" t="s">
        <v>137</v>
      </c>
      <c r="N3757" s="668">
        <v>43013538920000</v>
      </c>
      <c r="O3757" s="501" t="s">
        <v>4446</v>
      </c>
      <c r="P3757" s="501" t="s">
        <v>4458</v>
      </c>
      <c r="Q3757" s="501" t="s">
        <v>4448</v>
      </c>
      <c r="R3757" s="564">
        <v>1</v>
      </c>
    </row>
    <row r="3758" spans="1:18" x14ac:dyDescent="0.25">
      <c r="A3758" s="501">
        <v>15</v>
      </c>
      <c r="B3758" s="501">
        <v>2</v>
      </c>
      <c r="C3758" s="501">
        <v>2</v>
      </c>
      <c r="D3758" s="501">
        <v>3</v>
      </c>
      <c r="E3758" s="501">
        <v>2</v>
      </c>
      <c r="F3758" s="501">
        <v>1</v>
      </c>
      <c r="G3758" s="564" t="s">
        <v>485</v>
      </c>
      <c r="H3758" s="501">
        <v>0</v>
      </c>
      <c r="I3758" s="501">
        <v>0</v>
      </c>
      <c r="J3758" s="501">
        <v>0</v>
      </c>
      <c r="K3758" s="501">
        <v>0</v>
      </c>
      <c r="L3758" s="501">
        <v>0</v>
      </c>
      <c r="M3758" s="667" t="s">
        <v>137</v>
      </c>
      <c r="N3758" s="668">
        <v>43013538920000</v>
      </c>
      <c r="O3758" s="501" t="s">
        <v>4446</v>
      </c>
      <c r="P3758" s="501" t="s">
        <v>4459</v>
      </c>
      <c r="Q3758" s="501" t="s">
        <v>4448</v>
      </c>
      <c r="R3758" s="564">
        <v>1</v>
      </c>
    </row>
    <row r="3759" spans="1:18" x14ac:dyDescent="0.25">
      <c r="A3759" s="501">
        <v>15</v>
      </c>
      <c r="B3759" s="501">
        <v>2</v>
      </c>
      <c r="C3759" s="501">
        <v>2</v>
      </c>
      <c r="D3759" s="501">
        <v>3</v>
      </c>
      <c r="E3759" s="501">
        <v>2</v>
      </c>
      <c r="F3759" s="501">
        <v>1</v>
      </c>
      <c r="G3759" s="564" t="s">
        <v>487</v>
      </c>
      <c r="H3759" s="501">
        <v>0</v>
      </c>
      <c r="I3759" s="501">
        <v>0</v>
      </c>
      <c r="J3759" s="501">
        <v>0</v>
      </c>
      <c r="K3759" s="501">
        <v>0</v>
      </c>
      <c r="L3759" s="501">
        <v>0</v>
      </c>
      <c r="M3759" s="667" t="s">
        <v>137</v>
      </c>
      <c r="N3759" s="668">
        <v>43013538920000</v>
      </c>
      <c r="O3759" s="501" t="s">
        <v>4446</v>
      </c>
      <c r="P3759" s="501" t="s">
        <v>4460</v>
      </c>
      <c r="Q3759" s="501" t="s">
        <v>4448</v>
      </c>
      <c r="R3759" s="564">
        <v>1</v>
      </c>
    </row>
    <row r="3760" spans="1:18" x14ac:dyDescent="0.25">
      <c r="A3760" s="501">
        <v>15</v>
      </c>
      <c r="B3760" s="501">
        <v>2</v>
      </c>
      <c r="C3760" s="501">
        <v>2</v>
      </c>
      <c r="D3760" s="501">
        <v>3</v>
      </c>
      <c r="E3760" s="501">
        <v>2</v>
      </c>
      <c r="F3760" s="501">
        <v>1</v>
      </c>
      <c r="G3760" s="521" t="s">
        <v>489</v>
      </c>
      <c r="H3760" s="501">
        <v>5301.84</v>
      </c>
      <c r="I3760" s="501">
        <v>89</v>
      </c>
      <c r="J3760" s="501">
        <v>44</v>
      </c>
      <c r="K3760" s="501">
        <v>26</v>
      </c>
      <c r="L3760" s="501">
        <v>4</v>
      </c>
      <c r="M3760" s="667" t="s">
        <v>137</v>
      </c>
      <c r="N3760" s="668">
        <v>43013538920000</v>
      </c>
      <c r="O3760" s="501" t="s">
        <v>4446</v>
      </c>
      <c r="P3760" s="501" t="s">
        <v>4461</v>
      </c>
      <c r="Q3760" s="501" t="s">
        <v>4448</v>
      </c>
      <c r="R3760" s="564">
        <v>1</v>
      </c>
    </row>
    <row r="3761" spans="1:18" x14ac:dyDescent="0.25">
      <c r="A3761" s="501">
        <v>15</v>
      </c>
      <c r="B3761" s="501">
        <v>2</v>
      </c>
      <c r="C3761" s="501">
        <v>2</v>
      </c>
      <c r="D3761" s="501">
        <v>3</v>
      </c>
      <c r="E3761" s="501">
        <v>2</v>
      </c>
      <c r="F3761" s="501">
        <v>1</v>
      </c>
      <c r="G3761" s="564" t="s">
        <v>491</v>
      </c>
      <c r="H3761" s="501">
        <v>0</v>
      </c>
      <c r="I3761" s="501">
        <v>0</v>
      </c>
      <c r="J3761" s="501">
        <v>0</v>
      </c>
      <c r="K3761" s="501">
        <v>0</v>
      </c>
      <c r="L3761" s="501">
        <v>0</v>
      </c>
      <c r="M3761" s="667" t="s">
        <v>137</v>
      </c>
      <c r="N3761" s="668">
        <v>43013538920000</v>
      </c>
      <c r="O3761" s="501" t="s">
        <v>4446</v>
      </c>
      <c r="P3761" s="501" t="s">
        <v>4462</v>
      </c>
      <c r="Q3761" s="501" t="s">
        <v>4448</v>
      </c>
      <c r="R3761" s="564">
        <v>1</v>
      </c>
    </row>
    <row r="3762" spans="1:18" x14ac:dyDescent="0.25">
      <c r="A3762" s="501">
        <v>15</v>
      </c>
      <c r="B3762" s="501">
        <v>2</v>
      </c>
      <c r="C3762" s="501">
        <v>2</v>
      </c>
      <c r="D3762" s="501">
        <v>3</v>
      </c>
      <c r="E3762" s="501">
        <v>2</v>
      </c>
      <c r="F3762" s="501">
        <v>1</v>
      </c>
      <c r="G3762" s="564" t="s">
        <v>494</v>
      </c>
      <c r="H3762" s="501">
        <v>0</v>
      </c>
      <c r="I3762" s="501">
        <v>0</v>
      </c>
      <c r="J3762" s="501">
        <v>0</v>
      </c>
      <c r="K3762" s="501">
        <v>0</v>
      </c>
      <c r="L3762" s="501">
        <v>0</v>
      </c>
      <c r="M3762" s="667" t="s">
        <v>137</v>
      </c>
      <c r="N3762" s="668">
        <v>43013538920000</v>
      </c>
      <c r="O3762" s="501" t="s">
        <v>4446</v>
      </c>
      <c r="P3762" s="501" t="s">
        <v>4463</v>
      </c>
      <c r="Q3762" s="501" t="s">
        <v>4448</v>
      </c>
      <c r="R3762" s="564">
        <v>1</v>
      </c>
    </row>
    <row r="3763" spans="1:18" x14ac:dyDescent="0.25">
      <c r="A3763" s="501">
        <v>14</v>
      </c>
      <c r="B3763" s="501">
        <v>2</v>
      </c>
      <c r="C3763" s="501">
        <v>2</v>
      </c>
      <c r="D3763" s="501">
        <v>3</v>
      </c>
      <c r="E3763" s="501">
        <v>2</v>
      </c>
      <c r="F3763" s="501">
        <v>1</v>
      </c>
      <c r="G3763" s="553" t="s">
        <v>473</v>
      </c>
      <c r="H3763" s="501">
        <v>0</v>
      </c>
      <c r="I3763" s="501">
        <v>0</v>
      </c>
      <c r="J3763" s="501">
        <v>0</v>
      </c>
      <c r="K3763" s="501">
        <v>0</v>
      </c>
      <c r="L3763" s="501">
        <v>0</v>
      </c>
      <c r="M3763" s="667" t="s">
        <v>137</v>
      </c>
      <c r="N3763" s="668">
        <v>43013538920000</v>
      </c>
      <c r="O3763" s="501" t="s">
        <v>4446</v>
      </c>
      <c r="P3763" s="501" t="s">
        <v>4464</v>
      </c>
      <c r="Q3763" s="501" t="s">
        <v>4448</v>
      </c>
      <c r="R3763" s="564">
        <v>2</v>
      </c>
    </row>
    <row r="3764" spans="1:18" x14ac:dyDescent="0.25">
      <c r="A3764" s="501">
        <v>14</v>
      </c>
      <c r="B3764" s="501">
        <v>2</v>
      </c>
      <c r="C3764" s="501">
        <v>2</v>
      </c>
      <c r="D3764" s="501">
        <v>3</v>
      </c>
      <c r="E3764" s="501">
        <v>2</v>
      </c>
      <c r="F3764" s="501">
        <v>1</v>
      </c>
      <c r="G3764" s="502" t="s">
        <v>476</v>
      </c>
      <c r="H3764" s="501">
        <v>5267.8</v>
      </c>
      <c r="I3764" s="501">
        <v>0</v>
      </c>
      <c r="J3764" s="501">
        <v>13</v>
      </c>
      <c r="K3764" s="501">
        <v>58</v>
      </c>
      <c r="L3764" s="501">
        <v>2</v>
      </c>
      <c r="M3764" s="667" t="s">
        <v>137</v>
      </c>
      <c r="N3764" s="668">
        <v>43013538920000</v>
      </c>
      <c r="O3764" s="501" t="s">
        <v>4446</v>
      </c>
      <c r="P3764" s="501" t="s">
        <v>4465</v>
      </c>
      <c r="Q3764" s="501" t="s">
        <v>4448</v>
      </c>
      <c r="R3764" s="564">
        <v>2</v>
      </c>
    </row>
    <row r="3765" spans="1:18" x14ac:dyDescent="0.25">
      <c r="A3765" s="501">
        <v>14</v>
      </c>
      <c r="B3765" s="501">
        <v>2</v>
      </c>
      <c r="C3765" s="501">
        <v>2</v>
      </c>
      <c r="D3765" s="501">
        <v>3</v>
      </c>
      <c r="E3765" s="501">
        <v>2</v>
      </c>
      <c r="F3765" s="501">
        <v>1</v>
      </c>
      <c r="G3765" s="553" t="s">
        <v>478</v>
      </c>
      <c r="H3765" s="501">
        <v>0</v>
      </c>
      <c r="I3765" s="501">
        <v>0</v>
      </c>
      <c r="J3765" s="501">
        <v>0</v>
      </c>
      <c r="K3765" s="501">
        <v>0</v>
      </c>
      <c r="L3765" s="501">
        <v>0</v>
      </c>
      <c r="M3765" s="667" t="s">
        <v>137</v>
      </c>
      <c r="N3765" s="668">
        <v>43013538920000</v>
      </c>
      <c r="O3765" s="501" t="s">
        <v>4446</v>
      </c>
      <c r="P3765" s="501" t="s">
        <v>4466</v>
      </c>
      <c r="Q3765" s="501" t="s">
        <v>4448</v>
      </c>
      <c r="R3765" s="564">
        <v>2</v>
      </c>
    </row>
    <row r="3766" spans="1:18" x14ac:dyDescent="0.25">
      <c r="A3766" s="501">
        <v>14</v>
      </c>
      <c r="B3766" s="501">
        <v>2</v>
      </c>
      <c r="C3766" s="501">
        <v>2</v>
      </c>
      <c r="D3766" s="501">
        <v>3</v>
      </c>
      <c r="E3766" s="501">
        <v>2</v>
      </c>
      <c r="F3766" s="501">
        <v>1</v>
      </c>
      <c r="G3766" s="553" t="s">
        <v>484</v>
      </c>
      <c r="H3766" s="501">
        <v>0</v>
      </c>
      <c r="I3766" s="501">
        <v>0</v>
      </c>
      <c r="J3766" s="501">
        <v>0</v>
      </c>
      <c r="K3766" s="501">
        <v>0</v>
      </c>
      <c r="L3766" s="501">
        <v>0</v>
      </c>
      <c r="M3766" s="667" t="s">
        <v>137</v>
      </c>
      <c r="N3766" s="668">
        <v>43013538920000</v>
      </c>
      <c r="O3766" s="501" t="s">
        <v>4446</v>
      </c>
      <c r="P3766" s="501" t="s">
        <v>4467</v>
      </c>
      <c r="Q3766" s="501" t="s">
        <v>4448</v>
      </c>
      <c r="R3766" s="564">
        <v>2</v>
      </c>
    </row>
    <row r="3767" spans="1:18" x14ac:dyDescent="0.25">
      <c r="A3767" s="501">
        <v>14</v>
      </c>
      <c r="B3767" s="501">
        <v>2</v>
      </c>
      <c r="C3767" s="501">
        <v>2</v>
      </c>
      <c r="D3767" s="501">
        <v>3</v>
      </c>
      <c r="E3767" s="501">
        <v>2</v>
      </c>
      <c r="F3767" s="501">
        <v>1</v>
      </c>
      <c r="G3767" s="553" t="s">
        <v>486</v>
      </c>
      <c r="H3767" s="501">
        <v>1313.67</v>
      </c>
      <c r="I3767" s="501">
        <v>0</v>
      </c>
      <c r="J3767" s="501">
        <v>12</v>
      </c>
      <c r="K3767" s="501">
        <v>44</v>
      </c>
      <c r="L3767" s="501">
        <v>2</v>
      </c>
      <c r="M3767" s="667" t="s">
        <v>137</v>
      </c>
      <c r="N3767" s="668">
        <v>43013538920000</v>
      </c>
      <c r="O3767" s="501" t="s">
        <v>4446</v>
      </c>
      <c r="P3767" s="501" t="s">
        <v>4468</v>
      </c>
      <c r="Q3767" s="501" t="s">
        <v>4448</v>
      </c>
      <c r="R3767" s="564">
        <v>2</v>
      </c>
    </row>
    <row r="3768" spans="1:18" x14ac:dyDescent="0.25">
      <c r="A3768" s="501">
        <v>14</v>
      </c>
      <c r="B3768" s="501">
        <v>2</v>
      </c>
      <c r="C3768" s="501">
        <v>2</v>
      </c>
      <c r="D3768" s="501">
        <v>3</v>
      </c>
      <c r="E3768" s="501">
        <v>2</v>
      </c>
      <c r="F3768" s="501">
        <v>1</v>
      </c>
      <c r="G3768" s="502" t="s">
        <v>488</v>
      </c>
      <c r="H3768" s="501">
        <v>1313.53</v>
      </c>
      <c r="I3768" s="501">
        <v>0</v>
      </c>
      <c r="J3768" s="501">
        <v>12</v>
      </c>
      <c r="K3768" s="501">
        <v>18</v>
      </c>
      <c r="L3768" s="501">
        <v>2</v>
      </c>
      <c r="M3768" s="667" t="s">
        <v>137</v>
      </c>
      <c r="N3768" s="668">
        <v>43013538920000</v>
      </c>
      <c r="O3768" s="501" t="s">
        <v>4446</v>
      </c>
      <c r="P3768" s="501" t="s">
        <v>4469</v>
      </c>
      <c r="Q3768" s="501" t="s">
        <v>4448</v>
      </c>
      <c r="R3768" s="564">
        <v>2</v>
      </c>
    </row>
    <row r="3769" spans="1:18" x14ac:dyDescent="0.25">
      <c r="A3769" s="501">
        <v>14</v>
      </c>
      <c r="B3769" s="501">
        <v>2</v>
      </c>
      <c r="C3769" s="501">
        <v>2</v>
      </c>
      <c r="D3769" s="501">
        <v>3</v>
      </c>
      <c r="E3769" s="501">
        <v>2</v>
      </c>
      <c r="F3769" s="501">
        <v>1</v>
      </c>
      <c r="G3769" s="553" t="s">
        <v>490</v>
      </c>
      <c r="H3769" s="501">
        <v>1313.55</v>
      </c>
      <c r="I3769" s="501">
        <v>0</v>
      </c>
      <c r="J3769" s="501">
        <v>12</v>
      </c>
      <c r="K3769" s="501">
        <v>25</v>
      </c>
      <c r="L3769" s="501">
        <v>2</v>
      </c>
      <c r="M3769" s="667" t="s">
        <v>137</v>
      </c>
      <c r="N3769" s="668">
        <v>43013538920000</v>
      </c>
      <c r="O3769" s="501" t="s">
        <v>4446</v>
      </c>
      <c r="P3769" s="501" t="s">
        <v>4470</v>
      </c>
      <c r="Q3769" s="501" t="s">
        <v>4448</v>
      </c>
      <c r="R3769" s="564">
        <v>2</v>
      </c>
    </row>
    <row r="3770" spans="1:18" x14ac:dyDescent="0.25">
      <c r="A3770" s="501">
        <v>14</v>
      </c>
      <c r="B3770" s="501">
        <v>2</v>
      </c>
      <c r="C3770" s="501">
        <v>2</v>
      </c>
      <c r="D3770" s="501">
        <v>3</v>
      </c>
      <c r="E3770" s="501">
        <v>2</v>
      </c>
      <c r="F3770" s="501">
        <v>1</v>
      </c>
      <c r="G3770" s="553" t="s">
        <v>493</v>
      </c>
      <c r="H3770" s="501">
        <v>1313.69</v>
      </c>
      <c r="I3770" s="501">
        <v>0</v>
      </c>
      <c r="J3770" s="501">
        <v>12</v>
      </c>
      <c r="K3770" s="501">
        <v>40</v>
      </c>
      <c r="L3770" s="501">
        <v>2</v>
      </c>
      <c r="M3770" s="667" t="s">
        <v>137</v>
      </c>
      <c r="N3770" s="668">
        <v>43013538920000</v>
      </c>
      <c r="O3770" s="501" t="s">
        <v>4446</v>
      </c>
      <c r="P3770" s="501" t="s">
        <v>4471</v>
      </c>
      <c r="Q3770" s="501" t="s">
        <v>4448</v>
      </c>
      <c r="R3770" s="564">
        <v>2</v>
      </c>
    </row>
    <row r="3771" spans="1:18" x14ac:dyDescent="0.25">
      <c r="A3771" s="501">
        <v>14</v>
      </c>
      <c r="B3771" s="501">
        <v>2</v>
      </c>
      <c r="C3771" s="501">
        <v>2</v>
      </c>
      <c r="D3771" s="501">
        <v>3</v>
      </c>
      <c r="E3771" s="501">
        <v>2</v>
      </c>
      <c r="F3771" s="501">
        <v>1</v>
      </c>
      <c r="G3771" s="553" t="s">
        <v>474</v>
      </c>
      <c r="H3771" s="501">
        <v>0</v>
      </c>
      <c r="I3771" s="501">
        <v>0</v>
      </c>
      <c r="J3771" s="501">
        <v>0</v>
      </c>
      <c r="K3771" s="501">
        <v>0</v>
      </c>
      <c r="L3771" s="501">
        <v>0</v>
      </c>
      <c r="M3771" s="667" t="s">
        <v>137</v>
      </c>
      <c r="N3771" s="668">
        <v>43013538920000</v>
      </c>
      <c r="O3771" s="501" t="s">
        <v>4446</v>
      </c>
      <c r="P3771" s="501" t="s">
        <v>4472</v>
      </c>
      <c r="Q3771" s="501" t="s">
        <v>4448</v>
      </c>
      <c r="R3771" s="564">
        <v>2</v>
      </c>
    </row>
    <row r="3772" spans="1:18" x14ac:dyDescent="0.25">
      <c r="A3772" s="501">
        <v>14</v>
      </c>
      <c r="B3772" s="501">
        <v>2</v>
      </c>
      <c r="C3772" s="501">
        <v>2</v>
      </c>
      <c r="D3772" s="501">
        <v>3</v>
      </c>
      <c r="E3772" s="501">
        <v>2</v>
      </c>
      <c r="F3772" s="501">
        <v>1</v>
      </c>
      <c r="G3772" s="502" t="s">
        <v>477</v>
      </c>
      <c r="H3772" s="501">
        <v>5284.01</v>
      </c>
      <c r="I3772" s="501">
        <v>89</v>
      </c>
      <c r="J3772" s="501">
        <v>49</v>
      </c>
      <c r="K3772" s="501">
        <v>43</v>
      </c>
      <c r="L3772" s="501">
        <v>3</v>
      </c>
      <c r="M3772" s="667" t="s">
        <v>137</v>
      </c>
      <c r="N3772" s="668">
        <v>43013538920000</v>
      </c>
      <c r="O3772" s="501" t="s">
        <v>4446</v>
      </c>
      <c r="P3772" s="501" t="s">
        <v>4473</v>
      </c>
      <c r="Q3772" s="501" t="s">
        <v>4448</v>
      </c>
      <c r="R3772" s="564">
        <v>2</v>
      </c>
    </row>
    <row r="3773" spans="1:18" x14ac:dyDescent="0.25">
      <c r="A3773" s="501">
        <v>14</v>
      </c>
      <c r="B3773" s="501">
        <v>2</v>
      </c>
      <c r="C3773" s="501">
        <v>2</v>
      </c>
      <c r="D3773" s="501">
        <v>3</v>
      </c>
      <c r="E3773" s="501">
        <v>2</v>
      </c>
      <c r="F3773" s="501">
        <v>1</v>
      </c>
      <c r="G3773" s="553" t="s">
        <v>479</v>
      </c>
      <c r="H3773" s="501">
        <v>0</v>
      </c>
      <c r="I3773" s="501">
        <v>0</v>
      </c>
      <c r="J3773" s="501">
        <v>0</v>
      </c>
      <c r="K3773" s="501">
        <v>0</v>
      </c>
      <c r="L3773" s="501">
        <v>0</v>
      </c>
      <c r="M3773" s="667" t="s">
        <v>137</v>
      </c>
      <c r="N3773" s="668">
        <v>43013538920000</v>
      </c>
      <c r="O3773" s="501" t="s">
        <v>4446</v>
      </c>
      <c r="P3773" s="501" t="s">
        <v>4474</v>
      </c>
      <c r="Q3773" s="501" t="s">
        <v>4448</v>
      </c>
      <c r="R3773" s="564">
        <v>2</v>
      </c>
    </row>
    <row r="3774" spans="1:18" x14ac:dyDescent="0.25">
      <c r="A3774" s="501">
        <v>14</v>
      </c>
      <c r="B3774" s="501">
        <v>2</v>
      </c>
      <c r="C3774" s="501">
        <v>2</v>
      </c>
      <c r="D3774" s="501">
        <v>3</v>
      </c>
      <c r="E3774" s="501">
        <v>2</v>
      </c>
      <c r="F3774" s="501">
        <v>1</v>
      </c>
      <c r="G3774" s="553" t="s">
        <v>485</v>
      </c>
      <c r="H3774" s="501">
        <v>0</v>
      </c>
      <c r="I3774" s="501">
        <v>0</v>
      </c>
      <c r="J3774" s="501">
        <v>0</v>
      </c>
      <c r="K3774" s="501">
        <v>0</v>
      </c>
      <c r="L3774" s="501">
        <v>0</v>
      </c>
      <c r="M3774" s="667" t="s">
        <v>137</v>
      </c>
      <c r="N3774" s="668">
        <v>43013538920000</v>
      </c>
      <c r="O3774" s="501" t="s">
        <v>4446</v>
      </c>
      <c r="P3774" s="501" t="s">
        <v>4475</v>
      </c>
      <c r="Q3774" s="501" t="s">
        <v>4448</v>
      </c>
      <c r="R3774" s="564">
        <v>2</v>
      </c>
    </row>
    <row r="3775" spans="1:18" x14ac:dyDescent="0.25">
      <c r="A3775" s="501">
        <v>14</v>
      </c>
      <c r="B3775" s="501">
        <v>2</v>
      </c>
      <c r="C3775" s="501">
        <v>2</v>
      </c>
      <c r="D3775" s="501">
        <v>3</v>
      </c>
      <c r="E3775" s="501">
        <v>2</v>
      </c>
      <c r="F3775" s="501">
        <v>1</v>
      </c>
      <c r="G3775" s="553" t="s">
        <v>487</v>
      </c>
      <c r="H3775" s="501">
        <v>0</v>
      </c>
      <c r="I3775" s="501">
        <v>0</v>
      </c>
      <c r="J3775" s="501">
        <v>0</v>
      </c>
      <c r="K3775" s="501">
        <v>0</v>
      </c>
      <c r="L3775" s="501">
        <v>0</v>
      </c>
      <c r="M3775" s="667" t="s">
        <v>137</v>
      </c>
      <c r="N3775" s="668">
        <v>43013538920000</v>
      </c>
      <c r="O3775" s="501" t="s">
        <v>4446</v>
      </c>
      <c r="P3775" s="501" t="s">
        <v>4476</v>
      </c>
      <c r="Q3775" s="501" t="s">
        <v>4448</v>
      </c>
      <c r="R3775" s="564">
        <v>2</v>
      </c>
    </row>
    <row r="3776" spans="1:18" x14ac:dyDescent="0.25">
      <c r="A3776" s="501">
        <v>14</v>
      </c>
      <c r="B3776" s="501">
        <v>2</v>
      </c>
      <c r="C3776" s="501">
        <v>2</v>
      </c>
      <c r="D3776" s="501">
        <v>3</v>
      </c>
      <c r="E3776" s="501">
        <v>2</v>
      </c>
      <c r="F3776" s="501">
        <v>1</v>
      </c>
      <c r="G3776" s="502" t="s">
        <v>489</v>
      </c>
      <c r="H3776" s="501">
        <v>2640.79</v>
      </c>
      <c r="I3776" s="501">
        <v>89</v>
      </c>
      <c r="J3776" s="501">
        <v>56</v>
      </c>
      <c r="K3776" s="501">
        <v>28</v>
      </c>
      <c r="L3776" s="501">
        <v>4</v>
      </c>
      <c r="M3776" s="667" t="s">
        <v>137</v>
      </c>
      <c r="N3776" s="668">
        <v>43013538920000</v>
      </c>
      <c r="O3776" s="501" t="s">
        <v>4446</v>
      </c>
      <c r="P3776" s="501" t="s">
        <v>4477</v>
      </c>
      <c r="Q3776" s="501" t="s">
        <v>4448</v>
      </c>
      <c r="R3776" s="564">
        <v>2</v>
      </c>
    </row>
    <row r="3777" spans="1:18" x14ac:dyDescent="0.25">
      <c r="A3777" s="501">
        <v>14</v>
      </c>
      <c r="B3777" s="501">
        <v>2</v>
      </c>
      <c r="C3777" s="501">
        <v>2</v>
      </c>
      <c r="D3777" s="501">
        <v>3</v>
      </c>
      <c r="E3777" s="501">
        <v>2</v>
      </c>
      <c r="F3777" s="501">
        <v>1</v>
      </c>
      <c r="G3777" s="553" t="s">
        <v>491</v>
      </c>
      <c r="H3777" s="501">
        <v>2645.63</v>
      </c>
      <c r="I3777" s="501">
        <v>89</v>
      </c>
      <c r="J3777" s="501">
        <v>18</v>
      </c>
      <c r="K3777" s="501">
        <v>29</v>
      </c>
      <c r="L3777" s="501">
        <v>3</v>
      </c>
      <c r="M3777" s="667" t="s">
        <v>137</v>
      </c>
      <c r="N3777" s="668">
        <v>43013538920000</v>
      </c>
      <c r="O3777" s="501" t="s">
        <v>4446</v>
      </c>
      <c r="P3777" s="501" t="s">
        <v>4478</v>
      </c>
      <c r="Q3777" s="501" t="s">
        <v>4448</v>
      </c>
      <c r="R3777" s="564">
        <v>2</v>
      </c>
    </row>
    <row r="3778" spans="1:18" x14ac:dyDescent="0.25">
      <c r="A3778" s="501">
        <v>14</v>
      </c>
      <c r="B3778" s="501">
        <v>2</v>
      </c>
      <c r="C3778" s="501">
        <v>2</v>
      </c>
      <c r="D3778" s="501">
        <v>3</v>
      </c>
      <c r="E3778" s="501">
        <v>2</v>
      </c>
      <c r="F3778" s="501">
        <v>1</v>
      </c>
      <c r="G3778" s="553" t="s">
        <v>494</v>
      </c>
      <c r="H3778" s="501">
        <v>0</v>
      </c>
      <c r="I3778" s="501">
        <v>0</v>
      </c>
      <c r="J3778" s="501">
        <v>0</v>
      </c>
      <c r="K3778" s="501">
        <v>0</v>
      </c>
      <c r="L3778" s="501">
        <v>0</v>
      </c>
      <c r="M3778" s="667" t="s">
        <v>137</v>
      </c>
      <c r="N3778" s="668">
        <v>43013538920000</v>
      </c>
      <c r="O3778" s="501" t="s">
        <v>4446</v>
      </c>
      <c r="P3778" s="501" t="s">
        <v>4479</v>
      </c>
      <c r="Q3778" s="501" t="s">
        <v>4448</v>
      </c>
      <c r="R3778" s="564">
        <v>2</v>
      </c>
    </row>
    <row r="3779" spans="1:18" x14ac:dyDescent="0.25">
      <c r="A3779" s="501">
        <v>13</v>
      </c>
      <c r="B3779" s="501">
        <v>2</v>
      </c>
      <c r="C3779" s="501">
        <v>2</v>
      </c>
      <c r="D3779" s="501">
        <v>3</v>
      </c>
      <c r="E3779" s="501">
        <v>2</v>
      </c>
      <c r="F3779" s="501">
        <v>1</v>
      </c>
      <c r="G3779" s="564" t="s">
        <v>473</v>
      </c>
      <c r="H3779" s="501">
        <v>1313.67</v>
      </c>
      <c r="I3779" s="501">
        <v>0</v>
      </c>
      <c r="J3779" s="501">
        <v>12</v>
      </c>
      <c r="K3779" s="501">
        <v>44</v>
      </c>
      <c r="L3779" s="501">
        <v>2</v>
      </c>
      <c r="M3779" s="667" t="s">
        <v>137</v>
      </c>
      <c r="N3779" s="668">
        <v>43013538920000</v>
      </c>
      <c r="O3779" s="501" t="s">
        <v>4446</v>
      </c>
      <c r="P3779" s="501" t="s">
        <v>4480</v>
      </c>
      <c r="Q3779" s="501" t="s">
        <v>4448</v>
      </c>
      <c r="R3779" s="564">
        <v>1</v>
      </c>
    </row>
    <row r="3780" spans="1:18" x14ac:dyDescent="0.25">
      <c r="A3780" s="501">
        <v>13</v>
      </c>
      <c r="B3780" s="501">
        <v>2</v>
      </c>
      <c r="C3780" s="501">
        <v>2</v>
      </c>
      <c r="D3780" s="501">
        <v>3</v>
      </c>
      <c r="E3780" s="501">
        <v>2</v>
      </c>
      <c r="F3780" s="501">
        <v>1</v>
      </c>
      <c r="G3780" s="521" t="s">
        <v>476</v>
      </c>
      <c r="H3780" s="501">
        <v>1313.53</v>
      </c>
      <c r="I3780" s="501">
        <v>0</v>
      </c>
      <c r="J3780" s="501">
        <v>12</v>
      </c>
      <c r="K3780" s="501">
        <v>18</v>
      </c>
      <c r="L3780" s="501">
        <v>2</v>
      </c>
      <c r="M3780" s="667" t="s">
        <v>137</v>
      </c>
      <c r="N3780" s="668">
        <v>43013538920000</v>
      </c>
      <c r="O3780" s="501" t="s">
        <v>4446</v>
      </c>
      <c r="P3780" s="501" t="s">
        <v>4481</v>
      </c>
      <c r="Q3780" s="501" t="s">
        <v>4448</v>
      </c>
      <c r="R3780" s="564">
        <v>1</v>
      </c>
    </row>
    <row r="3781" spans="1:18" x14ac:dyDescent="0.25">
      <c r="A3781" s="501">
        <v>13</v>
      </c>
      <c r="B3781" s="501">
        <v>2</v>
      </c>
      <c r="C3781" s="501">
        <v>2</v>
      </c>
      <c r="D3781" s="501">
        <v>3</v>
      </c>
      <c r="E3781" s="501">
        <v>2</v>
      </c>
      <c r="F3781" s="501">
        <v>1</v>
      </c>
      <c r="G3781" s="564" t="s">
        <v>478</v>
      </c>
      <c r="H3781" s="501">
        <v>1313.55</v>
      </c>
      <c r="I3781" s="501">
        <v>0</v>
      </c>
      <c r="J3781" s="501">
        <v>12</v>
      </c>
      <c r="K3781" s="501">
        <v>25</v>
      </c>
      <c r="L3781" s="501">
        <v>2</v>
      </c>
      <c r="M3781" s="667" t="s">
        <v>137</v>
      </c>
      <c r="N3781" s="668">
        <v>43013538920000</v>
      </c>
      <c r="O3781" s="501" t="s">
        <v>4446</v>
      </c>
      <c r="P3781" s="501" t="s">
        <v>4482</v>
      </c>
      <c r="Q3781" s="501" t="s">
        <v>4448</v>
      </c>
      <c r="R3781" s="564">
        <v>1</v>
      </c>
    </row>
    <row r="3782" spans="1:18" x14ac:dyDescent="0.25">
      <c r="A3782" s="501">
        <v>13</v>
      </c>
      <c r="B3782" s="501">
        <v>2</v>
      </c>
      <c r="C3782" s="501">
        <v>2</v>
      </c>
      <c r="D3782" s="501">
        <v>3</v>
      </c>
      <c r="E3782" s="501">
        <v>2</v>
      </c>
      <c r="F3782" s="501">
        <v>1</v>
      </c>
      <c r="G3782" s="564" t="s">
        <v>484</v>
      </c>
      <c r="H3782" s="501">
        <v>1313.69</v>
      </c>
      <c r="I3782" s="501">
        <v>0</v>
      </c>
      <c r="J3782" s="501">
        <v>12</v>
      </c>
      <c r="K3782" s="501">
        <v>40</v>
      </c>
      <c r="L3782" s="501">
        <v>2</v>
      </c>
      <c r="M3782" s="667" t="s">
        <v>137</v>
      </c>
      <c r="N3782" s="668">
        <v>43013538920000</v>
      </c>
      <c r="O3782" s="501" t="s">
        <v>4446</v>
      </c>
      <c r="P3782" s="501" t="s">
        <v>4483</v>
      </c>
      <c r="Q3782" s="501" t="s">
        <v>4448</v>
      </c>
      <c r="R3782" s="564">
        <v>1</v>
      </c>
    </row>
    <row r="3783" spans="1:18" x14ac:dyDescent="0.25">
      <c r="A3783" s="501">
        <v>13</v>
      </c>
      <c r="B3783" s="501">
        <v>2</v>
      </c>
      <c r="C3783" s="501">
        <v>2</v>
      </c>
      <c r="D3783" s="501">
        <v>3</v>
      </c>
      <c r="E3783" s="501">
        <v>2</v>
      </c>
      <c r="F3783" s="501">
        <v>1</v>
      </c>
      <c r="G3783" s="564" t="s">
        <v>486</v>
      </c>
      <c r="H3783" s="501">
        <v>0</v>
      </c>
      <c r="I3783" s="501">
        <v>0</v>
      </c>
      <c r="J3783" s="501">
        <v>0</v>
      </c>
      <c r="K3783" s="501">
        <v>0</v>
      </c>
      <c r="L3783" s="501">
        <v>0</v>
      </c>
      <c r="M3783" s="667" t="s">
        <v>137</v>
      </c>
      <c r="N3783" s="668">
        <v>43013538920000</v>
      </c>
      <c r="O3783" s="501" t="s">
        <v>4446</v>
      </c>
      <c r="P3783" s="501" t="s">
        <v>4484</v>
      </c>
      <c r="Q3783" s="501" t="s">
        <v>4448</v>
      </c>
      <c r="R3783" s="564">
        <v>1</v>
      </c>
    </row>
    <row r="3784" spans="1:18" x14ac:dyDescent="0.25">
      <c r="A3784" s="501">
        <v>13</v>
      </c>
      <c r="B3784" s="501">
        <v>2</v>
      </c>
      <c r="C3784" s="501">
        <v>2</v>
      </c>
      <c r="D3784" s="501">
        <v>3</v>
      </c>
      <c r="E3784" s="501">
        <v>2</v>
      </c>
      <c r="F3784" s="501">
        <v>1</v>
      </c>
      <c r="G3784" s="521" t="s">
        <v>488</v>
      </c>
      <c r="H3784" s="501">
        <v>2629.31</v>
      </c>
      <c r="I3784" s="501">
        <v>0</v>
      </c>
      <c r="J3784" s="501">
        <v>12</v>
      </c>
      <c r="K3784" s="501">
        <v>40</v>
      </c>
      <c r="L3784" s="501">
        <v>2</v>
      </c>
      <c r="M3784" s="667" t="s">
        <v>137</v>
      </c>
      <c r="N3784" s="668">
        <v>43013538920000</v>
      </c>
      <c r="O3784" s="501" t="s">
        <v>4446</v>
      </c>
      <c r="P3784" s="501" t="s">
        <v>4485</v>
      </c>
      <c r="Q3784" s="501" t="s">
        <v>4448</v>
      </c>
      <c r="R3784" s="564">
        <v>1</v>
      </c>
    </row>
    <row r="3785" spans="1:18" x14ac:dyDescent="0.25">
      <c r="A3785" s="501">
        <v>13</v>
      </c>
      <c r="B3785" s="501">
        <v>2</v>
      </c>
      <c r="C3785" s="501">
        <v>2</v>
      </c>
      <c r="D3785" s="501">
        <v>3</v>
      </c>
      <c r="E3785" s="501">
        <v>2</v>
      </c>
      <c r="F3785" s="501">
        <v>1</v>
      </c>
      <c r="G3785" s="564" t="s">
        <v>490</v>
      </c>
      <c r="H3785" s="501">
        <v>2650.6</v>
      </c>
      <c r="I3785" s="501">
        <v>0</v>
      </c>
      <c r="J3785" s="501">
        <v>10</v>
      </c>
      <c r="K3785" s="501">
        <v>22</v>
      </c>
      <c r="L3785" s="501">
        <v>2</v>
      </c>
      <c r="M3785" s="667" t="s">
        <v>137</v>
      </c>
      <c r="N3785" s="668">
        <v>43013538920000</v>
      </c>
      <c r="O3785" s="501" t="s">
        <v>4446</v>
      </c>
      <c r="P3785" s="501" t="s">
        <v>4486</v>
      </c>
      <c r="Q3785" s="501" t="s">
        <v>4448</v>
      </c>
      <c r="R3785" s="564">
        <v>1</v>
      </c>
    </row>
    <row r="3786" spans="1:18" x14ac:dyDescent="0.25">
      <c r="A3786" s="501">
        <v>13</v>
      </c>
      <c r="B3786" s="501">
        <v>2</v>
      </c>
      <c r="C3786" s="501">
        <v>2</v>
      </c>
      <c r="D3786" s="501">
        <v>3</v>
      </c>
      <c r="E3786" s="501">
        <v>2</v>
      </c>
      <c r="F3786" s="501">
        <v>1</v>
      </c>
      <c r="G3786" s="564" t="s">
        <v>493</v>
      </c>
      <c r="H3786" s="501">
        <v>0</v>
      </c>
      <c r="I3786" s="501">
        <v>0</v>
      </c>
      <c r="J3786" s="501">
        <v>0</v>
      </c>
      <c r="K3786" s="501">
        <v>0</v>
      </c>
      <c r="L3786" s="501">
        <v>0</v>
      </c>
      <c r="M3786" s="667" t="s">
        <v>137</v>
      </c>
      <c r="N3786" s="668">
        <v>43013538920000</v>
      </c>
      <c r="O3786" s="501" t="s">
        <v>4446</v>
      </c>
      <c r="P3786" s="501" t="s">
        <v>4487</v>
      </c>
      <c r="Q3786" s="501" t="s">
        <v>4448</v>
      </c>
      <c r="R3786" s="564">
        <v>1</v>
      </c>
    </row>
    <row r="3787" spans="1:18" x14ac:dyDescent="0.25">
      <c r="A3787" s="501">
        <v>13</v>
      </c>
      <c r="B3787" s="501">
        <v>2</v>
      </c>
      <c r="C3787" s="501">
        <v>2</v>
      </c>
      <c r="D3787" s="501">
        <v>3</v>
      </c>
      <c r="E3787" s="501">
        <v>2</v>
      </c>
      <c r="F3787" s="501">
        <v>1</v>
      </c>
      <c r="G3787" s="564" t="s">
        <v>474</v>
      </c>
      <c r="H3787" s="501">
        <v>0</v>
      </c>
      <c r="I3787" s="501">
        <v>0</v>
      </c>
      <c r="J3787" s="501">
        <v>0</v>
      </c>
      <c r="K3787" s="501">
        <v>0</v>
      </c>
      <c r="L3787" s="501">
        <v>0</v>
      </c>
      <c r="M3787" s="667" t="s">
        <v>137</v>
      </c>
      <c r="N3787" s="668">
        <v>43013538920000</v>
      </c>
      <c r="O3787" s="501" t="s">
        <v>4446</v>
      </c>
      <c r="P3787" s="501" t="s">
        <v>4488</v>
      </c>
      <c r="Q3787" s="501" t="s">
        <v>4448</v>
      </c>
      <c r="R3787" s="564">
        <v>1</v>
      </c>
    </row>
    <row r="3788" spans="1:18" x14ac:dyDescent="0.25">
      <c r="A3788" s="501">
        <v>13</v>
      </c>
      <c r="B3788" s="501">
        <v>2</v>
      </c>
      <c r="C3788" s="501">
        <v>2</v>
      </c>
      <c r="D3788" s="501">
        <v>3</v>
      </c>
      <c r="E3788" s="501">
        <v>2</v>
      </c>
      <c r="F3788" s="501">
        <v>1</v>
      </c>
      <c r="G3788" s="521" t="s">
        <v>477</v>
      </c>
      <c r="H3788" s="501">
        <v>2624.36</v>
      </c>
      <c r="I3788" s="501">
        <v>89</v>
      </c>
      <c r="J3788" s="501">
        <v>55</v>
      </c>
      <c r="K3788" s="501">
        <v>31</v>
      </c>
      <c r="L3788" s="501">
        <v>2</v>
      </c>
      <c r="M3788" s="667" t="s">
        <v>137</v>
      </c>
      <c r="N3788" s="668">
        <v>43013538920000</v>
      </c>
      <c r="O3788" s="501" t="s">
        <v>4446</v>
      </c>
      <c r="P3788" s="501" t="s">
        <v>4489</v>
      </c>
      <c r="Q3788" s="501" t="s">
        <v>4448</v>
      </c>
      <c r="R3788" s="564">
        <v>1</v>
      </c>
    </row>
    <row r="3789" spans="1:18" x14ac:dyDescent="0.25">
      <c r="A3789" s="501">
        <v>13</v>
      </c>
      <c r="B3789" s="501">
        <v>2</v>
      </c>
      <c r="C3789" s="501">
        <v>2</v>
      </c>
      <c r="D3789" s="501">
        <v>3</v>
      </c>
      <c r="E3789" s="501">
        <v>2</v>
      </c>
      <c r="F3789" s="501">
        <v>1</v>
      </c>
      <c r="G3789" s="564" t="s">
        <v>479</v>
      </c>
      <c r="H3789" s="501">
        <v>1312.38</v>
      </c>
      <c r="I3789" s="501">
        <v>89</v>
      </c>
      <c r="J3789" s="501">
        <v>55</v>
      </c>
      <c r="K3789" s="501">
        <v>26</v>
      </c>
      <c r="L3789" s="501">
        <v>3</v>
      </c>
      <c r="M3789" s="667" t="s">
        <v>137</v>
      </c>
      <c r="N3789" s="668">
        <v>43013538920000</v>
      </c>
      <c r="O3789" s="501" t="s">
        <v>4446</v>
      </c>
      <c r="P3789" s="501" t="s">
        <v>4490</v>
      </c>
      <c r="Q3789" s="501" t="s">
        <v>4448</v>
      </c>
      <c r="R3789" s="564">
        <v>1</v>
      </c>
    </row>
    <row r="3790" spans="1:18" x14ac:dyDescent="0.25">
      <c r="A3790" s="501">
        <v>13</v>
      </c>
      <c r="B3790" s="501">
        <v>2</v>
      </c>
      <c r="C3790" s="501">
        <v>2</v>
      </c>
      <c r="D3790" s="501">
        <v>3</v>
      </c>
      <c r="E3790" s="501">
        <v>2</v>
      </c>
      <c r="F3790" s="501">
        <v>1</v>
      </c>
      <c r="G3790" s="564" t="s">
        <v>485</v>
      </c>
      <c r="H3790" s="501">
        <v>1312.06</v>
      </c>
      <c r="I3790" s="501">
        <v>89</v>
      </c>
      <c r="J3790" s="501">
        <v>54</v>
      </c>
      <c r="K3790" s="501">
        <v>15</v>
      </c>
      <c r="L3790" s="501">
        <v>3</v>
      </c>
      <c r="M3790" s="667" t="s">
        <v>137</v>
      </c>
      <c r="N3790" s="668">
        <v>43013538920000</v>
      </c>
      <c r="O3790" s="501" t="s">
        <v>4446</v>
      </c>
      <c r="P3790" s="501" t="s">
        <v>4491</v>
      </c>
      <c r="Q3790" s="501" t="s">
        <v>4448</v>
      </c>
      <c r="R3790" s="564">
        <v>1</v>
      </c>
    </row>
    <row r="3791" spans="1:18" x14ac:dyDescent="0.25">
      <c r="A3791" s="501">
        <v>13</v>
      </c>
      <c r="B3791" s="501">
        <v>2</v>
      </c>
      <c r="C3791" s="501">
        <v>2</v>
      </c>
      <c r="D3791" s="501">
        <v>3</v>
      </c>
      <c r="E3791" s="501">
        <v>2</v>
      </c>
      <c r="F3791" s="501">
        <v>1</v>
      </c>
      <c r="G3791" s="564" t="s">
        <v>487</v>
      </c>
      <c r="H3791" s="501">
        <v>1312.46</v>
      </c>
      <c r="I3791" s="501">
        <v>89</v>
      </c>
      <c r="J3791" s="501">
        <v>47</v>
      </c>
      <c r="K3791" s="501">
        <v>39</v>
      </c>
      <c r="L3791" s="501">
        <v>4</v>
      </c>
      <c r="M3791" s="667" t="s">
        <v>137</v>
      </c>
      <c r="N3791" s="668">
        <v>43013538920000</v>
      </c>
      <c r="O3791" s="501" t="s">
        <v>4446</v>
      </c>
      <c r="P3791" s="501" t="s">
        <v>4492</v>
      </c>
      <c r="Q3791" s="501" t="s">
        <v>4448</v>
      </c>
      <c r="R3791" s="564">
        <v>1</v>
      </c>
    </row>
    <row r="3792" spans="1:18" x14ac:dyDescent="0.25">
      <c r="A3792" s="501">
        <v>13</v>
      </c>
      <c r="B3792" s="501">
        <v>2</v>
      </c>
      <c r="C3792" s="501">
        <v>2</v>
      </c>
      <c r="D3792" s="501">
        <v>3</v>
      </c>
      <c r="E3792" s="501">
        <v>2</v>
      </c>
      <c r="F3792" s="501">
        <v>1</v>
      </c>
      <c r="G3792" s="521" t="s">
        <v>489</v>
      </c>
      <c r="H3792" s="501">
        <v>1312.47</v>
      </c>
      <c r="I3792" s="501">
        <v>89</v>
      </c>
      <c r="J3792" s="501">
        <v>47</v>
      </c>
      <c r="K3792" s="501">
        <v>22</v>
      </c>
      <c r="L3792" s="501">
        <v>4</v>
      </c>
      <c r="M3792" s="667" t="s">
        <v>137</v>
      </c>
      <c r="N3792" s="668">
        <v>43013538920000</v>
      </c>
      <c r="O3792" s="501" t="s">
        <v>4446</v>
      </c>
      <c r="P3792" s="501" t="s">
        <v>4493</v>
      </c>
      <c r="Q3792" s="501" t="s">
        <v>4448</v>
      </c>
      <c r="R3792" s="564">
        <v>1</v>
      </c>
    </row>
    <row r="3793" spans="1:18" x14ac:dyDescent="0.25">
      <c r="A3793" s="501">
        <v>13</v>
      </c>
      <c r="B3793" s="501">
        <v>2</v>
      </c>
      <c r="C3793" s="501">
        <v>2</v>
      </c>
      <c r="D3793" s="501">
        <v>3</v>
      </c>
      <c r="E3793" s="501">
        <v>2</v>
      </c>
      <c r="F3793" s="501">
        <v>1</v>
      </c>
      <c r="G3793" s="564" t="s">
        <v>491</v>
      </c>
      <c r="H3793" s="501">
        <v>2625.38</v>
      </c>
      <c r="I3793" s="501">
        <v>89</v>
      </c>
      <c r="J3793" s="501">
        <v>48</v>
      </c>
      <c r="K3793" s="501">
        <v>47</v>
      </c>
      <c r="L3793" s="501">
        <v>4</v>
      </c>
      <c r="M3793" s="667" t="s">
        <v>137</v>
      </c>
      <c r="N3793" s="668">
        <v>43013538920000</v>
      </c>
      <c r="O3793" s="501" t="s">
        <v>4446</v>
      </c>
      <c r="P3793" s="501" t="s">
        <v>4494</v>
      </c>
      <c r="Q3793" s="501" t="s">
        <v>4448</v>
      </c>
      <c r="R3793" s="564">
        <v>1</v>
      </c>
    </row>
    <row r="3794" spans="1:18" x14ac:dyDescent="0.25">
      <c r="A3794" s="501">
        <v>13</v>
      </c>
      <c r="B3794" s="501">
        <v>2</v>
      </c>
      <c r="C3794" s="501">
        <v>2</v>
      </c>
      <c r="D3794" s="501">
        <v>3</v>
      </c>
      <c r="E3794" s="501">
        <v>2</v>
      </c>
      <c r="F3794" s="501">
        <v>1</v>
      </c>
      <c r="G3794" s="564" t="s">
        <v>494</v>
      </c>
      <c r="H3794" s="501">
        <v>0</v>
      </c>
      <c r="I3794" s="501">
        <v>0</v>
      </c>
      <c r="J3794" s="501">
        <v>0</v>
      </c>
      <c r="K3794" s="501">
        <v>0</v>
      </c>
      <c r="L3794" s="501">
        <v>0</v>
      </c>
      <c r="M3794" s="667" t="s">
        <v>137</v>
      </c>
      <c r="N3794" s="668">
        <v>43013538920000</v>
      </c>
      <c r="O3794" s="501" t="s">
        <v>4446</v>
      </c>
      <c r="P3794" s="501" t="s">
        <v>4495</v>
      </c>
      <c r="Q3794" s="501" t="s">
        <v>4448</v>
      </c>
      <c r="R3794" s="564">
        <v>1</v>
      </c>
    </row>
    <row r="3795" spans="1:18" ht="15.75" x14ac:dyDescent="0.25">
      <c r="A3795" s="522">
        <v>4</v>
      </c>
      <c r="B3795" s="522">
        <v>2</v>
      </c>
      <c r="C3795" s="522">
        <v>2</v>
      </c>
      <c r="D3795" s="522">
        <v>1</v>
      </c>
      <c r="E3795" s="522">
        <v>2</v>
      </c>
      <c r="F3795" s="522">
        <v>2</v>
      </c>
      <c r="G3795" s="522" t="s">
        <v>473</v>
      </c>
      <c r="H3795" s="522">
        <v>1319.03</v>
      </c>
      <c r="I3795" s="522">
        <v>88</v>
      </c>
      <c r="J3795" s="522">
        <v>58</v>
      </c>
      <c r="K3795" s="522">
        <v>51</v>
      </c>
      <c r="L3795" s="522">
        <v>3</v>
      </c>
      <c r="M3795" s="658" t="s">
        <v>137</v>
      </c>
      <c r="N3795" s="670">
        <v>43013539699984</v>
      </c>
      <c r="O3795" s="671" t="s">
        <v>4496</v>
      </c>
      <c r="P3795" s="501" t="str">
        <f t="shared" ref="P3795:P3858" si="2">A3795&amp;B3795&amp;C3795&amp;D3795&amp;E3795&amp;F3795&amp;G3795</f>
        <v>422122West-Up2</v>
      </c>
      <c r="Q3795" s="670" t="s">
        <v>4497</v>
      </c>
      <c r="R3795" s="564">
        <v>2</v>
      </c>
    </row>
    <row r="3796" spans="1:18" ht="15.75" x14ac:dyDescent="0.25">
      <c r="A3796" s="522">
        <v>4</v>
      </c>
      <c r="B3796" s="522">
        <v>2</v>
      </c>
      <c r="C3796" s="522">
        <v>2</v>
      </c>
      <c r="D3796" s="522">
        <v>1</v>
      </c>
      <c r="E3796" s="522">
        <v>2</v>
      </c>
      <c r="F3796" s="522">
        <v>2</v>
      </c>
      <c r="G3796" s="523" t="s">
        <v>476</v>
      </c>
      <c r="H3796" s="522">
        <v>1321.03</v>
      </c>
      <c r="I3796" s="522">
        <v>0</v>
      </c>
      <c r="J3796" s="522">
        <v>20</v>
      </c>
      <c r="K3796" s="522">
        <v>20</v>
      </c>
      <c r="L3796" s="501">
        <v>4</v>
      </c>
      <c r="M3796" s="658" t="s">
        <v>137</v>
      </c>
      <c r="N3796" s="670">
        <v>43013539699985</v>
      </c>
      <c r="O3796" s="671" t="s">
        <v>4496</v>
      </c>
      <c r="P3796" s="501" t="str">
        <f t="shared" si="2"/>
        <v>422122West-Up1</v>
      </c>
      <c r="Q3796" s="670" t="s">
        <v>4497</v>
      </c>
      <c r="R3796" s="564">
        <v>2</v>
      </c>
    </row>
    <row r="3797" spans="1:18" ht="15.75" x14ac:dyDescent="0.25">
      <c r="A3797" s="522">
        <v>4</v>
      </c>
      <c r="B3797" s="522">
        <v>2</v>
      </c>
      <c r="C3797" s="522">
        <v>2</v>
      </c>
      <c r="D3797" s="522">
        <v>1</v>
      </c>
      <c r="E3797" s="522">
        <v>2</v>
      </c>
      <c r="F3797" s="522">
        <v>2</v>
      </c>
      <c r="G3797" s="522" t="s">
        <v>478</v>
      </c>
      <c r="H3797" s="522">
        <v>1321.02</v>
      </c>
      <c r="I3797" s="522">
        <v>0</v>
      </c>
      <c r="J3797" s="522">
        <v>20</v>
      </c>
      <c r="K3797" s="522">
        <v>34</v>
      </c>
      <c r="L3797" s="522">
        <v>4</v>
      </c>
      <c r="M3797" s="658" t="s">
        <v>137</v>
      </c>
      <c r="N3797" s="670">
        <v>43013539699986</v>
      </c>
      <c r="O3797" s="671" t="s">
        <v>4496</v>
      </c>
      <c r="P3797" s="501" t="str">
        <f t="shared" si="2"/>
        <v>422122West-Down1</v>
      </c>
      <c r="Q3797" s="670" t="s">
        <v>4497</v>
      </c>
      <c r="R3797" s="564">
        <v>2</v>
      </c>
    </row>
    <row r="3798" spans="1:18" ht="15.75" x14ac:dyDescent="0.25">
      <c r="A3798" s="522">
        <v>4</v>
      </c>
      <c r="B3798" s="522">
        <v>2</v>
      </c>
      <c r="C3798" s="522">
        <v>2</v>
      </c>
      <c r="D3798" s="522">
        <v>1</v>
      </c>
      <c r="E3798" s="522">
        <v>2</v>
      </c>
      <c r="F3798" s="522">
        <v>2</v>
      </c>
      <c r="G3798" s="522" t="s">
        <v>484</v>
      </c>
      <c r="H3798" s="522">
        <v>1226.83</v>
      </c>
      <c r="I3798" s="522">
        <v>0</v>
      </c>
      <c r="J3798" s="522">
        <v>14</v>
      </c>
      <c r="K3798" s="522">
        <v>30</v>
      </c>
      <c r="L3798" s="522">
        <v>4</v>
      </c>
      <c r="M3798" s="658" t="s">
        <v>137</v>
      </c>
      <c r="N3798" s="670">
        <v>43013539699987</v>
      </c>
      <c r="O3798" s="671" t="s">
        <v>4496</v>
      </c>
      <c r="P3798" s="501" t="str">
        <f t="shared" si="2"/>
        <v>422122West-Down2</v>
      </c>
      <c r="Q3798" s="670" t="s">
        <v>4497</v>
      </c>
      <c r="R3798" s="564">
        <v>2</v>
      </c>
    </row>
    <row r="3799" spans="1:18" ht="15.75" x14ac:dyDescent="0.25">
      <c r="A3799" s="522">
        <v>4</v>
      </c>
      <c r="B3799" s="522">
        <v>2</v>
      </c>
      <c r="C3799" s="522">
        <v>2</v>
      </c>
      <c r="D3799" s="522">
        <v>1</v>
      </c>
      <c r="E3799" s="522">
        <v>2</v>
      </c>
      <c r="F3799" s="522">
        <v>2</v>
      </c>
      <c r="G3799" s="522" t="s">
        <v>486</v>
      </c>
      <c r="H3799" s="522">
        <v>0</v>
      </c>
      <c r="I3799" s="522">
        <v>0</v>
      </c>
      <c r="J3799" s="522">
        <v>0</v>
      </c>
      <c r="K3799" s="522">
        <v>0</v>
      </c>
      <c r="L3799" s="522">
        <v>0</v>
      </c>
      <c r="M3799" s="658" t="s">
        <v>137</v>
      </c>
      <c r="N3799" s="670">
        <v>43013539699988</v>
      </c>
      <c r="O3799" s="671" t="s">
        <v>4496</v>
      </c>
      <c r="P3799" s="501" t="str">
        <f t="shared" si="2"/>
        <v>422122East-Up2</v>
      </c>
      <c r="Q3799" s="670" t="s">
        <v>4497</v>
      </c>
      <c r="R3799" s="564">
        <v>2</v>
      </c>
    </row>
    <row r="3800" spans="1:18" ht="15.75" x14ac:dyDescent="0.25">
      <c r="A3800" s="522">
        <v>4</v>
      </c>
      <c r="B3800" s="522">
        <v>2</v>
      </c>
      <c r="C3800" s="522">
        <v>2</v>
      </c>
      <c r="D3800" s="522">
        <v>1</v>
      </c>
      <c r="E3800" s="522">
        <v>2</v>
      </c>
      <c r="F3800" s="522">
        <v>2</v>
      </c>
      <c r="G3800" s="523" t="s">
        <v>488</v>
      </c>
      <c r="H3800" s="501">
        <v>2668.84</v>
      </c>
      <c r="I3800" s="501">
        <v>0</v>
      </c>
      <c r="J3800" s="501">
        <v>9</v>
      </c>
      <c r="K3800" s="501">
        <v>26</v>
      </c>
      <c r="L3800" s="501">
        <v>3</v>
      </c>
      <c r="M3800" s="658" t="s">
        <v>137</v>
      </c>
      <c r="N3800" s="670">
        <v>43013539699989</v>
      </c>
      <c r="O3800" s="671" t="s">
        <v>4496</v>
      </c>
      <c r="P3800" s="501" t="str">
        <f t="shared" si="2"/>
        <v>422122East-Up1</v>
      </c>
      <c r="Q3800" s="670" t="s">
        <v>4497</v>
      </c>
      <c r="R3800" s="564">
        <v>2</v>
      </c>
    </row>
    <row r="3801" spans="1:18" ht="15.75" x14ac:dyDescent="0.25">
      <c r="A3801" s="522">
        <v>4</v>
      </c>
      <c r="B3801" s="522">
        <v>2</v>
      </c>
      <c r="C3801" s="522">
        <v>2</v>
      </c>
      <c r="D3801" s="522">
        <v>1</v>
      </c>
      <c r="E3801" s="522">
        <v>2</v>
      </c>
      <c r="F3801" s="522">
        <v>2</v>
      </c>
      <c r="G3801" s="522" t="s">
        <v>490</v>
      </c>
      <c r="H3801" s="501">
        <v>1322.35</v>
      </c>
      <c r="I3801" s="501">
        <v>0</v>
      </c>
      <c r="J3801" s="501">
        <v>53</v>
      </c>
      <c r="K3801" s="501">
        <v>53</v>
      </c>
      <c r="L3801" s="501">
        <v>4</v>
      </c>
      <c r="M3801" s="658" t="s">
        <v>137</v>
      </c>
      <c r="N3801" s="670">
        <v>43013539699990</v>
      </c>
      <c r="O3801" s="671" t="s">
        <v>4496</v>
      </c>
      <c r="P3801" s="501" t="str">
        <f t="shared" si="2"/>
        <v>422122East-Down1</v>
      </c>
      <c r="Q3801" s="670" t="s">
        <v>4497</v>
      </c>
      <c r="R3801" s="564">
        <v>2</v>
      </c>
    </row>
    <row r="3802" spans="1:18" ht="15.75" x14ac:dyDescent="0.25">
      <c r="A3802" s="522">
        <v>4</v>
      </c>
      <c r="B3802" s="522">
        <v>2</v>
      </c>
      <c r="C3802" s="522">
        <v>2</v>
      </c>
      <c r="D3802" s="522">
        <v>1</v>
      </c>
      <c r="E3802" s="522">
        <v>2</v>
      </c>
      <c r="F3802" s="522">
        <v>2</v>
      </c>
      <c r="G3802" s="522" t="s">
        <v>493</v>
      </c>
      <c r="H3802" s="522">
        <v>1322.05</v>
      </c>
      <c r="I3802" s="522">
        <v>0</v>
      </c>
      <c r="J3802" s="522">
        <v>52</v>
      </c>
      <c r="K3802" s="522">
        <v>48</v>
      </c>
      <c r="L3802" s="522">
        <v>4</v>
      </c>
      <c r="M3802" s="658" t="s">
        <v>137</v>
      </c>
      <c r="N3802" s="670">
        <v>43013539699991</v>
      </c>
      <c r="O3802" s="671" t="s">
        <v>4496</v>
      </c>
      <c r="P3802" s="501" t="str">
        <f t="shared" si="2"/>
        <v>422122East-Down2</v>
      </c>
      <c r="Q3802" s="670" t="s">
        <v>4497</v>
      </c>
      <c r="R3802" s="564">
        <v>2</v>
      </c>
    </row>
    <row r="3803" spans="1:18" ht="15.75" x14ac:dyDescent="0.25">
      <c r="A3803" s="522">
        <v>4</v>
      </c>
      <c r="B3803" s="522">
        <v>2</v>
      </c>
      <c r="C3803" s="522">
        <v>2</v>
      </c>
      <c r="D3803" s="522">
        <v>1</v>
      </c>
      <c r="E3803" s="522">
        <v>2</v>
      </c>
      <c r="F3803" s="522">
        <v>2</v>
      </c>
      <c r="G3803" s="522" t="s">
        <v>474</v>
      </c>
      <c r="H3803" s="522">
        <v>1319.03</v>
      </c>
      <c r="I3803" s="522">
        <v>88</v>
      </c>
      <c r="J3803" s="522">
        <v>58</v>
      </c>
      <c r="K3803" s="522">
        <v>51</v>
      </c>
      <c r="L3803" s="522">
        <v>3</v>
      </c>
      <c r="M3803" s="658" t="s">
        <v>137</v>
      </c>
      <c r="N3803" s="670">
        <v>43013539699992</v>
      </c>
      <c r="O3803" s="671" t="s">
        <v>4496</v>
      </c>
      <c r="P3803" s="501" t="str">
        <f t="shared" si="2"/>
        <v>422122North-Left2</v>
      </c>
      <c r="Q3803" s="670" t="s">
        <v>4497</v>
      </c>
      <c r="R3803" s="564">
        <v>2</v>
      </c>
    </row>
    <row r="3804" spans="1:18" ht="15.75" x14ac:dyDescent="0.25">
      <c r="A3804" s="522">
        <v>4</v>
      </c>
      <c r="B3804" s="522">
        <v>2</v>
      </c>
      <c r="C3804" s="522">
        <v>2</v>
      </c>
      <c r="D3804" s="522">
        <v>1</v>
      </c>
      <c r="E3804" s="522">
        <v>2</v>
      </c>
      <c r="F3804" s="522">
        <v>2</v>
      </c>
      <c r="G3804" s="523" t="s">
        <v>477</v>
      </c>
      <c r="H3804" s="501">
        <v>1317.06</v>
      </c>
      <c r="I3804" s="501">
        <v>89</v>
      </c>
      <c r="J3804" s="501">
        <v>3</v>
      </c>
      <c r="K3804" s="501">
        <v>46</v>
      </c>
      <c r="L3804" s="501">
        <v>3</v>
      </c>
      <c r="M3804" s="658" t="s">
        <v>137</v>
      </c>
      <c r="N3804" s="670">
        <v>43013539699993</v>
      </c>
      <c r="O3804" s="671" t="s">
        <v>4496</v>
      </c>
      <c r="P3804" s="501" t="str">
        <f t="shared" si="2"/>
        <v>422122North-Left1</v>
      </c>
      <c r="Q3804" s="670" t="s">
        <v>4497</v>
      </c>
      <c r="R3804" s="564">
        <v>2</v>
      </c>
    </row>
    <row r="3805" spans="1:18" ht="15.75" x14ac:dyDescent="0.25">
      <c r="A3805" s="522">
        <v>4</v>
      </c>
      <c r="B3805" s="522">
        <v>2</v>
      </c>
      <c r="C3805" s="522">
        <v>2</v>
      </c>
      <c r="D3805" s="522">
        <v>1</v>
      </c>
      <c r="E3805" s="522">
        <v>2</v>
      </c>
      <c r="F3805" s="522">
        <v>2</v>
      </c>
      <c r="G3805" s="522" t="s">
        <v>479</v>
      </c>
      <c r="H3805" s="501">
        <v>1317.06</v>
      </c>
      <c r="I3805" s="501">
        <v>89</v>
      </c>
      <c r="J3805" s="501">
        <v>3</v>
      </c>
      <c r="K3805" s="501">
        <v>46</v>
      </c>
      <c r="L3805" s="501">
        <v>3</v>
      </c>
      <c r="M3805" s="658" t="s">
        <v>137</v>
      </c>
      <c r="N3805" s="670">
        <v>43013539699994</v>
      </c>
      <c r="O3805" s="671" t="s">
        <v>4496</v>
      </c>
      <c r="P3805" s="501" t="str">
        <f t="shared" si="2"/>
        <v>422122North-Right1</v>
      </c>
      <c r="Q3805" s="670" t="s">
        <v>4497</v>
      </c>
      <c r="R3805" s="564">
        <v>2</v>
      </c>
    </row>
    <row r="3806" spans="1:18" ht="15.75" x14ac:dyDescent="0.25">
      <c r="A3806" s="522">
        <v>4</v>
      </c>
      <c r="B3806" s="522">
        <v>2</v>
      </c>
      <c r="C3806" s="522">
        <v>2</v>
      </c>
      <c r="D3806" s="522">
        <v>1</v>
      </c>
      <c r="E3806" s="522">
        <v>2</v>
      </c>
      <c r="F3806" s="522">
        <v>2</v>
      </c>
      <c r="G3806" s="522" t="s">
        <v>485</v>
      </c>
      <c r="H3806" s="501">
        <v>1317.06</v>
      </c>
      <c r="I3806" s="501">
        <v>89</v>
      </c>
      <c r="J3806" s="501">
        <v>3</v>
      </c>
      <c r="K3806" s="501">
        <v>46</v>
      </c>
      <c r="L3806" s="501">
        <v>3</v>
      </c>
      <c r="M3806" s="658" t="s">
        <v>137</v>
      </c>
      <c r="N3806" s="670">
        <v>43013539699995</v>
      </c>
      <c r="O3806" s="671" t="s">
        <v>4496</v>
      </c>
      <c r="P3806" s="501" t="str">
        <f t="shared" si="2"/>
        <v>422122North-Right2</v>
      </c>
      <c r="Q3806" s="670" t="s">
        <v>4497</v>
      </c>
      <c r="R3806" s="564">
        <v>2</v>
      </c>
    </row>
    <row r="3807" spans="1:18" ht="15.75" x14ac:dyDescent="0.25">
      <c r="A3807" s="522">
        <v>4</v>
      </c>
      <c r="B3807" s="522">
        <v>2</v>
      </c>
      <c r="C3807" s="522">
        <v>2</v>
      </c>
      <c r="D3807" s="522">
        <v>1</v>
      </c>
      <c r="E3807" s="522">
        <v>2</v>
      </c>
      <c r="F3807" s="522">
        <v>2</v>
      </c>
      <c r="G3807" s="522" t="s">
        <v>487</v>
      </c>
      <c r="H3807" s="522">
        <v>0</v>
      </c>
      <c r="I3807" s="522">
        <v>0</v>
      </c>
      <c r="J3807" s="522">
        <v>0</v>
      </c>
      <c r="K3807" s="522">
        <v>0</v>
      </c>
      <c r="L3807" s="522">
        <v>0</v>
      </c>
      <c r="M3807" s="658" t="s">
        <v>137</v>
      </c>
      <c r="N3807" s="670">
        <v>43013539699996</v>
      </c>
      <c r="O3807" s="671" t="s">
        <v>4496</v>
      </c>
      <c r="P3807" s="501" t="str">
        <f t="shared" si="2"/>
        <v>422122South-Left2</v>
      </c>
      <c r="Q3807" s="670" t="s">
        <v>4497</v>
      </c>
      <c r="R3807" s="564">
        <v>2</v>
      </c>
    </row>
    <row r="3808" spans="1:18" ht="15.75" x14ac:dyDescent="0.25">
      <c r="A3808" s="522">
        <v>4</v>
      </c>
      <c r="B3808" s="522">
        <v>2</v>
      </c>
      <c r="C3808" s="522">
        <v>2</v>
      </c>
      <c r="D3808" s="522">
        <v>1</v>
      </c>
      <c r="E3808" s="522">
        <v>2</v>
      </c>
      <c r="F3808" s="522">
        <v>2</v>
      </c>
      <c r="G3808" s="523" t="s">
        <v>489</v>
      </c>
      <c r="H3808" s="501">
        <v>2636.77</v>
      </c>
      <c r="I3808" s="501">
        <v>88</v>
      </c>
      <c r="J3808" s="501">
        <v>48</v>
      </c>
      <c r="K3808" s="501">
        <v>21</v>
      </c>
      <c r="L3808" s="501">
        <v>4</v>
      </c>
      <c r="M3808" s="658" t="s">
        <v>137</v>
      </c>
      <c r="N3808" s="670">
        <v>43013539699997</v>
      </c>
      <c r="O3808" s="671" t="s">
        <v>4496</v>
      </c>
      <c r="P3808" s="501" t="str">
        <f t="shared" si="2"/>
        <v>422122South-Left1</v>
      </c>
      <c r="Q3808" s="670" t="s">
        <v>4497</v>
      </c>
      <c r="R3808" s="564">
        <v>2</v>
      </c>
    </row>
    <row r="3809" spans="1:18" ht="15.75" x14ac:dyDescent="0.25">
      <c r="A3809" s="522">
        <v>4</v>
      </c>
      <c r="B3809" s="522">
        <v>2</v>
      </c>
      <c r="C3809" s="522">
        <v>2</v>
      </c>
      <c r="D3809" s="522">
        <v>1</v>
      </c>
      <c r="E3809" s="522">
        <v>2</v>
      </c>
      <c r="F3809" s="522">
        <v>2</v>
      </c>
      <c r="G3809" s="522" t="s">
        <v>491</v>
      </c>
      <c r="H3809" s="501">
        <v>1329.3</v>
      </c>
      <c r="I3809" s="501">
        <v>88</v>
      </c>
      <c r="J3809" s="501">
        <v>35</v>
      </c>
      <c r="K3809" s="501">
        <v>58</v>
      </c>
      <c r="L3809" s="501">
        <v>3</v>
      </c>
      <c r="M3809" s="658" t="s">
        <v>137</v>
      </c>
      <c r="N3809" s="670">
        <v>43013539699998</v>
      </c>
      <c r="O3809" s="671" t="s">
        <v>4496</v>
      </c>
      <c r="P3809" s="501" t="str">
        <f t="shared" si="2"/>
        <v>422122South-Right1</v>
      </c>
      <c r="Q3809" s="670" t="s">
        <v>4497</v>
      </c>
      <c r="R3809" s="564">
        <v>2</v>
      </c>
    </row>
    <row r="3810" spans="1:18" ht="15.75" x14ac:dyDescent="0.25">
      <c r="A3810" s="522">
        <v>4</v>
      </c>
      <c r="B3810" s="522">
        <v>2</v>
      </c>
      <c r="C3810" s="522">
        <v>2</v>
      </c>
      <c r="D3810" s="522">
        <v>1</v>
      </c>
      <c r="E3810" s="522">
        <v>2</v>
      </c>
      <c r="F3810" s="522">
        <v>2</v>
      </c>
      <c r="G3810" s="522" t="s">
        <v>494</v>
      </c>
      <c r="H3810" s="522">
        <v>1309.06</v>
      </c>
      <c r="I3810" s="522">
        <v>88</v>
      </c>
      <c r="J3810" s="522">
        <v>34</v>
      </c>
      <c r="K3810" s="522">
        <v>5</v>
      </c>
      <c r="L3810" s="522">
        <v>3</v>
      </c>
      <c r="M3810" s="658" t="s">
        <v>137</v>
      </c>
      <c r="N3810" s="670">
        <v>43013539699999</v>
      </c>
      <c r="O3810" s="671" t="s">
        <v>4496</v>
      </c>
      <c r="P3810" s="501" t="str">
        <f t="shared" si="2"/>
        <v>422122South-Right2</v>
      </c>
      <c r="Q3810" s="670" t="s">
        <v>4497</v>
      </c>
      <c r="R3810" s="564">
        <v>2</v>
      </c>
    </row>
    <row r="3811" spans="1:18" ht="15.75" x14ac:dyDescent="0.25">
      <c r="A3811" s="522">
        <v>8</v>
      </c>
      <c r="B3811" s="522">
        <v>2</v>
      </c>
      <c r="C3811" s="522">
        <v>2</v>
      </c>
      <c r="D3811" s="522">
        <v>1</v>
      </c>
      <c r="E3811" s="522">
        <v>2</v>
      </c>
      <c r="F3811" s="522">
        <v>2</v>
      </c>
      <c r="G3811" s="522" t="s">
        <v>473</v>
      </c>
      <c r="H3811" s="501">
        <v>1320</v>
      </c>
      <c r="I3811" s="501">
        <v>0</v>
      </c>
      <c r="J3811" s="501">
        <v>0</v>
      </c>
      <c r="K3811" s="501">
        <v>1E-4</v>
      </c>
      <c r="L3811" s="501">
        <v>1</v>
      </c>
      <c r="M3811" s="658" t="s">
        <v>137</v>
      </c>
      <c r="N3811" s="670">
        <v>43013539700016</v>
      </c>
      <c r="O3811" s="671" t="s">
        <v>4496</v>
      </c>
      <c r="P3811" s="501" t="str">
        <f t="shared" si="2"/>
        <v>822122West-Up2</v>
      </c>
      <c r="Q3811" s="670" t="s">
        <v>4497</v>
      </c>
      <c r="R3811" s="564">
        <v>1</v>
      </c>
    </row>
    <row r="3812" spans="1:18" ht="15.75" x14ac:dyDescent="0.25">
      <c r="A3812" s="522">
        <v>8</v>
      </c>
      <c r="B3812" s="522">
        <v>2</v>
      </c>
      <c r="C3812" s="522">
        <v>2</v>
      </c>
      <c r="D3812" s="522">
        <v>1</v>
      </c>
      <c r="E3812" s="522">
        <v>2</v>
      </c>
      <c r="F3812" s="522">
        <v>2</v>
      </c>
      <c r="G3812" s="523" t="s">
        <v>476</v>
      </c>
      <c r="H3812" s="501">
        <v>1320</v>
      </c>
      <c r="I3812" s="501">
        <v>0</v>
      </c>
      <c r="J3812" s="501">
        <v>0</v>
      </c>
      <c r="K3812" s="501">
        <v>1E-4</v>
      </c>
      <c r="L3812" s="501">
        <v>1</v>
      </c>
      <c r="M3812" s="658" t="s">
        <v>137</v>
      </c>
      <c r="N3812" s="670">
        <v>43013539700017</v>
      </c>
      <c r="O3812" s="671" t="s">
        <v>4496</v>
      </c>
      <c r="P3812" s="501" t="str">
        <f t="shared" si="2"/>
        <v>822122West-Up1</v>
      </c>
      <c r="Q3812" s="670" t="s">
        <v>4497</v>
      </c>
      <c r="R3812" s="564">
        <v>1</v>
      </c>
    </row>
    <row r="3813" spans="1:18" ht="15.75" x14ac:dyDescent="0.25">
      <c r="A3813" s="522">
        <v>8</v>
      </c>
      <c r="B3813" s="522">
        <v>2</v>
      </c>
      <c r="C3813" s="522">
        <v>2</v>
      </c>
      <c r="D3813" s="522">
        <v>1</v>
      </c>
      <c r="E3813" s="522">
        <v>2</v>
      </c>
      <c r="F3813" s="522">
        <v>2</v>
      </c>
      <c r="G3813" s="522" t="s">
        <v>478</v>
      </c>
      <c r="H3813" s="501">
        <v>1320</v>
      </c>
      <c r="I3813" s="501">
        <v>0</v>
      </c>
      <c r="J3813" s="501">
        <v>0</v>
      </c>
      <c r="K3813" s="501">
        <v>1E-4</v>
      </c>
      <c r="L3813" s="501">
        <v>1</v>
      </c>
      <c r="M3813" s="658" t="s">
        <v>137</v>
      </c>
      <c r="N3813" s="670">
        <v>43013539700018</v>
      </c>
      <c r="O3813" s="671" t="s">
        <v>4496</v>
      </c>
      <c r="P3813" s="501" t="str">
        <f t="shared" si="2"/>
        <v>822122West-Down1</v>
      </c>
      <c r="Q3813" s="670" t="s">
        <v>4497</v>
      </c>
      <c r="R3813" s="564">
        <v>1</v>
      </c>
    </row>
    <row r="3814" spans="1:18" ht="15.75" x14ac:dyDescent="0.25">
      <c r="A3814" s="522">
        <v>8</v>
      </c>
      <c r="B3814" s="522">
        <v>2</v>
      </c>
      <c r="C3814" s="522">
        <v>2</v>
      </c>
      <c r="D3814" s="522">
        <v>1</v>
      </c>
      <c r="E3814" s="522">
        <v>2</v>
      </c>
      <c r="F3814" s="522">
        <v>2</v>
      </c>
      <c r="G3814" s="522" t="s">
        <v>484</v>
      </c>
      <c r="H3814" s="501">
        <v>1320</v>
      </c>
      <c r="I3814" s="501">
        <v>0</v>
      </c>
      <c r="J3814" s="501">
        <v>0</v>
      </c>
      <c r="K3814" s="501">
        <v>1E-4</v>
      </c>
      <c r="L3814" s="501">
        <v>1</v>
      </c>
      <c r="M3814" s="658" t="s">
        <v>137</v>
      </c>
      <c r="N3814" s="670">
        <v>43013539700019</v>
      </c>
      <c r="O3814" s="671" t="s">
        <v>4496</v>
      </c>
      <c r="P3814" s="501" t="str">
        <f t="shared" si="2"/>
        <v>822122West-Down2</v>
      </c>
      <c r="Q3814" s="670" t="s">
        <v>4497</v>
      </c>
      <c r="R3814" s="564">
        <v>1</v>
      </c>
    </row>
    <row r="3815" spans="1:18" ht="15.75" x14ac:dyDescent="0.25">
      <c r="A3815" s="522">
        <v>8</v>
      </c>
      <c r="B3815" s="522">
        <v>2</v>
      </c>
      <c r="C3815" s="522">
        <v>2</v>
      </c>
      <c r="D3815" s="522">
        <v>1</v>
      </c>
      <c r="E3815" s="522">
        <v>2</v>
      </c>
      <c r="F3815" s="522">
        <v>2</v>
      </c>
      <c r="G3815" s="522" t="s">
        <v>486</v>
      </c>
      <c r="H3815" s="501">
        <v>1368.11</v>
      </c>
      <c r="I3815" s="501">
        <v>0</v>
      </c>
      <c r="J3815" s="501">
        <v>50</v>
      </c>
      <c r="K3815" s="501">
        <v>38</v>
      </c>
      <c r="L3815" s="501">
        <v>4</v>
      </c>
      <c r="M3815" s="658" t="s">
        <v>137</v>
      </c>
      <c r="N3815" s="670">
        <v>43013539700020</v>
      </c>
      <c r="O3815" s="671" t="s">
        <v>4496</v>
      </c>
      <c r="P3815" s="501" t="str">
        <f t="shared" si="2"/>
        <v>822122East-Up2</v>
      </c>
      <c r="Q3815" s="670" t="s">
        <v>4497</v>
      </c>
      <c r="R3815" s="564">
        <v>1</v>
      </c>
    </row>
    <row r="3816" spans="1:18" ht="15.75" x14ac:dyDescent="0.25">
      <c r="A3816" s="522">
        <v>8</v>
      </c>
      <c r="B3816" s="522">
        <v>2</v>
      </c>
      <c r="C3816" s="522">
        <v>2</v>
      </c>
      <c r="D3816" s="522">
        <v>1</v>
      </c>
      <c r="E3816" s="522">
        <v>2</v>
      </c>
      <c r="F3816" s="522">
        <v>2</v>
      </c>
      <c r="G3816" s="523" t="s">
        <v>488</v>
      </c>
      <c r="H3816" s="501">
        <v>1368.11</v>
      </c>
      <c r="I3816" s="501">
        <v>0</v>
      </c>
      <c r="J3816" s="501">
        <v>50</v>
      </c>
      <c r="K3816" s="501">
        <v>38</v>
      </c>
      <c r="L3816" s="501">
        <v>4</v>
      </c>
      <c r="M3816" s="658" t="s">
        <v>137</v>
      </c>
      <c r="N3816" s="670">
        <v>43013539700021</v>
      </c>
      <c r="O3816" s="671" t="s">
        <v>4496</v>
      </c>
      <c r="P3816" s="501" t="str">
        <f t="shared" si="2"/>
        <v>822122East-Up1</v>
      </c>
      <c r="Q3816" s="670" t="s">
        <v>4497</v>
      </c>
      <c r="R3816" s="564">
        <v>1</v>
      </c>
    </row>
    <row r="3817" spans="1:18" ht="15.75" x14ac:dyDescent="0.25">
      <c r="A3817" s="522">
        <v>8</v>
      </c>
      <c r="B3817" s="522">
        <v>2</v>
      </c>
      <c r="C3817" s="522">
        <v>2</v>
      </c>
      <c r="D3817" s="522">
        <v>1</v>
      </c>
      <c r="E3817" s="522">
        <v>2</v>
      </c>
      <c r="F3817" s="522">
        <v>2</v>
      </c>
      <c r="G3817" s="522" t="s">
        <v>490</v>
      </c>
      <c r="H3817" s="501">
        <v>1317.9</v>
      </c>
      <c r="I3817" s="501">
        <v>1</v>
      </c>
      <c r="J3817" s="501">
        <v>35</v>
      </c>
      <c r="K3817" s="501">
        <v>37</v>
      </c>
      <c r="L3817" s="501">
        <v>4</v>
      </c>
      <c r="M3817" s="658" t="s">
        <v>137</v>
      </c>
      <c r="N3817" s="670">
        <v>43013539700022</v>
      </c>
      <c r="O3817" s="671" t="s">
        <v>4496</v>
      </c>
      <c r="P3817" s="501" t="str">
        <f t="shared" si="2"/>
        <v>822122East-Down1</v>
      </c>
      <c r="Q3817" s="670" t="s">
        <v>4497</v>
      </c>
      <c r="R3817" s="564">
        <v>1</v>
      </c>
    </row>
    <row r="3818" spans="1:18" ht="15.75" x14ac:dyDescent="0.25">
      <c r="A3818" s="522">
        <v>8</v>
      </c>
      <c r="B3818" s="522">
        <v>2</v>
      </c>
      <c r="C3818" s="522">
        <v>2</v>
      </c>
      <c r="D3818" s="522">
        <v>1</v>
      </c>
      <c r="E3818" s="522">
        <v>2</v>
      </c>
      <c r="F3818" s="522">
        <v>2</v>
      </c>
      <c r="G3818" s="522" t="s">
        <v>493</v>
      </c>
      <c r="H3818" s="501">
        <v>1316.43</v>
      </c>
      <c r="I3818" s="501">
        <v>0</v>
      </c>
      <c r="J3818" s="501">
        <v>21</v>
      </c>
      <c r="K3818" s="501">
        <v>13</v>
      </c>
      <c r="L3818" s="501">
        <v>4</v>
      </c>
      <c r="M3818" s="658" t="s">
        <v>137</v>
      </c>
      <c r="N3818" s="670">
        <v>43013539700023</v>
      </c>
      <c r="O3818" s="671" t="s">
        <v>4496</v>
      </c>
      <c r="P3818" s="501" t="str">
        <f t="shared" si="2"/>
        <v>822122East-Down2</v>
      </c>
      <c r="Q3818" s="670" t="s">
        <v>4497</v>
      </c>
      <c r="R3818" s="564">
        <v>1</v>
      </c>
    </row>
    <row r="3819" spans="1:18" ht="15.75" x14ac:dyDescent="0.25">
      <c r="A3819" s="522">
        <v>8</v>
      </c>
      <c r="B3819" s="522">
        <v>2</v>
      </c>
      <c r="C3819" s="522">
        <v>2</v>
      </c>
      <c r="D3819" s="522">
        <v>1</v>
      </c>
      <c r="E3819" s="522">
        <v>2</v>
      </c>
      <c r="F3819" s="522">
        <v>2</v>
      </c>
      <c r="G3819" s="522" t="s">
        <v>474</v>
      </c>
      <c r="H3819" s="501">
        <v>0</v>
      </c>
      <c r="I3819" s="501">
        <v>0</v>
      </c>
      <c r="J3819" s="501">
        <v>0</v>
      </c>
      <c r="K3819" s="501">
        <v>0</v>
      </c>
      <c r="L3819" s="501">
        <v>0</v>
      </c>
      <c r="M3819" s="658" t="s">
        <v>137</v>
      </c>
      <c r="N3819" s="670">
        <v>43013539700024</v>
      </c>
      <c r="O3819" s="671" t="s">
        <v>4496</v>
      </c>
      <c r="P3819" s="501" t="str">
        <f t="shared" si="2"/>
        <v>822122North-Left2</v>
      </c>
      <c r="Q3819" s="670" t="s">
        <v>4497</v>
      </c>
      <c r="R3819" s="564">
        <v>1</v>
      </c>
    </row>
    <row r="3820" spans="1:18" ht="15.75" x14ac:dyDescent="0.25">
      <c r="A3820" s="522">
        <v>8</v>
      </c>
      <c r="B3820" s="522">
        <v>2</v>
      </c>
      <c r="C3820" s="522">
        <v>2</v>
      </c>
      <c r="D3820" s="522">
        <v>1</v>
      </c>
      <c r="E3820" s="522">
        <v>2</v>
      </c>
      <c r="F3820" s="522">
        <v>2</v>
      </c>
      <c r="G3820" s="523" t="s">
        <v>477</v>
      </c>
      <c r="H3820" s="501">
        <v>2639.59</v>
      </c>
      <c r="I3820" s="501">
        <v>89</v>
      </c>
      <c r="J3820" s="501">
        <v>24</v>
      </c>
      <c r="K3820" s="501">
        <v>39</v>
      </c>
      <c r="L3820" s="501">
        <v>3</v>
      </c>
      <c r="M3820" s="658" t="s">
        <v>137</v>
      </c>
      <c r="N3820" s="670">
        <v>43013539700025</v>
      </c>
      <c r="O3820" s="671" t="s">
        <v>4496</v>
      </c>
      <c r="P3820" s="501" t="str">
        <f t="shared" si="2"/>
        <v>822122North-Left1</v>
      </c>
      <c r="Q3820" s="670" t="s">
        <v>4497</v>
      </c>
      <c r="R3820" s="564">
        <v>1</v>
      </c>
    </row>
    <row r="3821" spans="1:18" ht="15.75" x14ac:dyDescent="0.25">
      <c r="A3821" s="522">
        <v>8</v>
      </c>
      <c r="B3821" s="522">
        <v>2</v>
      </c>
      <c r="C3821" s="522">
        <v>2</v>
      </c>
      <c r="D3821" s="522">
        <v>1</v>
      </c>
      <c r="E3821" s="522">
        <v>2</v>
      </c>
      <c r="F3821" s="522">
        <v>2</v>
      </c>
      <c r="G3821" s="522" t="s">
        <v>479</v>
      </c>
      <c r="H3821" s="501">
        <v>0</v>
      </c>
      <c r="I3821" s="501">
        <v>0</v>
      </c>
      <c r="J3821" s="501">
        <v>0</v>
      </c>
      <c r="K3821" s="501">
        <v>0</v>
      </c>
      <c r="L3821" s="501">
        <v>0</v>
      </c>
      <c r="M3821" s="658" t="s">
        <v>137</v>
      </c>
      <c r="N3821" s="670">
        <v>43013539700026</v>
      </c>
      <c r="O3821" s="671" t="s">
        <v>4496</v>
      </c>
      <c r="P3821" s="501" t="str">
        <f t="shared" si="2"/>
        <v>822122North-Right1</v>
      </c>
      <c r="Q3821" s="670" t="s">
        <v>4497</v>
      </c>
      <c r="R3821" s="564">
        <v>1</v>
      </c>
    </row>
    <row r="3822" spans="1:18" ht="15.75" x14ac:dyDescent="0.25">
      <c r="A3822" s="522">
        <v>8</v>
      </c>
      <c r="B3822" s="522">
        <v>2</v>
      </c>
      <c r="C3822" s="522">
        <v>2</v>
      </c>
      <c r="D3822" s="522">
        <v>1</v>
      </c>
      <c r="E3822" s="522">
        <v>2</v>
      </c>
      <c r="F3822" s="522">
        <v>2</v>
      </c>
      <c r="G3822" s="522" t="s">
        <v>485</v>
      </c>
      <c r="H3822" s="501">
        <v>2624.08</v>
      </c>
      <c r="I3822" s="501">
        <v>86</v>
      </c>
      <c r="J3822" s="501">
        <v>33</v>
      </c>
      <c r="K3822" s="501">
        <v>29</v>
      </c>
      <c r="L3822" s="501">
        <v>3</v>
      </c>
      <c r="M3822" s="658" t="s">
        <v>137</v>
      </c>
      <c r="N3822" s="670">
        <v>43013539700027</v>
      </c>
      <c r="O3822" s="671" t="s">
        <v>4496</v>
      </c>
      <c r="P3822" s="501" t="str">
        <f t="shared" si="2"/>
        <v>822122North-Right2</v>
      </c>
      <c r="Q3822" s="670" t="s">
        <v>4497</v>
      </c>
      <c r="R3822" s="564">
        <v>1</v>
      </c>
    </row>
    <row r="3823" spans="1:18" ht="15.75" x14ac:dyDescent="0.25">
      <c r="A3823" s="522">
        <v>8</v>
      </c>
      <c r="B3823" s="522">
        <v>2</v>
      </c>
      <c r="C3823" s="522">
        <v>2</v>
      </c>
      <c r="D3823" s="522">
        <v>1</v>
      </c>
      <c r="E3823" s="522">
        <v>2</v>
      </c>
      <c r="F3823" s="522">
        <v>2</v>
      </c>
      <c r="G3823" s="522" t="s">
        <v>487</v>
      </c>
      <c r="H3823" s="501">
        <v>0</v>
      </c>
      <c r="I3823" s="501">
        <v>0</v>
      </c>
      <c r="J3823" s="501">
        <v>0</v>
      </c>
      <c r="K3823" s="501">
        <v>0</v>
      </c>
      <c r="L3823" s="501">
        <v>0</v>
      </c>
      <c r="M3823" s="658" t="s">
        <v>137</v>
      </c>
      <c r="N3823" s="670">
        <v>43013539700028</v>
      </c>
      <c r="O3823" s="671" t="s">
        <v>4496</v>
      </c>
      <c r="P3823" s="501" t="str">
        <f t="shared" si="2"/>
        <v>822122South-Left2</v>
      </c>
      <c r="Q3823" s="670" t="s">
        <v>4497</v>
      </c>
      <c r="R3823" s="564">
        <v>1</v>
      </c>
    </row>
    <row r="3824" spans="1:18" ht="15.75" x14ac:dyDescent="0.25">
      <c r="A3824" s="522">
        <v>8</v>
      </c>
      <c r="B3824" s="522">
        <v>2</v>
      </c>
      <c r="C3824" s="522">
        <v>2</v>
      </c>
      <c r="D3824" s="522">
        <v>1</v>
      </c>
      <c r="E3824" s="522">
        <v>2</v>
      </c>
      <c r="F3824" s="522">
        <v>2</v>
      </c>
      <c r="G3824" s="523" t="s">
        <v>489</v>
      </c>
      <c r="H3824" s="501">
        <v>2636.7</v>
      </c>
      <c r="I3824" s="501">
        <v>89</v>
      </c>
      <c r="J3824" s="501">
        <v>0</v>
      </c>
      <c r="K3824" s="501">
        <v>49</v>
      </c>
      <c r="L3824" s="501">
        <v>4</v>
      </c>
      <c r="M3824" s="658" t="s">
        <v>137</v>
      </c>
      <c r="N3824" s="670">
        <v>43013539700029</v>
      </c>
      <c r="O3824" s="671" t="s">
        <v>4496</v>
      </c>
      <c r="P3824" s="501" t="str">
        <f t="shared" si="2"/>
        <v>822122South-Left1</v>
      </c>
      <c r="Q3824" s="670" t="s">
        <v>4497</v>
      </c>
      <c r="R3824" s="564">
        <v>1</v>
      </c>
    </row>
    <row r="3825" spans="1:18" ht="15.75" x14ac:dyDescent="0.25">
      <c r="A3825" s="522">
        <v>8</v>
      </c>
      <c r="B3825" s="522">
        <v>2</v>
      </c>
      <c r="C3825" s="522">
        <v>2</v>
      </c>
      <c r="D3825" s="522">
        <v>1</v>
      </c>
      <c r="E3825" s="522">
        <v>2</v>
      </c>
      <c r="F3825" s="522">
        <v>2</v>
      </c>
      <c r="G3825" s="522" t="s">
        <v>491</v>
      </c>
      <c r="H3825" s="501">
        <v>0</v>
      </c>
      <c r="I3825" s="501">
        <v>0</v>
      </c>
      <c r="J3825" s="501">
        <v>0</v>
      </c>
      <c r="K3825" s="501">
        <v>0</v>
      </c>
      <c r="L3825" s="501">
        <v>0</v>
      </c>
      <c r="M3825" s="658" t="s">
        <v>137</v>
      </c>
      <c r="N3825" s="670">
        <v>43013539700030</v>
      </c>
      <c r="O3825" s="671" t="s">
        <v>4496</v>
      </c>
      <c r="P3825" s="501" t="str">
        <f t="shared" si="2"/>
        <v>822122South-Right1</v>
      </c>
      <c r="Q3825" s="670" t="s">
        <v>4497</v>
      </c>
      <c r="R3825" s="564">
        <v>1</v>
      </c>
    </row>
    <row r="3826" spans="1:18" ht="15.75" x14ac:dyDescent="0.25">
      <c r="A3826" s="522">
        <v>8</v>
      </c>
      <c r="B3826" s="522">
        <v>2</v>
      </c>
      <c r="C3826" s="522">
        <v>2</v>
      </c>
      <c r="D3826" s="522">
        <v>1</v>
      </c>
      <c r="E3826" s="522">
        <v>2</v>
      </c>
      <c r="F3826" s="522">
        <v>2</v>
      </c>
      <c r="G3826" s="522" t="s">
        <v>494</v>
      </c>
      <c r="H3826" s="501">
        <v>2929.24</v>
      </c>
      <c r="I3826" s="501">
        <v>89</v>
      </c>
      <c r="J3826" s="501">
        <v>26</v>
      </c>
      <c r="K3826" s="501">
        <v>57</v>
      </c>
      <c r="L3826" s="501">
        <v>3</v>
      </c>
      <c r="M3826" s="658" t="s">
        <v>137</v>
      </c>
      <c r="N3826" s="670">
        <v>43013539700031</v>
      </c>
      <c r="O3826" s="671" t="s">
        <v>4496</v>
      </c>
      <c r="P3826" s="501" t="str">
        <f t="shared" si="2"/>
        <v>822122South-Right2</v>
      </c>
      <c r="Q3826" s="670" t="s">
        <v>4497</v>
      </c>
      <c r="R3826" s="564">
        <v>1</v>
      </c>
    </row>
    <row r="3827" spans="1:18" x14ac:dyDescent="0.25">
      <c r="A3827" s="501">
        <v>17</v>
      </c>
      <c r="B3827" s="501">
        <v>2</v>
      </c>
      <c r="C3827" s="501">
        <v>2</v>
      </c>
      <c r="D3827" s="501">
        <v>1</v>
      </c>
      <c r="E3827" s="501">
        <v>2</v>
      </c>
      <c r="F3827" s="501">
        <v>2</v>
      </c>
      <c r="G3827" s="522" t="s">
        <v>473</v>
      </c>
      <c r="H3827" s="501">
        <v>1321.92</v>
      </c>
      <c r="I3827" s="501">
        <v>0</v>
      </c>
      <c r="J3827" s="501">
        <v>21</v>
      </c>
      <c r="K3827" s="501">
        <v>11</v>
      </c>
      <c r="L3827" s="501">
        <v>4</v>
      </c>
      <c r="M3827" s="667" t="s">
        <v>137</v>
      </c>
      <c r="N3827" s="668">
        <v>43013538700000</v>
      </c>
      <c r="O3827" s="501" t="s">
        <v>4498</v>
      </c>
      <c r="P3827" s="501" t="str">
        <f t="shared" si="2"/>
        <v>1722122West-Up2</v>
      </c>
      <c r="Q3827" s="501" t="s">
        <v>4497</v>
      </c>
      <c r="R3827" s="564">
        <v>2</v>
      </c>
    </row>
    <row r="3828" spans="1:18" x14ac:dyDescent="0.25">
      <c r="A3828" s="501">
        <v>17</v>
      </c>
      <c r="B3828" s="501">
        <v>2</v>
      </c>
      <c r="C3828" s="501">
        <v>2</v>
      </c>
      <c r="D3828" s="501">
        <v>1</v>
      </c>
      <c r="E3828" s="501">
        <v>2</v>
      </c>
      <c r="F3828" s="501">
        <v>2</v>
      </c>
      <c r="G3828" s="523" t="s">
        <v>476</v>
      </c>
      <c r="H3828" s="501">
        <v>1321.92</v>
      </c>
      <c r="I3828" s="501">
        <v>0</v>
      </c>
      <c r="J3828" s="501">
        <v>21</v>
      </c>
      <c r="K3828" s="501">
        <v>11</v>
      </c>
      <c r="L3828" s="501">
        <v>4</v>
      </c>
      <c r="M3828" s="667" t="s">
        <v>137</v>
      </c>
      <c r="N3828" s="668">
        <v>43013538700000</v>
      </c>
      <c r="O3828" s="501" t="s">
        <v>4498</v>
      </c>
      <c r="P3828" s="501" t="str">
        <f t="shared" si="2"/>
        <v>1722122West-Up1</v>
      </c>
      <c r="Q3828" s="670" t="s">
        <v>4497</v>
      </c>
      <c r="R3828" s="564">
        <v>2</v>
      </c>
    </row>
    <row r="3829" spans="1:18" x14ac:dyDescent="0.25">
      <c r="A3829" s="501">
        <v>17</v>
      </c>
      <c r="B3829" s="501">
        <v>2</v>
      </c>
      <c r="C3829" s="501">
        <v>2</v>
      </c>
      <c r="D3829" s="501">
        <v>1</v>
      </c>
      <c r="E3829" s="501">
        <v>2</v>
      </c>
      <c r="F3829" s="501">
        <v>2</v>
      </c>
      <c r="G3829" s="522" t="s">
        <v>478</v>
      </c>
      <c r="H3829" s="501">
        <v>1321.39</v>
      </c>
      <c r="I3829" s="501">
        <v>0</v>
      </c>
      <c r="J3829" s="501">
        <v>21</v>
      </c>
      <c r="K3829" s="501">
        <v>11</v>
      </c>
      <c r="L3829" s="501">
        <v>4</v>
      </c>
      <c r="M3829" s="667" t="s">
        <v>137</v>
      </c>
      <c r="N3829" s="668">
        <v>43013538700000</v>
      </c>
      <c r="O3829" s="501" t="s">
        <v>4498</v>
      </c>
      <c r="P3829" s="501" t="str">
        <f t="shared" si="2"/>
        <v>1722122West-Down1</v>
      </c>
      <c r="Q3829" s="670" t="s">
        <v>4497</v>
      </c>
      <c r="R3829" s="564">
        <v>2</v>
      </c>
    </row>
    <row r="3830" spans="1:18" x14ac:dyDescent="0.25">
      <c r="A3830" s="501">
        <v>17</v>
      </c>
      <c r="B3830" s="501">
        <v>2</v>
      </c>
      <c r="C3830" s="501">
        <v>2</v>
      </c>
      <c r="D3830" s="501">
        <v>1</v>
      </c>
      <c r="E3830" s="501">
        <v>2</v>
      </c>
      <c r="F3830" s="501">
        <v>2</v>
      </c>
      <c r="G3830" s="522" t="s">
        <v>484</v>
      </c>
      <c r="H3830" s="501">
        <v>1321.39</v>
      </c>
      <c r="I3830" s="501">
        <v>0</v>
      </c>
      <c r="J3830" s="501">
        <v>21</v>
      </c>
      <c r="K3830" s="501">
        <v>11</v>
      </c>
      <c r="L3830" s="501">
        <v>4</v>
      </c>
      <c r="M3830" s="667" t="s">
        <v>137</v>
      </c>
      <c r="N3830" s="668">
        <v>43013538700000</v>
      </c>
      <c r="O3830" s="501" t="s">
        <v>4498</v>
      </c>
      <c r="P3830" s="501" t="str">
        <f t="shared" si="2"/>
        <v>1722122West-Down2</v>
      </c>
      <c r="Q3830" s="501" t="s">
        <v>4497</v>
      </c>
      <c r="R3830" s="564">
        <v>2</v>
      </c>
    </row>
    <row r="3831" spans="1:18" x14ac:dyDescent="0.25">
      <c r="A3831" s="501">
        <v>17</v>
      </c>
      <c r="B3831" s="501">
        <v>2</v>
      </c>
      <c r="C3831" s="501">
        <v>2</v>
      </c>
      <c r="D3831" s="501">
        <v>1</v>
      </c>
      <c r="E3831" s="501">
        <v>2</v>
      </c>
      <c r="F3831" s="501">
        <v>2</v>
      </c>
      <c r="G3831" s="522" t="s">
        <v>486</v>
      </c>
      <c r="H3831" s="501">
        <v>1323.56</v>
      </c>
      <c r="I3831" s="501">
        <v>0</v>
      </c>
      <c r="J3831" s="501">
        <v>13</v>
      </c>
      <c r="K3831" s="501">
        <v>20</v>
      </c>
      <c r="L3831" s="501">
        <v>4</v>
      </c>
      <c r="M3831" s="667" t="s">
        <v>137</v>
      </c>
      <c r="N3831" s="668">
        <v>43013538700000</v>
      </c>
      <c r="O3831" s="501" t="s">
        <v>4498</v>
      </c>
      <c r="P3831" s="501" t="str">
        <f t="shared" si="2"/>
        <v>1722122East-Up2</v>
      </c>
      <c r="Q3831" s="670" t="s">
        <v>4497</v>
      </c>
      <c r="R3831" s="564">
        <v>2</v>
      </c>
    </row>
    <row r="3832" spans="1:18" x14ac:dyDescent="0.25">
      <c r="A3832" s="501">
        <v>17</v>
      </c>
      <c r="B3832" s="501">
        <v>2</v>
      </c>
      <c r="C3832" s="501">
        <v>2</v>
      </c>
      <c r="D3832" s="501">
        <v>1</v>
      </c>
      <c r="E3832" s="501">
        <v>2</v>
      </c>
      <c r="F3832" s="501">
        <v>2</v>
      </c>
      <c r="G3832" s="523" t="s">
        <v>488</v>
      </c>
      <c r="H3832" s="501">
        <v>1323.56</v>
      </c>
      <c r="I3832" s="501">
        <v>0</v>
      </c>
      <c r="J3832" s="501">
        <v>13</v>
      </c>
      <c r="K3832" s="501">
        <v>20</v>
      </c>
      <c r="L3832" s="501">
        <v>4</v>
      </c>
      <c r="M3832" s="667" t="s">
        <v>137</v>
      </c>
      <c r="N3832" s="668">
        <v>43013538700000</v>
      </c>
      <c r="O3832" s="501" t="s">
        <v>4498</v>
      </c>
      <c r="P3832" s="501" t="str">
        <f t="shared" si="2"/>
        <v>1722122East-Up1</v>
      </c>
      <c r="Q3832" s="670" t="s">
        <v>4497</v>
      </c>
      <c r="R3832" s="564">
        <v>2</v>
      </c>
    </row>
    <row r="3833" spans="1:18" x14ac:dyDescent="0.25">
      <c r="A3833" s="501">
        <v>17</v>
      </c>
      <c r="B3833" s="501">
        <v>2</v>
      </c>
      <c r="C3833" s="501">
        <v>2</v>
      </c>
      <c r="D3833" s="501">
        <v>1</v>
      </c>
      <c r="E3833" s="501">
        <v>2</v>
      </c>
      <c r="F3833" s="501">
        <v>2</v>
      </c>
      <c r="G3833" s="522" t="s">
        <v>490</v>
      </c>
      <c r="H3833" s="501">
        <v>1321.25</v>
      </c>
      <c r="I3833" s="501">
        <v>0</v>
      </c>
      <c r="J3833" s="501">
        <v>20</v>
      </c>
      <c r="K3833" s="501">
        <v>29</v>
      </c>
      <c r="L3833" s="501">
        <v>4</v>
      </c>
      <c r="M3833" s="667" t="s">
        <v>137</v>
      </c>
      <c r="N3833" s="668">
        <v>43013538700000</v>
      </c>
      <c r="O3833" s="501" t="s">
        <v>4498</v>
      </c>
      <c r="P3833" s="501" t="str">
        <f t="shared" si="2"/>
        <v>1722122East-Down1</v>
      </c>
      <c r="Q3833" s="501" t="s">
        <v>4497</v>
      </c>
      <c r="R3833" s="564">
        <v>2</v>
      </c>
    </row>
    <row r="3834" spans="1:18" x14ac:dyDescent="0.25">
      <c r="A3834" s="501">
        <v>17</v>
      </c>
      <c r="B3834" s="501">
        <v>2</v>
      </c>
      <c r="C3834" s="501">
        <v>2</v>
      </c>
      <c r="D3834" s="501">
        <v>1</v>
      </c>
      <c r="E3834" s="501">
        <v>2</v>
      </c>
      <c r="F3834" s="501">
        <v>2</v>
      </c>
      <c r="G3834" s="522" t="s">
        <v>493</v>
      </c>
      <c r="H3834" s="501">
        <v>1321.37</v>
      </c>
      <c r="I3834" s="501">
        <v>0</v>
      </c>
      <c r="J3834" s="501">
        <v>20</v>
      </c>
      <c r="K3834" s="501">
        <v>12</v>
      </c>
      <c r="L3834" s="501">
        <v>4</v>
      </c>
      <c r="M3834" s="667" t="s">
        <v>137</v>
      </c>
      <c r="N3834" s="668">
        <v>43013538700000</v>
      </c>
      <c r="O3834" s="501" t="s">
        <v>4498</v>
      </c>
      <c r="P3834" s="501" t="str">
        <f t="shared" si="2"/>
        <v>1722122East-Down2</v>
      </c>
      <c r="Q3834" s="670" t="s">
        <v>4497</v>
      </c>
      <c r="R3834" s="564">
        <v>2</v>
      </c>
    </row>
    <row r="3835" spans="1:18" x14ac:dyDescent="0.25">
      <c r="A3835" s="501">
        <v>17</v>
      </c>
      <c r="B3835" s="501">
        <v>2</v>
      </c>
      <c r="C3835" s="501">
        <v>2</v>
      </c>
      <c r="D3835" s="501">
        <v>1</v>
      </c>
      <c r="E3835" s="501">
        <v>2</v>
      </c>
      <c r="F3835" s="501">
        <v>2</v>
      </c>
      <c r="G3835" s="522" t="s">
        <v>474</v>
      </c>
      <c r="H3835" s="501">
        <v>0</v>
      </c>
      <c r="I3835" s="501">
        <v>0</v>
      </c>
      <c r="J3835" s="501">
        <v>0</v>
      </c>
      <c r="K3835" s="501">
        <v>0</v>
      </c>
      <c r="L3835" s="501">
        <v>0</v>
      </c>
      <c r="M3835" s="667" t="s">
        <v>137</v>
      </c>
      <c r="N3835" s="668">
        <v>43013538700000</v>
      </c>
      <c r="O3835" s="501" t="s">
        <v>4498</v>
      </c>
      <c r="P3835" s="501" t="str">
        <f t="shared" si="2"/>
        <v>1722122North-Left2</v>
      </c>
      <c r="Q3835" s="670" t="s">
        <v>4497</v>
      </c>
      <c r="R3835" s="564">
        <v>2</v>
      </c>
    </row>
    <row r="3836" spans="1:18" x14ac:dyDescent="0.25">
      <c r="A3836" s="501">
        <v>17</v>
      </c>
      <c r="B3836" s="501">
        <v>2</v>
      </c>
      <c r="C3836" s="501">
        <v>2</v>
      </c>
      <c r="D3836" s="501">
        <v>1</v>
      </c>
      <c r="E3836" s="501">
        <v>2</v>
      </c>
      <c r="F3836" s="501">
        <v>2</v>
      </c>
      <c r="G3836" s="523" t="s">
        <v>477</v>
      </c>
      <c r="H3836" s="501">
        <v>2629.41</v>
      </c>
      <c r="I3836" s="501">
        <v>89</v>
      </c>
      <c r="J3836" s="501">
        <v>50</v>
      </c>
      <c r="K3836" s="501">
        <v>18</v>
      </c>
      <c r="L3836" s="501">
        <v>2</v>
      </c>
      <c r="M3836" s="667" t="s">
        <v>137</v>
      </c>
      <c r="N3836" s="668">
        <v>43013538700000</v>
      </c>
      <c r="O3836" s="501" t="s">
        <v>4498</v>
      </c>
      <c r="P3836" s="501" t="str">
        <f t="shared" si="2"/>
        <v>1722122North-Left1</v>
      </c>
      <c r="Q3836" s="501" t="s">
        <v>4497</v>
      </c>
      <c r="R3836" s="564">
        <v>2</v>
      </c>
    </row>
    <row r="3837" spans="1:18" x14ac:dyDescent="0.25">
      <c r="A3837" s="501">
        <v>17</v>
      </c>
      <c r="B3837" s="501">
        <v>2</v>
      </c>
      <c r="C3837" s="501">
        <v>2</v>
      </c>
      <c r="D3837" s="501">
        <v>1</v>
      </c>
      <c r="E3837" s="501">
        <v>2</v>
      </c>
      <c r="F3837" s="501">
        <v>2</v>
      </c>
      <c r="G3837" s="522" t="s">
        <v>479</v>
      </c>
      <c r="H3837" s="501">
        <v>1314.77</v>
      </c>
      <c r="I3837" s="501">
        <v>89</v>
      </c>
      <c r="J3837" s="501">
        <v>32</v>
      </c>
      <c r="K3837" s="501">
        <v>55</v>
      </c>
      <c r="L3837" s="501">
        <v>4</v>
      </c>
      <c r="M3837" s="667" t="s">
        <v>137</v>
      </c>
      <c r="N3837" s="668">
        <v>43013538700000</v>
      </c>
      <c r="O3837" s="501" t="s">
        <v>4498</v>
      </c>
      <c r="P3837" s="501" t="str">
        <f t="shared" si="2"/>
        <v>1722122North-Right1</v>
      </c>
      <c r="Q3837" s="670" t="s">
        <v>4497</v>
      </c>
      <c r="R3837" s="564">
        <v>2</v>
      </c>
    </row>
    <row r="3838" spans="1:18" x14ac:dyDescent="0.25">
      <c r="A3838" s="501">
        <v>17</v>
      </c>
      <c r="B3838" s="501">
        <v>2</v>
      </c>
      <c r="C3838" s="501">
        <v>2</v>
      </c>
      <c r="D3838" s="501">
        <v>1</v>
      </c>
      <c r="E3838" s="501">
        <v>2</v>
      </c>
      <c r="F3838" s="501">
        <v>2</v>
      </c>
      <c r="G3838" s="522" t="s">
        <v>485</v>
      </c>
      <c r="H3838" s="501">
        <v>1314.77</v>
      </c>
      <c r="I3838" s="501">
        <v>89</v>
      </c>
      <c r="J3838" s="501">
        <v>32</v>
      </c>
      <c r="K3838" s="501">
        <v>55</v>
      </c>
      <c r="L3838" s="501">
        <v>4</v>
      </c>
      <c r="M3838" s="667" t="s">
        <v>137</v>
      </c>
      <c r="N3838" s="668">
        <v>43013538700000</v>
      </c>
      <c r="O3838" s="501" t="s">
        <v>4498</v>
      </c>
      <c r="P3838" s="501" t="str">
        <f t="shared" si="2"/>
        <v>1722122North-Right2</v>
      </c>
      <c r="Q3838" s="670" t="s">
        <v>4497</v>
      </c>
      <c r="R3838" s="564">
        <v>2</v>
      </c>
    </row>
    <row r="3839" spans="1:18" x14ac:dyDescent="0.25">
      <c r="A3839" s="501">
        <v>17</v>
      </c>
      <c r="B3839" s="501">
        <v>2</v>
      </c>
      <c r="C3839" s="501">
        <v>2</v>
      </c>
      <c r="D3839" s="501">
        <v>1</v>
      </c>
      <c r="E3839" s="501">
        <v>2</v>
      </c>
      <c r="F3839" s="501">
        <v>2</v>
      </c>
      <c r="G3839" s="522" t="s">
        <v>487</v>
      </c>
      <c r="H3839" s="501">
        <v>1320.61</v>
      </c>
      <c r="I3839" s="501">
        <v>89</v>
      </c>
      <c r="J3839" s="501">
        <v>50</v>
      </c>
      <c r="K3839" s="501">
        <v>1</v>
      </c>
      <c r="L3839" s="501">
        <v>1</v>
      </c>
      <c r="M3839" s="667" t="s">
        <v>137</v>
      </c>
      <c r="N3839" s="668">
        <v>43013538700000</v>
      </c>
      <c r="O3839" s="501" t="s">
        <v>4498</v>
      </c>
      <c r="P3839" s="501" t="str">
        <f t="shared" si="2"/>
        <v>1722122South-Left2</v>
      </c>
      <c r="Q3839" s="501" t="s">
        <v>4497</v>
      </c>
      <c r="R3839" s="564">
        <v>2</v>
      </c>
    </row>
    <row r="3840" spans="1:18" x14ac:dyDescent="0.25">
      <c r="A3840" s="501">
        <v>17</v>
      </c>
      <c r="B3840" s="501">
        <v>2</v>
      </c>
      <c r="C3840" s="501">
        <v>2</v>
      </c>
      <c r="D3840" s="501">
        <v>1</v>
      </c>
      <c r="E3840" s="501">
        <v>2</v>
      </c>
      <c r="F3840" s="501">
        <v>2</v>
      </c>
      <c r="G3840" s="523" t="s">
        <v>489</v>
      </c>
      <c r="H3840" s="501">
        <v>1315.8</v>
      </c>
      <c r="I3840" s="501">
        <v>89</v>
      </c>
      <c r="J3840" s="501">
        <v>49</v>
      </c>
      <c r="K3840" s="501">
        <v>47</v>
      </c>
      <c r="L3840" s="501">
        <v>1</v>
      </c>
      <c r="M3840" s="667" t="s">
        <v>137</v>
      </c>
      <c r="N3840" s="668">
        <v>43013538700000</v>
      </c>
      <c r="O3840" s="501" t="s">
        <v>4498</v>
      </c>
      <c r="P3840" s="501" t="str">
        <f t="shared" si="2"/>
        <v>1722122South-Left1</v>
      </c>
      <c r="Q3840" s="670" t="s">
        <v>4497</v>
      </c>
      <c r="R3840" s="564">
        <v>2</v>
      </c>
    </row>
    <row r="3841" spans="1:18" x14ac:dyDescent="0.25">
      <c r="A3841" s="501">
        <v>17</v>
      </c>
      <c r="B3841" s="501">
        <v>2</v>
      </c>
      <c r="C3841" s="501">
        <v>2</v>
      </c>
      <c r="D3841" s="501">
        <v>1</v>
      </c>
      <c r="E3841" s="501">
        <v>2</v>
      </c>
      <c r="F3841" s="501">
        <v>2</v>
      </c>
      <c r="G3841" s="522" t="s">
        <v>491</v>
      </c>
      <c r="H3841" s="501">
        <v>1307.95</v>
      </c>
      <c r="I3841" s="501">
        <v>89</v>
      </c>
      <c r="J3841" s="501">
        <v>48</v>
      </c>
      <c r="K3841" s="501">
        <v>27</v>
      </c>
      <c r="L3841" s="501">
        <v>1</v>
      </c>
      <c r="M3841" s="667" t="s">
        <v>137</v>
      </c>
      <c r="N3841" s="668">
        <v>43013538700000</v>
      </c>
      <c r="O3841" s="501" t="s">
        <v>4498</v>
      </c>
      <c r="P3841" s="501" t="str">
        <f t="shared" si="2"/>
        <v>1722122South-Right1</v>
      </c>
      <c r="Q3841" s="670" t="s">
        <v>4497</v>
      </c>
      <c r="R3841" s="564">
        <v>2</v>
      </c>
    </row>
    <row r="3842" spans="1:18" x14ac:dyDescent="0.25">
      <c r="A3842" s="501">
        <v>17</v>
      </c>
      <c r="B3842" s="501">
        <v>2</v>
      </c>
      <c r="C3842" s="501">
        <v>2</v>
      </c>
      <c r="D3842" s="501">
        <v>1</v>
      </c>
      <c r="E3842" s="501">
        <v>2</v>
      </c>
      <c r="F3842" s="501">
        <v>2</v>
      </c>
      <c r="G3842" s="522" t="s">
        <v>494</v>
      </c>
      <c r="H3842" s="501">
        <v>1307.8499999999999</v>
      </c>
      <c r="I3842" s="501">
        <v>89</v>
      </c>
      <c r="J3842" s="501">
        <v>48</v>
      </c>
      <c r="K3842" s="501">
        <v>38</v>
      </c>
      <c r="L3842" s="501">
        <v>1</v>
      </c>
      <c r="M3842" s="667" t="s">
        <v>137</v>
      </c>
      <c r="N3842" s="668">
        <v>43013538700000</v>
      </c>
      <c r="O3842" s="501" t="s">
        <v>4498</v>
      </c>
      <c r="P3842" s="501" t="str">
        <f t="shared" si="2"/>
        <v>1722122South-Right2</v>
      </c>
      <c r="Q3842" s="501" t="s">
        <v>4497</v>
      </c>
      <c r="R3842" s="564">
        <v>2</v>
      </c>
    </row>
    <row r="3843" spans="1:18" x14ac:dyDescent="0.25">
      <c r="A3843" s="501">
        <v>20</v>
      </c>
      <c r="B3843" s="501">
        <v>2</v>
      </c>
      <c r="C3843" s="501">
        <v>2</v>
      </c>
      <c r="D3843" s="501">
        <v>1</v>
      </c>
      <c r="E3843" s="501">
        <v>2</v>
      </c>
      <c r="F3843" s="501">
        <v>2</v>
      </c>
      <c r="G3843" s="522" t="s">
        <v>473</v>
      </c>
      <c r="H3843" s="501">
        <v>1319.58</v>
      </c>
      <c r="I3843" s="501">
        <v>0</v>
      </c>
      <c r="J3843" s="501">
        <v>6</v>
      </c>
      <c r="K3843" s="501">
        <v>15</v>
      </c>
      <c r="L3843" s="501">
        <v>4</v>
      </c>
      <c r="M3843" s="667" t="s">
        <v>137</v>
      </c>
      <c r="N3843" s="668">
        <v>43013538700000</v>
      </c>
      <c r="O3843" s="501" t="s">
        <v>4498</v>
      </c>
      <c r="P3843" s="501" t="str">
        <f t="shared" si="2"/>
        <v>2022122West-Up2</v>
      </c>
      <c r="Q3843" s="670" t="s">
        <v>4497</v>
      </c>
      <c r="R3843" s="564">
        <v>1</v>
      </c>
    </row>
    <row r="3844" spans="1:18" x14ac:dyDescent="0.25">
      <c r="A3844" s="501">
        <v>20</v>
      </c>
      <c r="B3844" s="501">
        <v>2</v>
      </c>
      <c r="C3844" s="501">
        <v>2</v>
      </c>
      <c r="D3844" s="501">
        <v>1</v>
      </c>
      <c r="E3844" s="501">
        <v>2</v>
      </c>
      <c r="F3844" s="501">
        <v>2</v>
      </c>
      <c r="G3844" s="523" t="s">
        <v>476</v>
      </c>
      <c r="H3844" s="501">
        <v>1319.58</v>
      </c>
      <c r="I3844" s="501">
        <v>0</v>
      </c>
      <c r="J3844" s="501">
        <v>6</v>
      </c>
      <c r="K3844" s="501">
        <v>15</v>
      </c>
      <c r="L3844" s="501">
        <v>4</v>
      </c>
      <c r="M3844" s="667" t="s">
        <v>137</v>
      </c>
      <c r="N3844" s="668">
        <v>43013538700000</v>
      </c>
      <c r="O3844" s="501" t="s">
        <v>4498</v>
      </c>
      <c r="P3844" s="501" t="str">
        <f t="shared" si="2"/>
        <v>2022122West-Up1</v>
      </c>
      <c r="Q3844" s="501" t="s">
        <v>4497</v>
      </c>
      <c r="R3844" s="564">
        <v>1</v>
      </c>
    </row>
    <row r="3845" spans="1:18" x14ac:dyDescent="0.25">
      <c r="A3845" s="501">
        <v>20</v>
      </c>
      <c r="B3845" s="501">
        <v>2</v>
      </c>
      <c r="C3845" s="501">
        <v>2</v>
      </c>
      <c r="D3845" s="501">
        <v>1</v>
      </c>
      <c r="E3845" s="501">
        <v>2</v>
      </c>
      <c r="F3845" s="501">
        <v>2</v>
      </c>
      <c r="G3845" s="522" t="s">
        <v>478</v>
      </c>
      <c r="H3845" s="501">
        <v>1319.58</v>
      </c>
      <c r="I3845" s="501">
        <v>0</v>
      </c>
      <c r="J3845" s="501">
        <v>6</v>
      </c>
      <c r="K3845" s="501">
        <v>15</v>
      </c>
      <c r="L3845" s="501">
        <v>4</v>
      </c>
      <c r="M3845" s="667" t="s">
        <v>137</v>
      </c>
      <c r="N3845" s="668">
        <v>43013538700000</v>
      </c>
      <c r="O3845" s="501" t="s">
        <v>4498</v>
      </c>
      <c r="P3845" s="501" t="str">
        <f t="shared" si="2"/>
        <v>2022122West-Down1</v>
      </c>
      <c r="Q3845" s="670" t="s">
        <v>4497</v>
      </c>
      <c r="R3845" s="564">
        <v>1</v>
      </c>
    </row>
    <row r="3846" spans="1:18" x14ac:dyDescent="0.25">
      <c r="A3846" s="501">
        <v>20</v>
      </c>
      <c r="B3846" s="501">
        <v>2</v>
      </c>
      <c r="C3846" s="501">
        <v>2</v>
      </c>
      <c r="D3846" s="501">
        <v>1</v>
      </c>
      <c r="E3846" s="501">
        <v>2</v>
      </c>
      <c r="F3846" s="501">
        <v>2</v>
      </c>
      <c r="G3846" s="522" t="s">
        <v>484</v>
      </c>
      <c r="H3846" s="501">
        <v>1319.58</v>
      </c>
      <c r="I3846" s="501">
        <v>0</v>
      </c>
      <c r="J3846" s="501">
        <v>6</v>
      </c>
      <c r="K3846" s="501">
        <v>15</v>
      </c>
      <c r="L3846" s="501">
        <v>4</v>
      </c>
      <c r="M3846" s="667" t="s">
        <v>137</v>
      </c>
      <c r="N3846" s="668">
        <v>43013538700000</v>
      </c>
      <c r="O3846" s="501" t="s">
        <v>4498</v>
      </c>
      <c r="P3846" s="501" t="str">
        <f t="shared" si="2"/>
        <v>2022122West-Down2</v>
      </c>
      <c r="Q3846" s="501" t="s">
        <v>4497</v>
      </c>
      <c r="R3846" s="564">
        <v>1</v>
      </c>
    </row>
    <row r="3847" spans="1:18" x14ac:dyDescent="0.25">
      <c r="A3847" s="501">
        <v>20</v>
      </c>
      <c r="B3847" s="501">
        <v>2</v>
      </c>
      <c r="C3847" s="501">
        <v>2</v>
      </c>
      <c r="D3847" s="501">
        <v>1</v>
      </c>
      <c r="E3847" s="501">
        <v>2</v>
      </c>
      <c r="F3847" s="501">
        <v>2</v>
      </c>
      <c r="G3847" s="522" t="s">
        <v>486</v>
      </c>
      <c r="H3847" s="501">
        <v>0</v>
      </c>
      <c r="I3847" s="501">
        <v>0</v>
      </c>
      <c r="J3847" s="501">
        <v>0</v>
      </c>
      <c r="K3847" s="501">
        <v>0</v>
      </c>
      <c r="L3847" s="501">
        <v>0</v>
      </c>
      <c r="M3847" s="667" t="s">
        <v>137</v>
      </c>
      <c r="N3847" s="668">
        <v>43013538700000</v>
      </c>
      <c r="O3847" s="501" t="s">
        <v>4498</v>
      </c>
      <c r="P3847" s="501" t="str">
        <f t="shared" si="2"/>
        <v>2022122East-Up2</v>
      </c>
      <c r="Q3847" s="670" t="s">
        <v>4497</v>
      </c>
      <c r="R3847" s="564">
        <v>1</v>
      </c>
    </row>
    <row r="3848" spans="1:18" x14ac:dyDescent="0.25">
      <c r="A3848" s="501">
        <v>20</v>
      </c>
      <c r="B3848" s="501">
        <v>2</v>
      </c>
      <c r="C3848" s="501">
        <v>2</v>
      </c>
      <c r="D3848" s="501">
        <v>1</v>
      </c>
      <c r="E3848" s="501">
        <v>2</v>
      </c>
      <c r="F3848" s="501">
        <v>2</v>
      </c>
      <c r="G3848" s="523" t="s">
        <v>488</v>
      </c>
      <c r="H3848" s="501">
        <v>2636.48</v>
      </c>
      <c r="I3848" s="501">
        <v>0</v>
      </c>
      <c r="J3848" s="501">
        <v>19</v>
      </c>
      <c r="K3848" s="501">
        <v>41</v>
      </c>
      <c r="L3848" s="501">
        <v>4</v>
      </c>
      <c r="M3848" s="667" t="s">
        <v>137</v>
      </c>
      <c r="N3848" s="668">
        <v>43013538700000</v>
      </c>
      <c r="O3848" s="501" t="s">
        <v>4498</v>
      </c>
      <c r="P3848" s="501" t="str">
        <f t="shared" si="2"/>
        <v>2022122East-Up1</v>
      </c>
      <c r="Q3848" s="501" t="s">
        <v>4497</v>
      </c>
      <c r="R3848" s="564">
        <v>1</v>
      </c>
    </row>
    <row r="3849" spans="1:18" x14ac:dyDescent="0.25">
      <c r="A3849" s="501">
        <v>20</v>
      </c>
      <c r="B3849" s="501">
        <v>2</v>
      </c>
      <c r="C3849" s="501">
        <v>2</v>
      </c>
      <c r="D3849" s="501">
        <v>1</v>
      </c>
      <c r="E3849" s="501">
        <v>2</v>
      </c>
      <c r="F3849" s="501">
        <v>2</v>
      </c>
      <c r="G3849" s="522" t="s">
        <v>490</v>
      </c>
      <c r="H3849" s="501">
        <v>1318.14</v>
      </c>
      <c r="I3849" s="501">
        <v>0</v>
      </c>
      <c r="J3849" s="501">
        <v>20</v>
      </c>
      <c r="K3849" s="501">
        <v>3</v>
      </c>
      <c r="L3849" s="501">
        <v>4</v>
      </c>
      <c r="M3849" s="667" t="s">
        <v>137</v>
      </c>
      <c r="N3849" s="668">
        <v>43013538700000</v>
      </c>
      <c r="O3849" s="501" t="s">
        <v>4498</v>
      </c>
      <c r="P3849" s="501" t="str">
        <f t="shared" si="2"/>
        <v>2022122East-Down1</v>
      </c>
      <c r="Q3849" s="670" t="s">
        <v>4497</v>
      </c>
      <c r="R3849" s="564">
        <v>1</v>
      </c>
    </row>
    <row r="3850" spans="1:18" x14ac:dyDescent="0.25">
      <c r="A3850" s="501">
        <v>20</v>
      </c>
      <c r="B3850" s="501">
        <v>2</v>
      </c>
      <c r="C3850" s="501">
        <v>2</v>
      </c>
      <c r="D3850" s="501">
        <v>1</v>
      </c>
      <c r="E3850" s="501">
        <v>2</v>
      </c>
      <c r="F3850" s="501">
        <v>2</v>
      </c>
      <c r="G3850" s="522" t="s">
        <v>493</v>
      </c>
      <c r="H3850" s="501">
        <v>1318.14</v>
      </c>
      <c r="I3850" s="501">
        <v>0</v>
      </c>
      <c r="J3850" s="501">
        <v>20</v>
      </c>
      <c r="K3850" s="501">
        <v>3</v>
      </c>
      <c r="L3850" s="501">
        <v>4</v>
      </c>
      <c r="M3850" s="667" t="s">
        <v>137</v>
      </c>
      <c r="N3850" s="668">
        <v>43013538700000</v>
      </c>
      <c r="O3850" s="501" t="s">
        <v>4498</v>
      </c>
      <c r="P3850" s="501" t="str">
        <f t="shared" si="2"/>
        <v>2022122East-Down2</v>
      </c>
      <c r="Q3850" s="501" t="s">
        <v>4497</v>
      </c>
      <c r="R3850" s="564">
        <v>1</v>
      </c>
    </row>
    <row r="3851" spans="1:18" x14ac:dyDescent="0.25">
      <c r="A3851" s="501">
        <v>20</v>
      </c>
      <c r="B3851" s="501">
        <v>2</v>
      </c>
      <c r="C3851" s="501">
        <v>2</v>
      </c>
      <c r="D3851" s="501">
        <v>1</v>
      </c>
      <c r="E3851" s="501">
        <v>2</v>
      </c>
      <c r="F3851" s="501">
        <v>2</v>
      </c>
      <c r="G3851" s="522" t="s">
        <v>474</v>
      </c>
      <c r="H3851" s="501">
        <v>1320.61</v>
      </c>
      <c r="I3851" s="501">
        <v>89</v>
      </c>
      <c r="J3851" s="501">
        <v>50</v>
      </c>
      <c r="K3851" s="501">
        <v>1</v>
      </c>
      <c r="L3851" s="501">
        <v>1</v>
      </c>
      <c r="M3851" s="667" t="s">
        <v>137</v>
      </c>
      <c r="N3851" s="668">
        <v>43013538700000</v>
      </c>
      <c r="O3851" s="501" t="s">
        <v>4498</v>
      </c>
      <c r="P3851" s="501" t="str">
        <f t="shared" si="2"/>
        <v>2022122North-Left2</v>
      </c>
      <c r="Q3851" s="670" t="s">
        <v>4497</v>
      </c>
      <c r="R3851" s="564">
        <v>1</v>
      </c>
    </row>
    <row r="3852" spans="1:18" x14ac:dyDescent="0.25">
      <c r="A3852" s="501">
        <v>20</v>
      </c>
      <c r="B3852" s="501">
        <v>2</v>
      </c>
      <c r="C3852" s="501">
        <v>2</v>
      </c>
      <c r="D3852" s="501">
        <v>1</v>
      </c>
      <c r="E3852" s="501">
        <v>2</v>
      </c>
      <c r="F3852" s="501">
        <v>2</v>
      </c>
      <c r="G3852" s="523" t="s">
        <v>477</v>
      </c>
      <c r="H3852" s="501">
        <v>1315.8</v>
      </c>
      <c r="I3852" s="501">
        <v>89</v>
      </c>
      <c r="J3852" s="501">
        <v>49</v>
      </c>
      <c r="K3852" s="501">
        <v>47</v>
      </c>
      <c r="L3852" s="501">
        <v>1</v>
      </c>
      <c r="M3852" s="667" t="s">
        <v>137</v>
      </c>
      <c r="N3852" s="668">
        <v>43013538700000</v>
      </c>
      <c r="O3852" s="501" t="s">
        <v>4498</v>
      </c>
      <c r="P3852" s="501" t="str">
        <f t="shared" si="2"/>
        <v>2022122North-Left1</v>
      </c>
      <c r="Q3852" s="501" t="s">
        <v>4497</v>
      </c>
      <c r="R3852" s="564">
        <v>1</v>
      </c>
    </row>
    <row r="3853" spans="1:18" x14ac:dyDescent="0.25">
      <c r="A3853" s="501">
        <v>20</v>
      </c>
      <c r="B3853" s="501">
        <v>2</v>
      </c>
      <c r="C3853" s="501">
        <v>2</v>
      </c>
      <c r="D3853" s="501">
        <v>1</v>
      </c>
      <c r="E3853" s="501">
        <v>2</v>
      </c>
      <c r="F3853" s="501">
        <v>2</v>
      </c>
      <c r="G3853" s="522" t="s">
        <v>479</v>
      </c>
      <c r="H3853" s="501">
        <v>1307.95</v>
      </c>
      <c r="I3853" s="501">
        <v>89</v>
      </c>
      <c r="J3853" s="501">
        <v>48</v>
      </c>
      <c r="K3853" s="501">
        <v>27</v>
      </c>
      <c r="L3853" s="501">
        <v>1</v>
      </c>
      <c r="M3853" s="667" t="s">
        <v>137</v>
      </c>
      <c r="N3853" s="668">
        <v>43013538700000</v>
      </c>
      <c r="O3853" s="501" t="s">
        <v>4498</v>
      </c>
      <c r="P3853" s="501" t="str">
        <f t="shared" si="2"/>
        <v>2022122North-Right1</v>
      </c>
      <c r="Q3853" s="670" t="s">
        <v>4497</v>
      </c>
      <c r="R3853" s="564">
        <v>1</v>
      </c>
    </row>
    <row r="3854" spans="1:18" x14ac:dyDescent="0.25">
      <c r="A3854" s="501">
        <v>20</v>
      </c>
      <c r="B3854" s="501">
        <v>2</v>
      </c>
      <c r="C3854" s="501">
        <v>2</v>
      </c>
      <c r="D3854" s="501">
        <v>1</v>
      </c>
      <c r="E3854" s="501">
        <v>2</v>
      </c>
      <c r="F3854" s="501">
        <v>2</v>
      </c>
      <c r="G3854" s="522" t="s">
        <v>485</v>
      </c>
      <c r="H3854" s="501">
        <v>1307.8499999999999</v>
      </c>
      <c r="I3854" s="501">
        <v>89</v>
      </c>
      <c r="J3854" s="501">
        <v>48</v>
      </c>
      <c r="K3854" s="501">
        <v>38</v>
      </c>
      <c r="L3854" s="501">
        <v>1</v>
      </c>
      <c r="M3854" s="667" t="s">
        <v>137</v>
      </c>
      <c r="N3854" s="668">
        <v>43013538700000</v>
      </c>
      <c r="O3854" s="501" t="s">
        <v>4498</v>
      </c>
      <c r="P3854" s="501" t="str">
        <f t="shared" si="2"/>
        <v>2022122North-Right2</v>
      </c>
      <c r="Q3854" s="501" t="s">
        <v>4497</v>
      </c>
      <c r="R3854" s="564">
        <v>1</v>
      </c>
    </row>
    <row r="3855" spans="1:18" x14ac:dyDescent="0.25">
      <c r="A3855" s="501">
        <v>20</v>
      </c>
      <c r="B3855" s="501">
        <v>2</v>
      </c>
      <c r="C3855" s="501">
        <v>2</v>
      </c>
      <c r="D3855" s="501">
        <v>1</v>
      </c>
      <c r="E3855" s="501">
        <v>2</v>
      </c>
      <c r="F3855" s="501">
        <v>2</v>
      </c>
      <c r="G3855" s="522" t="s">
        <v>487</v>
      </c>
      <c r="H3855" s="501">
        <v>1319.15</v>
      </c>
      <c r="I3855" s="501">
        <v>89</v>
      </c>
      <c r="J3855" s="501">
        <v>45</v>
      </c>
      <c r="K3855" s="501">
        <v>45</v>
      </c>
      <c r="L3855" s="501">
        <v>4</v>
      </c>
      <c r="M3855" s="667" t="s">
        <v>137</v>
      </c>
      <c r="N3855" s="668">
        <v>43013538700000</v>
      </c>
      <c r="O3855" s="501" t="s">
        <v>4498</v>
      </c>
      <c r="P3855" s="501" t="str">
        <f t="shared" si="2"/>
        <v>2022122South-Left2</v>
      </c>
      <c r="Q3855" s="670" t="s">
        <v>4497</v>
      </c>
      <c r="R3855" s="564">
        <v>1</v>
      </c>
    </row>
    <row r="3856" spans="1:18" x14ac:dyDescent="0.25">
      <c r="A3856" s="501">
        <v>20</v>
      </c>
      <c r="B3856" s="501">
        <v>2</v>
      </c>
      <c r="C3856" s="501">
        <v>2</v>
      </c>
      <c r="D3856" s="501">
        <v>1</v>
      </c>
      <c r="E3856" s="501">
        <v>2</v>
      </c>
      <c r="F3856" s="501">
        <v>2</v>
      </c>
      <c r="G3856" s="523" t="s">
        <v>489</v>
      </c>
      <c r="H3856" s="501">
        <v>1320.7</v>
      </c>
      <c r="I3856" s="501">
        <v>89</v>
      </c>
      <c r="J3856" s="501">
        <v>55</v>
      </c>
      <c r="K3856" s="501">
        <v>38</v>
      </c>
      <c r="L3856" s="501">
        <v>4</v>
      </c>
      <c r="M3856" s="667" t="s">
        <v>137</v>
      </c>
      <c r="N3856" s="668">
        <v>43013538700000</v>
      </c>
      <c r="O3856" s="501" t="s">
        <v>4498</v>
      </c>
      <c r="P3856" s="501" t="str">
        <f t="shared" si="2"/>
        <v>2022122South-Left1</v>
      </c>
      <c r="Q3856" s="501" t="s">
        <v>4497</v>
      </c>
      <c r="R3856" s="564">
        <v>1</v>
      </c>
    </row>
    <row r="3857" spans="1:18" x14ac:dyDescent="0.25">
      <c r="A3857" s="501">
        <v>20</v>
      </c>
      <c r="B3857" s="501">
        <v>2</v>
      </c>
      <c r="C3857" s="501">
        <v>2</v>
      </c>
      <c r="D3857" s="501">
        <v>1</v>
      </c>
      <c r="E3857" s="501">
        <v>2</v>
      </c>
      <c r="F3857" s="501">
        <v>2</v>
      </c>
      <c r="G3857" s="522" t="s">
        <v>491</v>
      </c>
      <c r="H3857" s="501">
        <v>1316.9</v>
      </c>
      <c r="I3857" s="501">
        <v>89</v>
      </c>
      <c r="J3857" s="501">
        <v>54</v>
      </c>
      <c r="K3857" s="501">
        <v>8</v>
      </c>
      <c r="L3857" s="501">
        <v>4</v>
      </c>
      <c r="M3857" s="667" t="s">
        <v>137</v>
      </c>
      <c r="N3857" s="668">
        <v>43013538700000</v>
      </c>
      <c r="O3857" s="501" t="s">
        <v>4498</v>
      </c>
      <c r="P3857" s="501" t="str">
        <f t="shared" si="2"/>
        <v>2022122South-Right1</v>
      </c>
      <c r="Q3857" s="670" t="s">
        <v>4497</v>
      </c>
      <c r="R3857" s="564">
        <v>1</v>
      </c>
    </row>
    <row r="3858" spans="1:18" x14ac:dyDescent="0.25">
      <c r="A3858" s="501">
        <v>20</v>
      </c>
      <c r="B3858" s="501">
        <v>2</v>
      </c>
      <c r="C3858" s="501">
        <v>2</v>
      </c>
      <c r="D3858" s="501">
        <v>1</v>
      </c>
      <c r="E3858" s="501">
        <v>2</v>
      </c>
      <c r="F3858" s="501">
        <v>2</v>
      </c>
      <c r="G3858" s="522" t="s">
        <v>494</v>
      </c>
      <c r="H3858" s="501">
        <v>1316.32</v>
      </c>
      <c r="I3858" s="501">
        <v>89</v>
      </c>
      <c r="J3858" s="501">
        <v>56</v>
      </c>
      <c r="K3858" s="501">
        <v>17</v>
      </c>
      <c r="L3858" s="501">
        <v>4</v>
      </c>
      <c r="M3858" s="667" t="s">
        <v>137</v>
      </c>
      <c r="N3858" s="668">
        <v>43013538700000</v>
      </c>
      <c r="O3858" s="501" t="s">
        <v>4498</v>
      </c>
      <c r="P3858" s="501" t="str">
        <f t="shared" si="2"/>
        <v>2022122South-Right2</v>
      </c>
      <c r="Q3858" s="501" t="s">
        <v>4497</v>
      </c>
      <c r="R3858" s="564">
        <v>1</v>
      </c>
    </row>
    <row r="3859" spans="1:18" x14ac:dyDescent="0.25">
      <c r="A3859" s="493">
        <v>14</v>
      </c>
      <c r="B3859" s="493">
        <v>2</v>
      </c>
      <c r="C3859" s="493">
        <v>2</v>
      </c>
      <c r="D3859" s="493">
        <v>2</v>
      </c>
      <c r="E3859" s="493">
        <v>2</v>
      </c>
      <c r="F3859" s="493">
        <v>2</v>
      </c>
      <c r="G3859" s="522" t="s">
        <v>473</v>
      </c>
      <c r="H3859" s="493">
        <v>0</v>
      </c>
      <c r="I3859" s="493">
        <v>0</v>
      </c>
      <c r="J3859" s="493">
        <v>0</v>
      </c>
      <c r="K3859" s="493">
        <v>0</v>
      </c>
      <c r="L3859" s="493">
        <v>0</v>
      </c>
      <c r="M3859" s="566" t="s">
        <v>312</v>
      </c>
      <c r="N3859" s="496">
        <v>43013539850000</v>
      </c>
      <c r="O3859" s="493" t="s">
        <v>4499</v>
      </c>
      <c r="P3859" s="493" t="str">
        <f t="shared" ref="P3859:P3890" si="3">A3859&amp;B3859&amp;C3859&amp;D3859&amp;E3859&amp;F3859&amp;G3859</f>
        <v>1422222West-Up2</v>
      </c>
      <c r="Q3859" s="493" t="s">
        <v>4500</v>
      </c>
      <c r="R3859" s="493">
        <v>2</v>
      </c>
    </row>
    <row r="3860" spans="1:18" x14ac:dyDescent="0.25">
      <c r="A3860" s="493">
        <v>14</v>
      </c>
      <c r="B3860" s="493">
        <v>2</v>
      </c>
      <c r="C3860" s="493">
        <v>2</v>
      </c>
      <c r="D3860" s="493">
        <v>2</v>
      </c>
      <c r="E3860" s="493">
        <v>2</v>
      </c>
      <c r="F3860" s="493">
        <v>2</v>
      </c>
      <c r="G3860" s="523" t="s">
        <v>476</v>
      </c>
      <c r="H3860" s="493">
        <v>2666.92</v>
      </c>
      <c r="I3860" s="493">
        <v>0</v>
      </c>
      <c r="J3860" s="493">
        <v>32</v>
      </c>
      <c r="K3860" s="493">
        <v>17</v>
      </c>
      <c r="L3860" s="493">
        <v>1</v>
      </c>
      <c r="M3860" s="566" t="s">
        <v>312</v>
      </c>
      <c r="N3860" s="496">
        <v>43013539850000</v>
      </c>
      <c r="O3860" s="493" t="s">
        <v>4499</v>
      </c>
      <c r="P3860" s="493" t="str">
        <f t="shared" si="3"/>
        <v>1422222West-Up1</v>
      </c>
      <c r="Q3860" s="493" t="s">
        <v>4500</v>
      </c>
      <c r="R3860" s="493">
        <v>2</v>
      </c>
    </row>
    <row r="3861" spans="1:18" x14ac:dyDescent="0.25">
      <c r="A3861" s="493">
        <v>14</v>
      </c>
      <c r="B3861" s="493">
        <v>2</v>
      </c>
      <c r="C3861" s="493">
        <v>2</v>
      </c>
      <c r="D3861" s="493">
        <v>2</v>
      </c>
      <c r="E3861" s="493">
        <v>2</v>
      </c>
      <c r="F3861" s="493">
        <v>2</v>
      </c>
      <c r="G3861" s="522" t="s">
        <v>478</v>
      </c>
      <c r="H3861" s="493">
        <v>2639.88</v>
      </c>
      <c r="I3861" s="493">
        <v>0</v>
      </c>
      <c r="J3861" s="493">
        <v>37</v>
      </c>
      <c r="K3861" s="493">
        <v>7</v>
      </c>
      <c r="L3861" s="493">
        <v>3</v>
      </c>
      <c r="M3861" s="566" t="s">
        <v>312</v>
      </c>
      <c r="N3861" s="496">
        <v>43013539850000</v>
      </c>
      <c r="O3861" s="493" t="s">
        <v>4499</v>
      </c>
      <c r="P3861" s="493" t="str">
        <f t="shared" si="3"/>
        <v>1422222West-Down1</v>
      </c>
      <c r="Q3861" s="493" t="s">
        <v>4500</v>
      </c>
      <c r="R3861" s="493">
        <v>2</v>
      </c>
    </row>
    <row r="3862" spans="1:18" x14ac:dyDescent="0.25">
      <c r="A3862" s="493">
        <v>14</v>
      </c>
      <c r="B3862" s="493">
        <v>2</v>
      </c>
      <c r="C3862" s="493">
        <v>2</v>
      </c>
      <c r="D3862" s="493">
        <v>2</v>
      </c>
      <c r="E3862" s="493">
        <v>2</v>
      </c>
      <c r="F3862" s="493">
        <v>2</v>
      </c>
      <c r="G3862" s="522" t="s">
        <v>484</v>
      </c>
      <c r="H3862" s="493">
        <v>0</v>
      </c>
      <c r="I3862" s="493">
        <v>0</v>
      </c>
      <c r="J3862" s="493">
        <v>0</v>
      </c>
      <c r="K3862" s="493">
        <v>0</v>
      </c>
      <c r="L3862" s="493">
        <v>0</v>
      </c>
      <c r="M3862" s="566" t="s">
        <v>312</v>
      </c>
      <c r="N3862" s="496">
        <v>43013539850000</v>
      </c>
      <c r="O3862" s="493" t="s">
        <v>4499</v>
      </c>
      <c r="P3862" s="493" t="str">
        <f t="shared" si="3"/>
        <v>1422222West-Down2</v>
      </c>
      <c r="Q3862" s="493" t="s">
        <v>4500</v>
      </c>
      <c r="R3862" s="493">
        <v>2</v>
      </c>
    </row>
    <row r="3863" spans="1:18" x14ac:dyDescent="0.25">
      <c r="A3863" s="493">
        <v>14</v>
      </c>
      <c r="B3863" s="493">
        <v>2</v>
      </c>
      <c r="C3863" s="493">
        <v>2</v>
      </c>
      <c r="D3863" s="493">
        <v>2</v>
      </c>
      <c r="E3863" s="493">
        <v>2</v>
      </c>
      <c r="F3863" s="493">
        <v>2</v>
      </c>
      <c r="G3863" s="522" t="s">
        <v>486</v>
      </c>
      <c r="H3863" s="493">
        <v>0</v>
      </c>
      <c r="I3863" s="493">
        <v>0</v>
      </c>
      <c r="J3863" s="493">
        <v>0</v>
      </c>
      <c r="K3863" s="493">
        <v>0</v>
      </c>
      <c r="L3863" s="493">
        <v>0</v>
      </c>
      <c r="M3863" s="566" t="s">
        <v>312</v>
      </c>
      <c r="N3863" s="496">
        <v>43013539850000</v>
      </c>
      <c r="O3863" s="493" t="s">
        <v>4499</v>
      </c>
      <c r="P3863" s="493" t="str">
        <f t="shared" si="3"/>
        <v>1422222East-Up2</v>
      </c>
      <c r="Q3863" s="493" t="s">
        <v>4500</v>
      </c>
      <c r="R3863" s="493">
        <v>2</v>
      </c>
    </row>
    <row r="3864" spans="1:18" x14ac:dyDescent="0.25">
      <c r="A3864" s="493">
        <v>14</v>
      </c>
      <c r="B3864" s="493">
        <v>2</v>
      </c>
      <c r="C3864" s="493">
        <v>2</v>
      </c>
      <c r="D3864" s="493">
        <v>2</v>
      </c>
      <c r="E3864" s="493">
        <v>2</v>
      </c>
      <c r="F3864" s="493">
        <v>2</v>
      </c>
      <c r="G3864" s="523" t="s">
        <v>488</v>
      </c>
      <c r="H3864" s="493">
        <v>2469.62</v>
      </c>
      <c r="I3864" s="493">
        <v>0</v>
      </c>
      <c r="J3864" s="493">
        <v>7</v>
      </c>
      <c r="K3864" s="493">
        <v>4</v>
      </c>
      <c r="L3864" s="493">
        <v>4</v>
      </c>
      <c r="M3864" s="566" t="s">
        <v>312</v>
      </c>
      <c r="N3864" s="496">
        <v>43013539850000</v>
      </c>
      <c r="O3864" s="493" t="s">
        <v>4499</v>
      </c>
      <c r="P3864" s="493" t="str">
        <f t="shared" si="3"/>
        <v>1422222East-Up1</v>
      </c>
      <c r="Q3864" s="493" t="s">
        <v>4500</v>
      </c>
      <c r="R3864" s="493">
        <v>2</v>
      </c>
    </row>
    <row r="3865" spans="1:18" x14ac:dyDescent="0.25">
      <c r="A3865" s="493">
        <v>14</v>
      </c>
      <c r="B3865" s="493">
        <v>2</v>
      </c>
      <c r="C3865" s="493">
        <v>2</v>
      </c>
      <c r="D3865" s="493">
        <v>2</v>
      </c>
      <c r="E3865" s="493">
        <v>2</v>
      </c>
      <c r="F3865" s="493">
        <v>2</v>
      </c>
      <c r="G3865" s="522" t="s">
        <v>490</v>
      </c>
      <c r="H3865" s="493">
        <v>2676.03</v>
      </c>
      <c r="I3865" s="493">
        <v>0</v>
      </c>
      <c r="J3865" s="493">
        <v>17</v>
      </c>
      <c r="K3865" s="493">
        <v>41</v>
      </c>
      <c r="L3865" s="493">
        <v>2</v>
      </c>
      <c r="M3865" s="566" t="s">
        <v>312</v>
      </c>
      <c r="N3865" s="496">
        <v>43013539850000</v>
      </c>
      <c r="O3865" s="493" t="s">
        <v>4499</v>
      </c>
      <c r="P3865" s="493" t="str">
        <f t="shared" si="3"/>
        <v>1422222East-Down1</v>
      </c>
      <c r="Q3865" s="493" t="s">
        <v>4500</v>
      </c>
      <c r="R3865" s="493">
        <v>2</v>
      </c>
    </row>
    <row r="3866" spans="1:18" x14ac:dyDescent="0.25">
      <c r="A3866" s="493">
        <v>14</v>
      </c>
      <c r="B3866" s="493">
        <v>2</v>
      </c>
      <c r="C3866" s="493">
        <v>2</v>
      </c>
      <c r="D3866" s="493">
        <v>2</v>
      </c>
      <c r="E3866" s="493">
        <v>2</v>
      </c>
      <c r="F3866" s="493">
        <v>2</v>
      </c>
      <c r="G3866" s="522" t="s">
        <v>493</v>
      </c>
      <c r="H3866" s="493">
        <v>0</v>
      </c>
      <c r="I3866" s="493">
        <v>0</v>
      </c>
      <c r="J3866" s="493">
        <v>0</v>
      </c>
      <c r="K3866" s="493">
        <v>0</v>
      </c>
      <c r="L3866" s="493">
        <v>0</v>
      </c>
      <c r="M3866" s="566" t="s">
        <v>312</v>
      </c>
      <c r="N3866" s="496">
        <v>43013539850000</v>
      </c>
      <c r="O3866" s="493" t="s">
        <v>4499</v>
      </c>
      <c r="P3866" s="493" t="str">
        <f t="shared" si="3"/>
        <v>1422222East-Down2</v>
      </c>
      <c r="Q3866" s="493" t="s">
        <v>4500</v>
      </c>
      <c r="R3866" s="493">
        <v>2</v>
      </c>
    </row>
    <row r="3867" spans="1:18" x14ac:dyDescent="0.25">
      <c r="A3867" s="493">
        <v>14</v>
      </c>
      <c r="B3867" s="493">
        <v>2</v>
      </c>
      <c r="C3867" s="493">
        <v>2</v>
      </c>
      <c r="D3867" s="493">
        <v>2</v>
      </c>
      <c r="E3867" s="493">
        <v>2</v>
      </c>
      <c r="F3867" s="493">
        <v>2</v>
      </c>
      <c r="G3867" s="522" t="s">
        <v>474</v>
      </c>
      <c r="H3867" s="493">
        <v>0</v>
      </c>
      <c r="I3867" s="493">
        <v>0</v>
      </c>
      <c r="J3867" s="493">
        <v>0</v>
      </c>
      <c r="K3867" s="493">
        <v>0</v>
      </c>
      <c r="L3867" s="493">
        <v>0</v>
      </c>
      <c r="M3867" s="566" t="s">
        <v>312</v>
      </c>
      <c r="N3867" s="496">
        <v>43013539850000</v>
      </c>
      <c r="O3867" s="493" t="s">
        <v>4499</v>
      </c>
      <c r="P3867" s="493" t="str">
        <f t="shared" si="3"/>
        <v>1422222North-Left2</v>
      </c>
      <c r="Q3867" s="493" t="s">
        <v>4500</v>
      </c>
      <c r="R3867" s="493">
        <v>2</v>
      </c>
    </row>
    <row r="3868" spans="1:18" x14ac:dyDescent="0.25">
      <c r="A3868" s="493">
        <v>14</v>
      </c>
      <c r="B3868" s="493">
        <v>2</v>
      </c>
      <c r="C3868" s="493">
        <v>2</v>
      </c>
      <c r="D3868" s="493">
        <v>2</v>
      </c>
      <c r="E3868" s="493">
        <v>2</v>
      </c>
      <c r="F3868" s="493">
        <v>2</v>
      </c>
      <c r="G3868" s="523" t="s">
        <v>477</v>
      </c>
      <c r="H3868" s="493">
        <v>2646.55</v>
      </c>
      <c r="I3868" s="493">
        <v>89</v>
      </c>
      <c r="J3868" s="493">
        <v>42</v>
      </c>
      <c r="K3868" s="493">
        <v>42</v>
      </c>
      <c r="L3868" s="493">
        <v>3</v>
      </c>
      <c r="M3868" s="566" t="s">
        <v>312</v>
      </c>
      <c r="N3868" s="496">
        <v>43013539850000</v>
      </c>
      <c r="O3868" s="493" t="s">
        <v>4499</v>
      </c>
      <c r="P3868" s="493" t="str">
        <f t="shared" si="3"/>
        <v>1422222North-Left1</v>
      </c>
      <c r="Q3868" s="493" t="s">
        <v>4500</v>
      </c>
      <c r="R3868" s="493">
        <v>2</v>
      </c>
    </row>
    <row r="3869" spans="1:18" x14ac:dyDescent="0.25">
      <c r="A3869" s="493">
        <v>14</v>
      </c>
      <c r="B3869" s="493">
        <v>2</v>
      </c>
      <c r="C3869" s="493">
        <v>2</v>
      </c>
      <c r="D3869" s="493">
        <v>2</v>
      </c>
      <c r="E3869" s="493">
        <v>2</v>
      </c>
      <c r="F3869" s="493">
        <v>2</v>
      </c>
      <c r="G3869" s="522" t="s">
        <v>479</v>
      </c>
      <c r="H3869" s="493">
        <v>2642.29</v>
      </c>
      <c r="I3869" s="493">
        <v>89</v>
      </c>
      <c r="J3869" s="493">
        <v>45</v>
      </c>
      <c r="K3869" s="493">
        <v>6</v>
      </c>
      <c r="L3869" s="493">
        <v>2</v>
      </c>
      <c r="M3869" s="566" t="s">
        <v>312</v>
      </c>
      <c r="N3869" s="496">
        <v>43013539850000</v>
      </c>
      <c r="O3869" s="493" t="s">
        <v>4499</v>
      </c>
      <c r="P3869" s="493" t="str">
        <f t="shared" si="3"/>
        <v>1422222North-Right1</v>
      </c>
      <c r="Q3869" s="493" t="s">
        <v>4500</v>
      </c>
      <c r="R3869" s="493">
        <v>2</v>
      </c>
    </row>
    <row r="3870" spans="1:18" x14ac:dyDescent="0.25">
      <c r="A3870" s="493">
        <v>14</v>
      </c>
      <c r="B3870" s="493">
        <v>2</v>
      </c>
      <c r="C3870" s="493">
        <v>2</v>
      </c>
      <c r="D3870" s="493">
        <v>2</v>
      </c>
      <c r="E3870" s="493">
        <v>2</v>
      </c>
      <c r="F3870" s="493">
        <v>2</v>
      </c>
      <c r="G3870" s="522" t="s">
        <v>485</v>
      </c>
      <c r="H3870" s="493">
        <v>0</v>
      </c>
      <c r="I3870" s="493">
        <v>0</v>
      </c>
      <c r="J3870" s="493">
        <v>0</v>
      </c>
      <c r="K3870" s="493">
        <v>0</v>
      </c>
      <c r="L3870" s="493">
        <v>0</v>
      </c>
      <c r="M3870" s="566" t="s">
        <v>312</v>
      </c>
      <c r="N3870" s="496">
        <v>43013539850000</v>
      </c>
      <c r="O3870" s="493" t="s">
        <v>4499</v>
      </c>
      <c r="P3870" s="493" t="str">
        <f t="shared" si="3"/>
        <v>1422222North-Right2</v>
      </c>
      <c r="Q3870" s="493" t="s">
        <v>4500</v>
      </c>
      <c r="R3870" s="493">
        <v>2</v>
      </c>
    </row>
    <row r="3871" spans="1:18" x14ac:dyDescent="0.25">
      <c r="A3871" s="493">
        <v>14</v>
      </c>
      <c r="B3871" s="493">
        <v>2</v>
      </c>
      <c r="C3871" s="493">
        <v>2</v>
      </c>
      <c r="D3871" s="493">
        <v>2</v>
      </c>
      <c r="E3871" s="493">
        <v>2</v>
      </c>
      <c r="F3871" s="493">
        <v>2</v>
      </c>
      <c r="G3871" s="522" t="s">
        <v>487</v>
      </c>
      <c r="H3871" s="493">
        <v>0</v>
      </c>
      <c r="I3871" s="493">
        <v>0</v>
      </c>
      <c r="J3871" s="493">
        <v>0</v>
      </c>
      <c r="K3871" s="493">
        <v>0</v>
      </c>
      <c r="L3871" s="493">
        <v>0</v>
      </c>
      <c r="M3871" s="566" t="s">
        <v>312</v>
      </c>
      <c r="N3871" s="496">
        <v>43013539850000</v>
      </c>
      <c r="O3871" s="493" t="s">
        <v>4499</v>
      </c>
      <c r="P3871" s="493" t="str">
        <f t="shared" si="3"/>
        <v>1422222South-Left2</v>
      </c>
      <c r="Q3871" s="493" t="s">
        <v>4500</v>
      </c>
      <c r="R3871" s="493">
        <v>2</v>
      </c>
    </row>
    <row r="3872" spans="1:18" x14ac:dyDescent="0.25">
      <c r="A3872" s="493">
        <v>14</v>
      </c>
      <c r="B3872" s="493">
        <v>2</v>
      </c>
      <c r="C3872" s="493">
        <v>2</v>
      </c>
      <c r="D3872" s="493">
        <v>2</v>
      </c>
      <c r="E3872" s="493">
        <v>2</v>
      </c>
      <c r="F3872" s="493">
        <v>2</v>
      </c>
      <c r="G3872" s="523" t="s">
        <v>489</v>
      </c>
      <c r="H3872" s="493">
        <v>2648.47</v>
      </c>
      <c r="I3872" s="493">
        <v>85</v>
      </c>
      <c r="J3872" s="493">
        <v>40</v>
      </c>
      <c r="K3872" s="493">
        <v>7</v>
      </c>
      <c r="L3872" s="493">
        <v>2</v>
      </c>
      <c r="M3872" s="566" t="s">
        <v>312</v>
      </c>
      <c r="N3872" s="496">
        <v>43013539850000</v>
      </c>
      <c r="O3872" s="493" t="s">
        <v>4499</v>
      </c>
      <c r="P3872" s="493" t="str">
        <f t="shared" si="3"/>
        <v>1422222South-Left1</v>
      </c>
      <c r="Q3872" s="493" t="s">
        <v>4500</v>
      </c>
      <c r="R3872" s="493">
        <v>2</v>
      </c>
    </row>
    <row r="3873" spans="1:18" x14ac:dyDescent="0.25">
      <c r="A3873" s="493">
        <v>14</v>
      </c>
      <c r="B3873" s="493">
        <v>2</v>
      </c>
      <c r="C3873" s="493">
        <v>2</v>
      </c>
      <c r="D3873" s="493">
        <v>2</v>
      </c>
      <c r="E3873" s="493">
        <v>2</v>
      </c>
      <c r="F3873" s="493">
        <v>2</v>
      </c>
      <c r="G3873" s="522" t="s">
        <v>491</v>
      </c>
      <c r="H3873" s="493">
        <v>2642.58</v>
      </c>
      <c r="I3873" s="493">
        <v>89</v>
      </c>
      <c r="J3873" s="493">
        <v>41</v>
      </c>
      <c r="K3873" s="493">
        <v>22</v>
      </c>
      <c r="L3873" s="493">
        <v>1</v>
      </c>
      <c r="M3873" s="566" t="s">
        <v>312</v>
      </c>
      <c r="N3873" s="496">
        <v>43013539850000</v>
      </c>
      <c r="O3873" s="493" t="s">
        <v>4499</v>
      </c>
      <c r="P3873" s="493" t="str">
        <f t="shared" si="3"/>
        <v>1422222South-Right1</v>
      </c>
      <c r="Q3873" s="493" t="s">
        <v>4500</v>
      </c>
      <c r="R3873" s="493">
        <v>2</v>
      </c>
    </row>
    <row r="3874" spans="1:18" x14ac:dyDescent="0.25">
      <c r="A3874" s="493">
        <v>14</v>
      </c>
      <c r="B3874" s="493">
        <v>2</v>
      </c>
      <c r="C3874" s="493">
        <v>2</v>
      </c>
      <c r="D3874" s="493">
        <v>2</v>
      </c>
      <c r="E3874" s="493">
        <v>2</v>
      </c>
      <c r="F3874" s="493">
        <v>2</v>
      </c>
      <c r="G3874" s="522" t="s">
        <v>494</v>
      </c>
      <c r="H3874" s="493">
        <v>0</v>
      </c>
      <c r="I3874" s="493">
        <v>0</v>
      </c>
      <c r="J3874" s="493">
        <v>0</v>
      </c>
      <c r="K3874" s="493">
        <v>0</v>
      </c>
      <c r="L3874" s="493">
        <v>0</v>
      </c>
      <c r="M3874" s="566" t="s">
        <v>312</v>
      </c>
      <c r="N3874" s="496">
        <v>43013539850000</v>
      </c>
      <c r="O3874" s="493" t="s">
        <v>4499</v>
      </c>
      <c r="P3874" s="493" t="str">
        <f t="shared" si="3"/>
        <v>1422222South-Right2</v>
      </c>
      <c r="Q3874" s="493" t="s">
        <v>4500</v>
      </c>
      <c r="R3874" s="493">
        <v>2</v>
      </c>
    </row>
    <row r="3875" spans="1:18" x14ac:dyDescent="0.25">
      <c r="A3875" s="498">
        <v>12</v>
      </c>
      <c r="B3875" s="498">
        <v>7</v>
      </c>
      <c r="C3875" s="498">
        <v>2</v>
      </c>
      <c r="D3875" s="498">
        <v>19</v>
      </c>
      <c r="E3875" s="498">
        <v>1</v>
      </c>
      <c r="F3875" s="498">
        <v>1</v>
      </c>
      <c r="G3875" s="483" t="s">
        <v>473</v>
      </c>
      <c r="H3875" s="498">
        <v>0</v>
      </c>
      <c r="I3875" s="498">
        <v>0</v>
      </c>
      <c r="J3875" s="498">
        <v>0</v>
      </c>
      <c r="K3875" s="498">
        <v>0</v>
      </c>
      <c r="L3875" s="498">
        <v>0</v>
      </c>
      <c r="M3875" s="672" t="s">
        <v>312</v>
      </c>
      <c r="N3875" s="673">
        <v>43047563170000</v>
      </c>
      <c r="O3875" s="498" t="s">
        <v>4501</v>
      </c>
      <c r="P3875" s="498" t="str">
        <f t="shared" si="3"/>
        <v>12721911West-Up2</v>
      </c>
      <c r="Q3875" s="498" t="s">
        <v>4502</v>
      </c>
      <c r="R3875" s="498">
        <v>2</v>
      </c>
    </row>
    <row r="3876" spans="1:18" x14ac:dyDescent="0.25">
      <c r="A3876" s="498">
        <v>12</v>
      </c>
      <c r="B3876" s="498">
        <v>7</v>
      </c>
      <c r="C3876" s="498">
        <v>2</v>
      </c>
      <c r="D3876" s="498">
        <v>19</v>
      </c>
      <c r="E3876" s="498">
        <v>1</v>
      </c>
      <c r="F3876" s="498">
        <v>1</v>
      </c>
      <c r="G3876" s="472" t="s">
        <v>476</v>
      </c>
      <c r="H3876" s="498">
        <v>2107.4299999999998</v>
      </c>
      <c r="I3876" s="498">
        <v>1</v>
      </c>
      <c r="J3876" s="498">
        <v>10</v>
      </c>
      <c r="K3876" s="498">
        <v>24</v>
      </c>
      <c r="L3876" s="498">
        <v>1</v>
      </c>
      <c r="M3876" s="672" t="s">
        <v>312</v>
      </c>
      <c r="N3876" s="673">
        <v>43047563170000</v>
      </c>
      <c r="O3876" s="498" t="s">
        <v>4501</v>
      </c>
      <c r="P3876" s="498" t="str">
        <f t="shared" si="3"/>
        <v>12721911West-Up1</v>
      </c>
      <c r="Q3876" s="498" t="s">
        <v>4502</v>
      </c>
      <c r="R3876" s="498">
        <v>2</v>
      </c>
    </row>
    <row r="3877" spans="1:18" x14ac:dyDescent="0.25">
      <c r="A3877" s="498">
        <v>12</v>
      </c>
      <c r="B3877" s="498">
        <v>7</v>
      </c>
      <c r="C3877" s="498">
        <v>2</v>
      </c>
      <c r="D3877" s="498">
        <v>19</v>
      </c>
      <c r="E3877" s="498">
        <v>1</v>
      </c>
      <c r="F3877" s="498">
        <v>1</v>
      </c>
      <c r="G3877" s="483" t="s">
        <v>478</v>
      </c>
      <c r="H3877" s="498">
        <f>5280-H3876</f>
        <v>3172.57</v>
      </c>
      <c r="I3877" s="498">
        <v>1</v>
      </c>
      <c r="J3877" s="498">
        <v>10</v>
      </c>
      <c r="K3877" s="498">
        <v>24</v>
      </c>
      <c r="L3877" s="498">
        <v>1</v>
      </c>
      <c r="M3877" s="672" t="s">
        <v>312</v>
      </c>
      <c r="N3877" s="673">
        <v>43047563170000</v>
      </c>
      <c r="O3877" s="498" t="s">
        <v>4501</v>
      </c>
      <c r="P3877" s="498" t="str">
        <f t="shared" si="3"/>
        <v>12721911West-Down1</v>
      </c>
      <c r="Q3877" s="498" t="s">
        <v>4502</v>
      </c>
      <c r="R3877" s="498">
        <v>2</v>
      </c>
    </row>
    <row r="3878" spans="1:18" x14ac:dyDescent="0.25">
      <c r="A3878" s="498">
        <v>12</v>
      </c>
      <c r="B3878" s="498">
        <v>7</v>
      </c>
      <c r="C3878" s="498">
        <v>2</v>
      </c>
      <c r="D3878" s="498">
        <v>19</v>
      </c>
      <c r="E3878" s="498">
        <v>1</v>
      </c>
      <c r="F3878" s="498">
        <v>1</v>
      </c>
      <c r="G3878" s="483" t="s">
        <v>484</v>
      </c>
      <c r="H3878" s="498">
        <v>0</v>
      </c>
      <c r="I3878" s="498">
        <v>0</v>
      </c>
      <c r="J3878" s="498">
        <v>0</v>
      </c>
      <c r="K3878" s="498">
        <v>0</v>
      </c>
      <c r="L3878" s="498">
        <v>0</v>
      </c>
      <c r="M3878" s="672" t="s">
        <v>312</v>
      </c>
      <c r="N3878" s="673">
        <v>43047563170000</v>
      </c>
      <c r="O3878" s="498" t="s">
        <v>4501</v>
      </c>
      <c r="P3878" s="498" t="str">
        <f t="shared" si="3"/>
        <v>12721911West-Down2</v>
      </c>
      <c r="Q3878" s="498" t="s">
        <v>4502</v>
      </c>
      <c r="R3878" s="498">
        <v>2</v>
      </c>
    </row>
    <row r="3879" spans="1:18" x14ac:dyDescent="0.25">
      <c r="A3879" s="498">
        <v>12</v>
      </c>
      <c r="B3879" s="498">
        <v>7</v>
      </c>
      <c r="C3879" s="498">
        <v>2</v>
      </c>
      <c r="D3879" s="498">
        <v>19</v>
      </c>
      <c r="E3879" s="498">
        <v>1</v>
      </c>
      <c r="F3879" s="498">
        <v>1</v>
      </c>
      <c r="G3879" s="483" t="s">
        <v>486</v>
      </c>
      <c r="H3879" s="498">
        <v>0</v>
      </c>
      <c r="I3879" s="498">
        <v>0</v>
      </c>
      <c r="J3879" s="498">
        <v>0</v>
      </c>
      <c r="K3879" s="498">
        <v>0</v>
      </c>
      <c r="L3879" s="498">
        <v>0</v>
      </c>
      <c r="M3879" s="672" t="s">
        <v>312</v>
      </c>
      <c r="N3879" s="673">
        <v>43047563170000</v>
      </c>
      <c r="O3879" s="498" t="s">
        <v>4501</v>
      </c>
      <c r="P3879" s="498" t="str">
        <f t="shared" si="3"/>
        <v>12721911East-Up2</v>
      </c>
      <c r="Q3879" s="498" t="s">
        <v>4502</v>
      </c>
      <c r="R3879" s="498">
        <v>2</v>
      </c>
    </row>
    <row r="3880" spans="1:18" x14ac:dyDescent="0.25">
      <c r="A3880" s="498">
        <v>12</v>
      </c>
      <c r="B3880" s="498">
        <v>7</v>
      </c>
      <c r="C3880" s="498">
        <v>2</v>
      </c>
      <c r="D3880" s="498">
        <v>19</v>
      </c>
      <c r="E3880" s="498">
        <v>1</v>
      </c>
      <c r="F3880" s="498">
        <v>1</v>
      </c>
      <c r="G3880" s="472" t="s">
        <v>488</v>
      </c>
      <c r="H3880" s="498">
        <v>2663.07</v>
      </c>
      <c r="I3880" s="498">
        <v>1</v>
      </c>
      <c r="J3880" s="498">
        <v>52</v>
      </c>
      <c r="K3880" s="498">
        <v>39</v>
      </c>
      <c r="L3880" s="498">
        <v>4</v>
      </c>
      <c r="M3880" s="672" t="s">
        <v>312</v>
      </c>
      <c r="N3880" s="673">
        <v>43047563170000</v>
      </c>
      <c r="O3880" s="498" t="s">
        <v>4501</v>
      </c>
      <c r="P3880" s="498" t="str">
        <f t="shared" si="3"/>
        <v>12721911East-Up1</v>
      </c>
      <c r="Q3880" s="498" t="s">
        <v>4502</v>
      </c>
      <c r="R3880" s="498">
        <v>2</v>
      </c>
    </row>
    <row r="3881" spans="1:18" x14ac:dyDescent="0.25">
      <c r="A3881" s="498">
        <v>12</v>
      </c>
      <c r="B3881" s="498">
        <v>7</v>
      </c>
      <c r="C3881" s="498">
        <v>2</v>
      </c>
      <c r="D3881" s="498">
        <v>19</v>
      </c>
      <c r="E3881" s="498">
        <v>1</v>
      </c>
      <c r="F3881" s="498">
        <v>1</v>
      </c>
      <c r="G3881" s="483" t="s">
        <v>490</v>
      </c>
      <c r="H3881" s="498">
        <v>2651.91</v>
      </c>
      <c r="I3881" s="498">
        <v>1</v>
      </c>
      <c r="J3881" s="498">
        <v>40</v>
      </c>
      <c r="K3881" s="498">
        <v>19</v>
      </c>
      <c r="L3881" s="498">
        <v>4</v>
      </c>
      <c r="M3881" s="672" t="s">
        <v>312</v>
      </c>
      <c r="N3881" s="673">
        <v>43047563170000</v>
      </c>
      <c r="O3881" s="498" t="s">
        <v>4501</v>
      </c>
      <c r="P3881" s="498" t="str">
        <f t="shared" si="3"/>
        <v>12721911East-Down1</v>
      </c>
      <c r="Q3881" s="498" t="s">
        <v>4502</v>
      </c>
      <c r="R3881" s="498">
        <v>2</v>
      </c>
    </row>
    <row r="3882" spans="1:18" x14ac:dyDescent="0.25">
      <c r="A3882" s="498">
        <v>12</v>
      </c>
      <c r="B3882" s="498">
        <v>7</v>
      </c>
      <c r="C3882" s="498">
        <v>2</v>
      </c>
      <c r="D3882" s="498">
        <v>19</v>
      </c>
      <c r="E3882" s="498">
        <v>1</v>
      </c>
      <c r="F3882" s="498">
        <v>1</v>
      </c>
      <c r="G3882" s="483" t="s">
        <v>493</v>
      </c>
      <c r="H3882" s="498">
        <v>0</v>
      </c>
      <c r="I3882" s="498">
        <v>0</v>
      </c>
      <c r="J3882" s="498">
        <v>0</v>
      </c>
      <c r="K3882" s="498">
        <v>0</v>
      </c>
      <c r="L3882" s="498">
        <v>0</v>
      </c>
      <c r="M3882" s="672" t="s">
        <v>312</v>
      </c>
      <c r="N3882" s="673">
        <v>43047563170000</v>
      </c>
      <c r="O3882" s="498" t="s">
        <v>4501</v>
      </c>
      <c r="P3882" s="498" t="str">
        <f t="shared" si="3"/>
        <v>12721911East-Down2</v>
      </c>
      <c r="Q3882" s="498" t="s">
        <v>4502</v>
      </c>
      <c r="R3882" s="498">
        <v>2</v>
      </c>
    </row>
    <row r="3883" spans="1:18" x14ac:dyDescent="0.25">
      <c r="A3883" s="498">
        <v>12</v>
      </c>
      <c r="B3883" s="498">
        <v>7</v>
      </c>
      <c r="C3883" s="498">
        <v>2</v>
      </c>
      <c r="D3883" s="498">
        <v>19</v>
      </c>
      <c r="E3883" s="498">
        <v>1</v>
      </c>
      <c r="F3883" s="498">
        <v>1</v>
      </c>
      <c r="G3883" s="483" t="s">
        <v>474</v>
      </c>
      <c r="H3883" s="498">
        <v>1326.06</v>
      </c>
      <c r="I3883" s="498">
        <v>88</v>
      </c>
      <c r="J3883" s="498">
        <v>0</v>
      </c>
      <c r="K3883" s="498">
        <v>35</v>
      </c>
      <c r="L3883" s="498">
        <v>3</v>
      </c>
      <c r="M3883" s="672" t="s">
        <v>312</v>
      </c>
      <c r="N3883" s="673">
        <v>43047563170000</v>
      </c>
      <c r="O3883" s="498" t="s">
        <v>4501</v>
      </c>
      <c r="P3883" s="498" t="str">
        <f t="shared" si="3"/>
        <v>12721911North-Left2</v>
      </c>
      <c r="Q3883" s="498" t="s">
        <v>4502</v>
      </c>
      <c r="R3883" s="498">
        <v>2</v>
      </c>
    </row>
    <row r="3884" spans="1:18" x14ac:dyDescent="0.25">
      <c r="A3884" s="498">
        <v>12</v>
      </c>
      <c r="B3884" s="498">
        <v>7</v>
      </c>
      <c r="C3884" s="498">
        <v>2</v>
      </c>
      <c r="D3884" s="498">
        <v>19</v>
      </c>
      <c r="E3884" s="498">
        <v>1</v>
      </c>
      <c r="F3884" s="498">
        <v>1</v>
      </c>
      <c r="G3884" s="472" t="s">
        <v>477</v>
      </c>
      <c r="H3884" s="498">
        <v>1326.74</v>
      </c>
      <c r="I3884" s="498">
        <v>87</v>
      </c>
      <c r="J3884" s="498">
        <v>58</v>
      </c>
      <c r="K3884" s="498">
        <v>16</v>
      </c>
      <c r="L3884" s="498">
        <v>3</v>
      </c>
      <c r="M3884" s="672" t="s">
        <v>312</v>
      </c>
      <c r="N3884" s="673">
        <v>43047563170000</v>
      </c>
      <c r="O3884" s="498" t="s">
        <v>4501</v>
      </c>
      <c r="P3884" s="498" t="str">
        <f t="shared" si="3"/>
        <v>12721911North-Left1</v>
      </c>
      <c r="Q3884" s="498" t="s">
        <v>4502</v>
      </c>
      <c r="R3884" s="498">
        <v>2</v>
      </c>
    </row>
    <row r="3885" spans="1:18" x14ac:dyDescent="0.25">
      <c r="A3885" s="498">
        <v>12</v>
      </c>
      <c r="B3885" s="498">
        <v>7</v>
      </c>
      <c r="C3885" s="498">
        <v>2</v>
      </c>
      <c r="D3885" s="498">
        <v>19</v>
      </c>
      <c r="E3885" s="498">
        <v>1</v>
      </c>
      <c r="F3885" s="498">
        <v>1</v>
      </c>
      <c r="G3885" s="483" t="s">
        <v>479</v>
      </c>
      <c r="H3885" s="498">
        <v>1325.35</v>
      </c>
      <c r="I3885" s="498">
        <v>88</v>
      </c>
      <c r="J3885" s="498">
        <v>1</v>
      </c>
      <c r="K3885" s="498">
        <v>7</v>
      </c>
      <c r="L3885" s="498">
        <v>3</v>
      </c>
      <c r="M3885" s="672" t="s">
        <v>312</v>
      </c>
      <c r="N3885" s="673">
        <v>43047563170000</v>
      </c>
      <c r="O3885" s="498" t="s">
        <v>4501</v>
      </c>
      <c r="P3885" s="498" t="str">
        <f t="shared" si="3"/>
        <v>12721911North-Right1</v>
      </c>
      <c r="Q3885" s="498" t="s">
        <v>4502</v>
      </c>
      <c r="R3885" s="498">
        <v>2</v>
      </c>
    </row>
    <row r="3886" spans="1:18" x14ac:dyDescent="0.25">
      <c r="A3886" s="498">
        <v>12</v>
      </c>
      <c r="B3886" s="498">
        <v>7</v>
      </c>
      <c r="C3886" s="498">
        <v>2</v>
      </c>
      <c r="D3886" s="498">
        <v>19</v>
      </c>
      <c r="E3886" s="498">
        <v>1</v>
      </c>
      <c r="F3886" s="498">
        <v>1</v>
      </c>
      <c r="G3886" s="483" t="s">
        <v>485</v>
      </c>
      <c r="H3886" s="498">
        <v>1315.62</v>
      </c>
      <c r="I3886" s="498">
        <v>87</v>
      </c>
      <c r="J3886" s="498">
        <v>57</v>
      </c>
      <c r="K3886" s="498">
        <v>25</v>
      </c>
      <c r="L3886" s="498">
        <v>3</v>
      </c>
      <c r="M3886" s="672" t="s">
        <v>312</v>
      </c>
      <c r="N3886" s="673">
        <v>43047563170000</v>
      </c>
      <c r="O3886" s="498" t="s">
        <v>4501</v>
      </c>
      <c r="P3886" s="498" t="str">
        <f t="shared" si="3"/>
        <v>12721911North-Right2</v>
      </c>
      <c r="Q3886" s="498" t="s">
        <v>4502</v>
      </c>
      <c r="R3886" s="498">
        <v>2</v>
      </c>
    </row>
    <row r="3887" spans="1:18" x14ac:dyDescent="0.25">
      <c r="A3887" s="498">
        <v>12</v>
      </c>
      <c r="B3887" s="498">
        <v>7</v>
      </c>
      <c r="C3887" s="498">
        <v>2</v>
      </c>
      <c r="D3887" s="498">
        <v>19</v>
      </c>
      <c r="E3887" s="498">
        <v>1</v>
      </c>
      <c r="F3887" s="498">
        <v>1</v>
      </c>
      <c r="G3887" s="483" t="s">
        <v>487</v>
      </c>
      <c r="H3887" s="498">
        <f>5280-H3888</f>
        <v>1273.7399999999998</v>
      </c>
      <c r="I3887" s="498">
        <v>88</v>
      </c>
      <c r="J3887" s="498">
        <v>50</v>
      </c>
      <c r="K3887" s="498">
        <v>4</v>
      </c>
      <c r="L3887" s="498">
        <v>3</v>
      </c>
      <c r="M3887" s="672" t="s">
        <v>312</v>
      </c>
      <c r="N3887" s="673">
        <v>43047563170000</v>
      </c>
      <c r="O3887" s="498" t="s">
        <v>4501</v>
      </c>
      <c r="P3887" s="498" t="str">
        <f t="shared" si="3"/>
        <v>12721911South-Left2</v>
      </c>
      <c r="Q3887" s="498" t="s">
        <v>4502</v>
      </c>
      <c r="R3887" s="498">
        <v>2</v>
      </c>
    </row>
    <row r="3888" spans="1:18" x14ac:dyDescent="0.25">
      <c r="A3888" s="498">
        <v>12</v>
      </c>
      <c r="B3888" s="498">
        <v>7</v>
      </c>
      <c r="C3888" s="498">
        <v>2</v>
      </c>
      <c r="D3888" s="498">
        <v>19</v>
      </c>
      <c r="E3888" s="498">
        <v>1</v>
      </c>
      <c r="F3888" s="498">
        <v>1</v>
      </c>
      <c r="G3888" s="472" t="s">
        <v>489</v>
      </c>
      <c r="H3888" s="498">
        <v>4006.26</v>
      </c>
      <c r="I3888" s="498">
        <v>88</v>
      </c>
      <c r="J3888" s="498">
        <v>50</v>
      </c>
      <c r="K3888" s="498">
        <v>4</v>
      </c>
      <c r="L3888" s="498">
        <v>3</v>
      </c>
      <c r="M3888" s="672" t="s">
        <v>312</v>
      </c>
      <c r="N3888" s="673">
        <v>43047563170000</v>
      </c>
      <c r="O3888" s="498" t="s">
        <v>4501</v>
      </c>
      <c r="P3888" s="498" t="str">
        <f t="shared" si="3"/>
        <v>12721911South-Left1</v>
      </c>
      <c r="Q3888" s="498" t="s">
        <v>4502</v>
      </c>
      <c r="R3888" s="498">
        <v>2</v>
      </c>
    </row>
    <row r="3889" spans="1:18" x14ac:dyDescent="0.25">
      <c r="A3889" s="498">
        <v>12</v>
      </c>
      <c r="B3889" s="498">
        <v>7</v>
      </c>
      <c r="C3889" s="498">
        <v>2</v>
      </c>
      <c r="D3889" s="498">
        <v>19</v>
      </c>
      <c r="E3889" s="498">
        <v>1</v>
      </c>
      <c r="F3889" s="498">
        <v>1</v>
      </c>
      <c r="G3889" s="483" t="s">
        <v>491</v>
      </c>
      <c r="H3889" s="498">
        <v>0</v>
      </c>
      <c r="I3889" s="498">
        <v>0</v>
      </c>
      <c r="J3889" s="498">
        <v>0</v>
      </c>
      <c r="K3889" s="498">
        <v>0</v>
      </c>
      <c r="L3889" s="498">
        <v>0</v>
      </c>
      <c r="M3889" s="672" t="s">
        <v>312</v>
      </c>
      <c r="N3889" s="673">
        <v>43047563170000</v>
      </c>
      <c r="O3889" s="498" t="s">
        <v>4501</v>
      </c>
      <c r="P3889" s="498" t="str">
        <f t="shared" si="3"/>
        <v>12721911South-Right1</v>
      </c>
      <c r="Q3889" s="498" t="s">
        <v>4502</v>
      </c>
      <c r="R3889" s="498">
        <v>2</v>
      </c>
    </row>
    <row r="3890" spans="1:18" x14ac:dyDescent="0.25">
      <c r="A3890" s="498">
        <v>12</v>
      </c>
      <c r="B3890" s="498">
        <v>7</v>
      </c>
      <c r="C3890" s="498">
        <v>2</v>
      </c>
      <c r="D3890" s="498">
        <v>19</v>
      </c>
      <c r="E3890" s="498">
        <v>1</v>
      </c>
      <c r="F3890" s="498">
        <v>1</v>
      </c>
      <c r="G3890" s="483" t="s">
        <v>494</v>
      </c>
      <c r="H3890" s="498">
        <v>0</v>
      </c>
      <c r="I3890" s="498">
        <v>0</v>
      </c>
      <c r="J3890" s="498">
        <v>0</v>
      </c>
      <c r="K3890" s="498">
        <v>0</v>
      </c>
      <c r="L3890" s="498">
        <v>0</v>
      </c>
      <c r="M3890" s="672" t="s">
        <v>312</v>
      </c>
      <c r="N3890" s="673">
        <v>43047563170000</v>
      </c>
      <c r="O3890" s="498" t="s">
        <v>4501</v>
      </c>
      <c r="P3890" s="498" t="str">
        <f t="shared" si="3"/>
        <v>12721911South-Right2</v>
      </c>
      <c r="Q3890" s="498" t="s">
        <v>4502</v>
      </c>
      <c r="R3890" s="498">
        <v>2</v>
      </c>
    </row>
  </sheetData>
  <autoFilter ref="A2:Q2"/>
  <conditionalFormatting sqref="A2:M2 N1:O2">
    <cfRule type="expression" dxfId="141" priority="142">
      <formula>" =MOD(ROW(),8)=0"</formula>
    </cfRule>
  </conditionalFormatting>
  <conditionalFormatting sqref="B1:M1">
    <cfRule type="expression" dxfId="140" priority="140">
      <formula>" =MOD(ROW(),8)=0"</formula>
    </cfRule>
  </conditionalFormatting>
  <conditionalFormatting sqref="A1">
    <cfRule type="expression" dxfId="139" priority="141">
      <formula>" =MOD(ROW(),8)=0"</formula>
    </cfRule>
  </conditionalFormatting>
  <conditionalFormatting sqref="M2063:N2078 A1359:O1374 A1343:N1343 A1983:N1998 M2079:M2083 M2085:M2094 N2079:N2094 N1471 A1087:O1090 A1407:M1407 M1408:M1409 A1410:M1413 A1415:M1423 M1414 N1391:O1470 A1488:O1518 A1999:O2026 A1535:O1598 J2531:O2535 A3:O7 A9:O18 M2536:O2546 N19:O126 A627:L638 M2227:O2238 A2227:L2228 A19:M110 A751:O771 A911:O958 A774:O798 A772:G773 I772:O773 A1023:O1070 A1093:O1118 A1091:G1092 I1091:O1092 A1391:G1392 I1391:M1392 A1427:M1471 I1424:M1424 A1424:G1426 M1425:M1426 A2030:O2062 I2028:O2028 M2027:O2027 A2027:G2029 M2029:O2029 A2198:O2226 A2095:O2194 A2195:G2197 M2195:O2197 H2196:L2197 A2374:G2374 M2374:O2374 A2239:O2373 A1123:O1214 A1235:O1262 A127:M610 A2375:O2530 A1295:O1342 A1232:L1233 A1231:G1231 A1234:G1234 A639:O708 A709:L718 M709:O722 A1615:O1966">
    <cfRule type="expression" dxfId="138" priority="135">
      <formula>" =MOD(ROW(),8)=0"</formula>
    </cfRule>
  </conditionalFormatting>
  <conditionalFormatting sqref="O1344 O1346 O1348 O1350 O1352 O1354 O1356 O1358">
    <cfRule type="expression" dxfId="137" priority="127">
      <formula>" =MOD(ROW(),8)=0"</formula>
    </cfRule>
  </conditionalFormatting>
  <conditionalFormatting sqref="N1263 N1265 N1267 N1269 N1271 N1273 N1275 N1277">
    <cfRule type="expression" dxfId="136" priority="126">
      <formula>" =MOD(ROW(),8)=0"</formula>
    </cfRule>
  </conditionalFormatting>
  <conditionalFormatting sqref="O1263 O1265 O1267 O1269 O1271 O1273 O1275 O1277">
    <cfRule type="expression" dxfId="135" priority="125">
      <formula>" =MOD(ROW(),8)=0"</formula>
    </cfRule>
  </conditionalFormatting>
  <conditionalFormatting sqref="O1471 O1473 O1475 O1477 O1479 O1481 O1483 O1485 O1487">
    <cfRule type="expression" dxfId="134" priority="134">
      <formula>" =MOD(ROW(),8)=0"</formula>
    </cfRule>
  </conditionalFormatting>
  <conditionalFormatting sqref="N1472 N1474 N1476 N1478 N1480 N1482 N1484 N1486">
    <cfRule type="expression" dxfId="133" priority="133">
      <formula>" =MOD(ROW(),8)=0"</formula>
    </cfRule>
  </conditionalFormatting>
  <conditionalFormatting sqref="O1472 O1474 O1476 O1478 O1480 O1482 O1484 O1486">
    <cfRule type="expression" dxfId="132" priority="132">
      <formula>" =MOD(ROW(),8)=0"</formula>
    </cfRule>
  </conditionalFormatting>
  <conditionalFormatting sqref="M960 M962 M964 M966 M968 M970 M972 M974 M976 M978 M980 M982 M984 M986 M988 M990">
    <cfRule type="expression" dxfId="131" priority="131">
      <formula>" =MOD(ROW(),8)=0"</formula>
    </cfRule>
  </conditionalFormatting>
  <conditionalFormatting sqref="M992 M994 M996 M998 M1000 M1002 M1004 M1006 M1008 M1010 M1012 M1014 M1016 M1018 M1020 M1022">
    <cfRule type="expression" dxfId="130" priority="130">
      <formula>" =MOD(ROW(),8)=0"</formula>
    </cfRule>
  </conditionalFormatting>
  <conditionalFormatting sqref="M1263:M1294">
    <cfRule type="expression" dxfId="129" priority="129">
      <formula>" =MOD(ROW(),8)=0"</formula>
    </cfRule>
  </conditionalFormatting>
  <conditionalFormatting sqref="N1344 N1346 N1348 N1350 N1352 N1354 N1356 N1358">
    <cfRule type="expression" dxfId="128" priority="128">
      <formula>" =MOD(ROW(),8)=0"</formula>
    </cfRule>
  </conditionalFormatting>
  <conditionalFormatting sqref="N1264 N1266 N1268 N1270 N1272 N1274 N1276 N1278">
    <cfRule type="expression" dxfId="127" priority="124">
      <formula>" =MOD(ROW(),8)=0"</formula>
    </cfRule>
  </conditionalFormatting>
  <conditionalFormatting sqref="O1264 O1266 O1268 O1270 O1272 O1274 O1276 O1278">
    <cfRule type="expression" dxfId="126" priority="123">
      <formula>" =MOD(ROW(),8)=0"</formula>
    </cfRule>
  </conditionalFormatting>
  <conditionalFormatting sqref="A1279:G1294">
    <cfRule type="expression" dxfId="125" priority="122">
      <formula>" =MOD(ROW(),8)=0"</formula>
    </cfRule>
  </conditionalFormatting>
  <conditionalFormatting sqref="O1279 O1281 O1283 O1285 O1287 O1289 O1291 O1293">
    <cfRule type="expression" dxfId="124" priority="119">
      <formula>" =MOD(ROW(),8)=0"</formula>
    </cfRule>
  </conditionalFormatting>
  <conditionalFormatting sqref="N1279 N1281 N1283 N1285 N1287 N1289 N1291 N1293">
    <cfRule type="expression" dxfId="123" priority="120">
      <formula>" =MOD(ROW(),8)=0"</formula>
    </cfRule>
  </conditionalFormatting>
  <conditionalFormatting sqref="A1351:L1354 H1383:L1386 H1388:L1390 M1375 O1375 A2229:G2229 A2230:L2238 A720:L721 A799:M910 A1472:M1487 N1473 N1475 N1477 N1479 N1481 N1483 N1485 N1487 A959:M959 A960:L990 M961 M963 M965 M967 M969 M971 M973 M975 M977 M979 M981 M983 M985 M987 M989 A991:M991 A992:L1022 M993 M995 M997 M999 M1001 M1003 M1005 M1007 M1009 M1011 M1013 M1015 M1017 M1019 M1021 A1071:M1086 A1119:M1122 O1215 A1345:G1350 H1345:L1346 M1345:M1358 A1263:G1266 A1344:M1344 N1345 N1347 N1349 N1351 N1353 N1355 N1357 A1267:L1278 H1279:L1279 H1282:L1283 N1279:O1279 A1395:G1398 M1395:M1398 H1396:L1396 A1408:G1409 A1414:G1414 H1408:L1408 A1399:M1406 A1394:M1394 A1519:O1519 A1599:M1614 A1967:O1982 H1285:L1294 M1377 M1379 M1381 M1383 M1385 M1387 M1389 O1377 O1379 O1381 O1383 O1385 O1387 O1389 M627 M629 M631 M633 M635 M637 M1217 M1219 O1217 O1219 A1520:L1534 M1521:O1521 M1523:O1523 M1525:O1525 M1527:O1527 M1529:O1529 M1531:O1531 M1533:O1533 N1281:O1281 N1283:O1283 N1285:O1285 N1287:O1287 N1289:O1289 N1291:O1291 N1293:O1293 A2531:F2531 A2533:C2533 A2535:C2535 A2537:C2537 A2539:C2539 A2541:C2541 A2543:C2543 A2545:C2545 J2537:L2537 H2531:H2532 J2541:L2541 H2544:H2545 J2545:L2545 H2536:H2537 H2540:H2541 E2545:F2545 E2543:F2543 E2541:F2541 E2539:F2539 E2537:F2537 E2535:F2535 E2533:F2533 D2532:D2546 A2547:F2547 A2549:F2549 A2551:F2551 A2553:F2553 A2555:F2555 A2557:F2557 A2559:F2559 A2561:F2561 H2547 J2547:L2547 A2563:F2563 A2565:F2565 A2567:F2567 A2569:F2569 A2571:F2571 A2573:F2573 A2575:F2575 A2577:F2577 H2573 J2573:L2573 H2565 J2565:L2565 H2569 J2569:L2569 H2577 J2577:L2577 A2579:F2579 H2581 J2581:L2581 A2581:F2581 A2583:F2583 A2585:F2585 A2587:F2587 A2589:F2589 A2591:F2591 A2593:F2593 B2595 B2597 B2599 B2601 B2603 B2605 B2607 B2609 B2611 B2613 B2615 B2617 B2619 B2621 B2623 B2625 A1215:M1215 A1358:L1358 I1355:L1356 A1355:G1357 A1393:G1393 M1393 A2063:L2094 A1216:L1230 M1221 M1223 M1225 M1227 M1229 M1231 M1233 O1221 O1223 O1225 O1227 O1229 O1231 O1233 A719:G719 A723:M750 A722:G722">
    <cfRule type="expression" dxfId="122" priority="139">
      <formula>" =MOD(ROW(),8)=0"</formula>
    </cfRule>
  </conditionalFormatting>
  <conditionalFormatting sqref="A1375:G1390">
    <cfRule type="expression" dxfId="121" priority="138">
      <formula>" =MOD(ROW(),8)=0"</formula>
    </cfRule>
  </conditionalFormatting>
  <conditionalFormatting sqref="O1343 O1345 O1347 O1349 O1351 O1353 O1355 O1357">
    <cfRule type="expression" dxfId="120" priority="137">
      <formula>" =MOD(ROW(),8)=0"</formula>
    </cfRule>
  </conditionalFormatting>
  <conditionalFormatting sqref="N1375 N1377 N1379 N1381 N1383 N1385 N1387 N1389">
    <cfRule type="expression" dxfId="119" priority="136">
      <formula>" =MOD(ROW(),8)=0"</formula>
    </cfRule>
  </conditionalFormatting>
  <conditionalFormatting sqref="H1280:L1281">
    <cfRule type="expression" dxfId="118" priority="121">
      <formula>" =MOD(ROW(),8)=0"</formula>
    </cfRule>
  </conditionalFormatting>
  <conditionalFormatting sqref="H1284:L1284">
    <cfRule type="expression" dxfId="117" priority="118">
      <formula>" =MOD(ROW(),8)=0"</formula>
    </cfRule>
  </conditionalFormatting>
  <conditionalFormatting sqref="M1376 O1376 M1378 M1380 M1382 M1384 M1386 M1388 M1390 O1378 O1380 O1382 O1384 O1386 O1388 O1390">
    <cfRule type="expression" dxfId="116" priority="117">
      <formula>" =MOD(ROW(),8)=0"</formula>
    </cfRule>
  </conditionalFormatting>
  <conditionalFormatting sqref="N1376 N1378 N1380 N1382 N1384 N1386 N1388 N1390">
    <cfRule type="expression" dxfId="115" priority="116">
      <formula>" =MOD(ROW(),8)=0"</formula>
    </cfRule>
  </conditionalFormatting>
  <conditionalFormatting sqref="M628 M630 M632 M634 M636 M638">
    <cfRule type="expression" dxfId="114" priority="115">
      <formula>" =MOD(ROW(),8)=0"</formula>
    </cfRule>
  </conditionalFormatting>
  <conditionalFormatting sqref="M1216 O1216 M1218 M1220 O1218 M1222 M1224 M1226 M1228 M1230 M1232 M1234">
    <cfRule type="expression" dxfId="113" priority="114">
      <formula>" =MOD(ROW(),8)=0"</formula>
    </cfRule>
  </conditionalFormatting>
  <conditionalFormatting sqref="M1520:O1520 M1522:O1522 M1524:O1524 M1526:O1526 M1528:O1528 M1530:O1530 M1532:O1532 M1534:O1534">
    <cfRule type="expression" dxfId="112" priority="113">
      <formula>" =MOD(ROW(),8)=0"</formula>
    </cfRule>
  </conditionalFormatting>
  <conditionalFormatting sqref="N723:O734">
    <cfRule type="expression" dxfId="111" priority="112">
      <formula>" =MOD(ROW(),8)=0"</formula>
    </cfRule>
  </conditionalFormatting>
  <conditionalFormatting sqref="O1280 O1282 O1284 O1286 O1288 O1290 O1292 O1294">
    <cfRule type="expression" dxfId="110" priority="109">
      <formula>" =MOD(ROW(),8)=0"</formula>
    </cfRule>
  </conditionalFormatting>
  <conditionalFormatting sqref="N1280 N1282 N1284 N1286 N1288 N1290 N1292 N1294">
    <cfRule type="expression" dxfId="109" priority="110">
      <formula>" =MOD(ROW(),8)=0"</formula>
    </cfRule>
  </conditionalFormatting>
  <conditionalFormatting sqref="N1280:O1280 N1282:O1282 N1284:O1284 N1286:O1286 N1288:O1288 N1290:O1290 N1292:O1292 N1294:O1294">
    <cfRule type="expression" dxfId="108" priority="111">
      <formula>" =MOD(ROW(),8)=0"</formula>
    </cfRule>
  </conditionalFormatting>
  <conditionalFormatting sqref="B111:M126">
    <cfRule type="expression" dxfId="107" priority="107">
      <formula>" =MOD(ROW(),8)=0"</formula>
    </cfRule>
  </conditionalFormatting>
  <conditionalFormatting sqref="A111:A126">
    <cfRule type="expression" dxfId="106" priority="108">
      <formula>" =MOD(ROW(),8)=0"</formula>
    </cfRule>
  </conditionalFormatting>
  <conditionalFormatting sqref="G2531:G2546">
    <cfRule type="expression" dxfId="105" priority="106">
      <formula>" =MOD(ROW(),8)=0"</formula>
    </cfRule>
  </conditionalFormatting>
  <conditionalFormatting sqref="A2532:C2532 A2534:C2534 A2536:C2536 A2538:C2538 A2540:C2540 A2542:C2542 A2544:C2544 A2546:C2546 E2546:F2546 E2544:F2544 E2542:F2542 E2540:F2540 E2538:F2538 E2536:F2536 E2534:F2534 E2532:F2532">
    <cfRule type="expression" dxfId="104" priority="105">
      <formula>" =MOD(ROW(),8)=0"</formula>
    </cfRule>
  </conditionalFormatting>
  <conditionalFormatting sqref="H2533">
    <cfRule type="expression" dxfId="103" priority="104">
      <formula>" =MOD(ROW(),8)=0"</formula>
    </cfRule>
  </conditionalFormatting>
  <conditionalFormatting sqref="H2534">
    <cfRule type="expression" dxfId="102" priority="103">
      <formula>" =MOD(ROW(),8)=0"</formula>
    </cfRule>
  </conditionalFormatting>
  <conditionalFormatting sqref="H2535">
    <cfRule type="expression" dxfId="101" priority="102">
      <formula>" =MOD(ROW(),8)=0"</formula>
    </cfRule>
  </conditionalFormatting>
  <conditionalFormatting sqref="J2538:L2538 H2538">
    <cfRule type="expression" dxfId="100" priority="101">
      <formula>" =MOD(ROW(),8)=0"</formula>
    </cfRule>
  </conditionalFormatting>
  <conditionalFormatting sqref="J2539:L2539 H2539">
    <cfRule type="expression" dxfId="99" priority="100">
      <formula>" =MOD(ROW(),8)=0"</formula>
    </cfRule>
  </conditionalFormatting>
  <conditionalFormatting sqref="J2542:L2542 H2542">
    <cfRule type="expression" dxfId="98" priority="99">
      <formula>" =MOD(ROW(),8)=0"</formula>
    </cfRule>
  </conditionalFormatting>
  <conditionalFormatting sqref="J2543:L2543 H2543">
    <cfRule type="expression" dxfId="97" priority="98">
      <formula>" =MOD(ROW(),8)=0"</formula>
    </cfRule>
  </conditionalFormatting>
  <conditionalFormatting sqref="J2546:L2546 H2546">
    <cfRule type="expression" dxfId="96" priority="97">
      <formula>" =MOD(ROW(),8)=0"</formula>
    </cfRule>
  </conditionalFormatting>
  <conditionalFormatting sqref="G2547:G2562">
    <cfRule type="expression" dxfId="95" priority="96">
      <formula>" =MOD(ROW(),8)=0"</formula>
    </cfRule>
  </conditionalFormatting>
  <conditionalFormatting sqref="A2548:F2548 A2550:F2550 A2552:F2552 A2554:F2554 A2556:F2556 A2558:F2558 A2560:F2560 A2562:F2562 H2548 J2548:L2548 N2548 N2550 N2552 N2554 N2556 N2558 N2560 N2562 H2552 J2552:L2552 H2556 J2556:L2556 H2560 J2560:L2560">
    <cfRule type="expression" dxfId="94" priority="95">
      <formula>" =MOD(ROW(),8)=0"</formula>
    </cfRule>
  </conditionalFormatting>
  <conditionalFormatting sqref="N2547 N2549 N2551 N2553 N2555 N2557 N2559 N2561 N2563 N2565 N2567 N2569 N2571 N2573 N2575 N2577 N2579:N2594 N2596 N2598 N2600 N2602 N2604 N2606 N2608 N2610">
    <cfRule type="expression" dxfId="93" priority="94">
      <formula>" =MOD(ROW(),8)=0"</formula>
    </cfRule>
  </conditionalFormatting>
  <conditionalFormatting sqref="H2549 J2549:L2549">
    <cfRule type="expression" dxfId="92" priority="93">
      <formula>" =MOD(ROW(),8)=0"</formula>
    </cfRule>
  </conditionalFormatting>
  <conditionalFormatting sqref="H2550 J2550:L2550">
    <cfRule type="expression" dxfId="91" priority="92">
      <formula>" =MOD(ROW(),8)=0"</formula>
    </cfRule>
  </conditionalFormatting>
  <conditionalFormatting sqref="H2551 J2551:L2551">
    <cfRule type="expression" dxfId="90" priority="91">
      <formula>" =MOD(ROW(),8)=0"</formula>
    </cfRule>
  </conditionalFormatting>
  <conditionalFormatting sqref="H2553 J2553:L2553">
    <cfRule type="expression" dxfId="89" priority="90">
      <formula>" =MOD(ROW(),8)=0"</formula>
    </cfRule>
  </conditionalFormatting>
  <conditionalFormatting sqref="H2554 J2554:L2554">
    <cfRule type="expression" dxfId="88" priority="89">
      <formula>" =MOD(ROW(),8)=0"</formula>
    </cfRule>
  </conditionalFormatting>
  <conditionalFormatting sqref="H2555 J2555:L2555">
    <cfRule type="expression" dxfId="87" priority="88">
      <formula>" =MOD(ROW(),8)=0"</formula>
    </cfRule>
  </conditionalFormatting>
  <conditionalFormatting sqref="H2557 J2557:L2557">
    <cfRule type="expression" dxfId="86" priority="87">
      <formula>" =MOD(ROW(),8)=0"</formula>
    </cfRule>
  </conditionalFormatting>
  <conditionalFormatting sqref="H2558 J2558:L2558">
    <cfRule type="expression" dxfId="85" priority="86">
      <formula>" =MOD(ROW(),8)=0"</formula>
    </cfRule>
  </conditionalFormatting>
  <conditionalFormatting sqref="H2559 J2559:L2559">
    <cfRule type="expression" dxfId="84" priority="85">
      <formula>" =MOD(ROW(),8)=0"</formula>
    </cfRule>
  </conditionalFormatting>
  <conditionalFormatting sqref="H2561 J2561:L2561">
    <cfRule type="expression" dxfId="83" priority="84">
      <formula>" =MOD(ROW(),8)=0"</formula>
    </cfRule>
  </conditionalFormatting>
  <conditionalFormatting sqref="H2562 J2562:L2562">
    <cfRule type="expression" dxfId="82" priority="83">
      <formula>" =MOD(ROW(),8)=0"</formula>
    </cfRule>
  </conditionalFormatting>
  <conditionalFormatting sqref="A8:F8 H8 J8:L8">
    <cfRule type="expression" dxfId="81" priority="82">
      <formula>" =MOD(ROW(),8)=0"</formula>
    </cfRule>
  </conditionalFormatting>
  <conditionalFormatting sqref="N8">
    <cfRule type="expression" dxfId="80" priority="81">
      <formula>" =MOD(ROW(),8)=0"</formula>
    </cfRule>
  </conditionalFormatting>
  <conditionalFormatting sqref="G8">
    <cfRule type="expression" dxfId="79" priority="80">
      <formula>" =MOD(ROW(),8)=0"</formula>
    </cfRule>
  </conditionalFormatting>
  <conditionalFormatting sqref="G2563:G2578">
    <cfRule type="expression" dxfId="78" priority="79">
      <formula>" =MOD(ROW(),8)=0"</formula>
    </cfRule>
  </conditionalFormatting>
  <conditionalFormatting sqref="A2564:F2564 A2566:F2566 A2568:F2568 A2570:F2570 A2572:F2572 A2574:F2574 A2576:F2576 A2578:F2578 H2572 J2572:L2572 H2564 J2564:L2564 H2568 J2568:L2568 H2576 J2576:L2576">
    <cfRule type="expression" dxfId="77" priority="78">
      <formula>" =MOD(ROW(),8)=0"</formula>
    </cfRule>
  </conditionalFormatting>
  <conditionalFormatting sqref="H2563 J2563:L2563">
    <cfRule type="expression" dxfId="76" priority="77">
      <formula>" =MOD(ROW(),8)=0"</formula>
    </cfRule>
  </conditionalFormatting>
  <conditionalFormatting sqref="H2566 J2566:L2566">
    <cfRule type="expression" dxfId="75" priority="76">
      <formula>" =MOD(ROW(),8)=0"</formula>
    </cfRule>
  </conditionalFormatting>
  <conditionalFormatting sqref="H2567 J2567:L2567">
    <cfRule type="expression" dxfId="74" priority="75">
      <formula>" =MOD(ROW(),8)=0"</formula>
    </cfRule>
  </conditionalFormatting>
  <conditionalFormatting sqref="H2570 J2570:L2570">
    <cfRule type="expression" dxfId="73" priority="74">
      <formula>" =MOD(ROW(),8)=0"</formula>
    </cfRule>
  </conditionalFormatting>
  <conditionalFormatting sqref="H2571 J2571:L2571">
    <cfRule type="expression" dxfId="72" priority="73">
      <formula>" =MOD(ROW(),8)=0"</formula>
    </cfRule>
  </conditionalFormatting>
  <conditionalFormatting sqref="H2574 J2574:L2574">
    <cfRule type="expression" dxfId="71" priority="72">
      <formula>" =MOD(ROW(),8)=0"</formula>
    </cfRule>
  </conditionalFormatting>
  <conditionalFormatting sqref="H2575 J2575:L2575">
    <cfRule type="expression" dxfId="70" priority="71">
      <formula>" =MOD(ROW(),8)=0"</formula>
    </cfRule>
  </conditionalFormatting>
  <conditionalFormatting sqref="H2578 J2578:L2578">
    <cfRule type="expression" dxfId="69" priority="70">
      <formula>" =MOD(ROW(),8)=0"</formula>
    </cfRule>
  </conditionalFormatting>
  <conditionalFormatting sqref="N2564 N2566 N2568 N2570 N2572 N2574 N2576 N2578">
    <cfRule type="expression" dxfId="68" priority="69">
      <formula>" =MOD(ROW(),8)=0"</formula>
    </cfRule>
  </conditionalFormatting>
  <conditionalFormatting sqref="G2579:G2594">
    <cfRule type="expression" dxfId="67" priority="68">
      <formula>" =MOD(ROW(),8)=0"</formula>
    </cfRule>
  </conditionalFormatting>
  <conditionalFormatting sqref="A2580:F2580 H2580 H2582 J2580:L2580 J2582:L2582 H2584 J2584:L2584 H2588:L2588 H2592:L2592 A2582:F2582 A2584:F2584 A2586:F2586 A2588:F2588 A2590:F2590 A2592:F2592 A2594:F2594 B2596 B2598 B2600 B2602 B2604 B2606 B2608 B2610">
    <cfRule type="expression" dxfId="66" priority="67">
      <formula>" =MOD(ROW(),8)=0"</formula>
    </cfRule>
  </conditionalFormatting>
  <conditionalFormatting sqref="H2579 J2579:L2579">
    <cfRule type="expression" dxfId="65" priority="66">
      <formula>" =MOD(ROW(),8)=0"</formula>
    </cfRule>
  </conditionalFormatting>
  <conditionalFormatting sqref="H2583 J2583:L2583">
    <cfRule type="expression" dxfId="64" priority="65">
      <formula>" =MOD(ROW(),8)=0"</formula>
    </cfRule>
  </conditionalFormatting>
  <conditionalFormatting sqref="H2585 J2585:L2585">
    <cfRule type="expression" dxfId="63" priority="64">
      <formula>" =MOD(ROW(),8)=0"</formula>
    </cfRule>
  </conditionalFormatting>
  <conditionalFormatting sqref="H2586 J2586:L2586">
    <cfRule type="expression" dxfId="62" priority="63">
      <formula>" =MOD(ROW(),8)=0"</formula>
    </cfRule>
  </conditionalFormatting>
  <conditionalFormatting sqref="H2587 J2587:L2587">
    <cfRule type="expression" dxfId="61" priority="62">
      <formula>" =MOD(ROW(),8)=0"</formula>
    </cfRule>
  </conditionalFormatting>
  <conditionalFormatting sqref="H2589 J2589:L2589">
    <cfRule type="expression" dxfId="60" priority="61">
      <formula>" =MOD(ROW(),8)=0"</formula>
    </cfRule>
  </conditionalFormatting>
  <conditionalFormatting sqref="H2590 J2590:L2590">
    <cfRule type="expression" dxfId="59" priority="60">
      <formula>" =MOD(ROW(),8)=0"</formula>
    </cfRule>
  </conditionalFormatting>
  <conditionalFormatting sqref="H2591 J2591:L2591">
    <cfRule type="expression" dxfId="58" priority="59">
      <formula>" =MOD(ROW(),8)=0"</formula>
    </cfRule>
  </conditionalFormatting>
  <conditionalFormatting sqref="H2593 J2593:L2593">
    <cfRule type="expression" dxfId="57" priority="58">
      <formula>" =MOD(ROW(),8)=0"</formula>
    </cfRule>
  </conditionalFormatting>
  <conditionalFormatting sqref="H2594 J2594:L2594">
    <cfRule type="expression" dxfId="56" priority="57">
      <formula>" =MOD(ROW(),8)=0"</formula>
    </cfRule>
  </conditionalFormatting>
  <conditionalFormatting sqref="A2595 A2597 A2599 A2601 A2603 A2605 A2607 A2609 A2611 C2609:F2609 C2607:F2607 C2605:F2605 C2603:F2603 C2601:F2601 C2599:F2599 C2597:F2597 C2595:F2595 C2611:F2611 A2613 A2615 A2617 A2619 A2621 A2623 A2625 C2613:F2613 C2615:F2615 C2617:F2617 C2619:F2619 C2621:F2621 C2623:F2623 C2625:F2625">
    <cfRule type="expression" dxfId="55" priority="56">
      <formula>" =MOD(ROW(),8)=0"</formula>
    </cfRule>
  </conditionalFormatting>
  <conditionalFormatting sqref="G2595:G2610">
    <cfRule type="expression" dxfId="54" priority="55">
      <formula>" =MOD(ROW(),8)=0"</formula>
    </cfRule>
  </conditionalFormatting>
  <conditionalFormatting sqref="A2596 A2598 A2600 A2602 A2604 A2606 A2608 A2610 C2610:F2610 C2608:F2608 C2606:F2606 C2604:F2604 C2602:F2602 C2600:F2600 C2598:F2598 C2596:F2596">
    <cfRule type="expression" dxfId="53" priority="54">
      <formula>" =MOD(ROW(),8)=0"</formula>
    </cfRule>
  </conditionalFormatting>
  <conditionalFormatting sqref="N2595 N2597 N2599 N2601 N2603 N2605 N2607 N2609">
    <cfRule type="expression" dxfId="52" priority="53">
      <formula>" =MOD(ROW(),8)=0"</formula>
    </cfRule>
  </conditionalFormatting>
  <conditionalFormatting sqref="H2595 J2595:L2595">
    <cfRule type="expression" dxfId="51" priority="52">
      <formula>" =MOD(ROW(),8)=0"</formula>
    </cfRule>
  </conditionalFormatting>
  <conditionalFormatting sqref="H2598 J2598:L2598">
    <cfRule type="expression" dxfId="50" priority="51">
      <formula>" =MOD(ROW(),8)=0"</formula>
    </cfRule>
  </conditionalFormatting>
  <conditionalFormatting sqref="H2599 J2599:L2599">
    <cfRule type="expression" dxfId="49" priority="50">
      <formula>" =MOD(ROW(),8)=0"</formula>
    </cfRule>
  </conditionalFormatting>
  <conditionalFormatting sqref="H2602 J2602:L2602">
    <cfRule type="expression" dxfId="48" priority="49">
      <formula>" =MOD(ROW(),8)=0"</formula>
    </cfRule>
  </conditionalFormatting>
  <conditionalFormatting sqref="H2603 J2603:L2603">
    <cfRule type="expression" dxfId="47" priority="48">
      <formula>" =MOD(ROW(),8)=0"</formula>
    </cfRule>
  </conditionalFormatting>
  <conditionalFormatting sqref="H2605 J2605:L2605">
    <cfRule type="expression" dxfId="46" priority="47">
      <formula>" =MOD(ROW(),8)=0"</formula>
    </cfRule>
  </conditionalFormatting>
  <conditionalFormatting sqref="H2606 J2606:L2606">
    <cfRule type="expression" dxfId="45" priority="46">
      <formula>" =MOD(ROW(),8)=0"</formula>
    </cfRule>
  </conditionalFormatting>
  <conditionalFormatting sqref="G2611:G2626">
    <cfRule type="expression" dxfId="44" priority="45">
      <formula>" =MOD(ROW(),8)=0"</formula>
    </cfRule>
  </conditionalFormatting>
  <conditionalFormatting sqref="B2612 B2614 B2616 B2618 B2620 B2622 B2624 B2626">
    <cfRule type="expression" dxfId="43" priority="44">
      <formula>" =MOD(ROW(),8)=0"</formula>
    </cfRule>
  </conditionalFormatting>
  <conditionalFormatting sqref="A2612 C2612:F2612 A2614 A2616 A2618 A2620 A2622 A2624 A2626 C2614:F2614 C2616:F2616 C2618:F2618 C2620:F2620 C2622:F2622 C2624:F2624 C2626:F2626">
    <cfRule type="expression" dxfId="42" priority="43">
      <formula>" =MOD(ROW(),8)=0"</formula>
    </cfRule>
  </conditionalFormatting>
  <conditionalFormatting sqref="N2620 N2622 N2624 N2626 N2612 N2614 N2616 N2618">
    <cfRule type="expression" dxfId="41" priority="42">
      <formula>" =MOD(ROW(),8)=0"</formula>
    </cfRule>
  </conditionalFormatting>
  <conditionalFormatting sqref="N2619 N2621 N2623 N2625 N2611 N2613 N2615 N2617">
    <cfRule type="expression" dxfId="40" priority="41">
      <formula>" =MOD(ROW(),8)=0"</formula>
    </cfRule>
  </conditionalFormatting>
  <conditionalFormatting sqref="H2622 J2622:L2622">
    <cfRule type="expression" dxfId="39" priority="40">
      <formula>" =MOD(ROW(),8)=0"</formula>
    </cfRule>
  </conditionalFormatting>
  <conditionalFormatting sqref="H2614 J2614:L2614">
    <cfRule type="expression" dxfId="38" priority="39">
      <formula>" =MOD(ROW(),8)=0"</formula>
    </cfRule>
  </conditionalFormatting>
  <conditionalFormatting sqref="H2615 J2615:L2615">
    <cfRule type="expression" dxfId="37" priority="38">
      <formula>" =MOD(ROW(),8)=0"</formula>
    </cfRule>
  </conditionalFormatting>
  <conditionalFormatting sqref="H2618 J2618:L2618">
    <cfRule type="expression" dxfId="36" priority="37">
      <formula>" =MOD(ROW(),8)=0"</formula>
    </cfRule>
  </conditionalFormatting>
  <conditionalFormatting sqref="H2623 J2623:L2623">
    <cfRule type="expression" dxfId="35" priority="36">
      <formula>" =MOD(ROW(),8)=0"</formula>
    </cfRule>
  </conditionalFormatting>
  <conditionalFormatting sqref="H2625 J2625:L2625">
    <cfRule type="expression" dxfId="34" priority="35">
      <formula>" =MOD(ROW(),8)=0"</formula>
    </cfRule>
  </conditionalFormatting>
  <conditionalFormatting sqref="H2626 J2626:L2626">
    <cfRule type="expression" dxfId="33" priority="34">
      <formula>" =MOD(ROW(),8)=0"</formula>
    </cfRule>
  </conditionalFormatting>
  <conditionalFormatting sqref="A2867:G2882">
    <cfRule type="expression" dxfId="32" priority="33">
      <formula>" =MOD(ROW(),8)=0"</formula>
    </cfRule>
  </conditionalFormatting>
  <conditionalFormatting sqref="A2883:G2898">
    <cfRule type="expression" dxfId="31" priority="32">
      <formula>" =MOD(ROW(),8)=0"</formula>
    </cfRule>
  </conditionalFormatting>
  <conditionalFormatting sqref="G2899:G2914">
    <cfRule type="expression" dxfId="30" priority="31">
      <formula>" =MOD(ROW(),8)=0"</formula>
    </cfRule>
  </conditionalFormatting>
  <conditionalFormatting sqref="G2915:G2930">
    <cfRule type="expression" dxfId="29" priority="30">
      <formula>" =MOD(ROW(),8)=0"</formula>
    </cfRule>
  </conditionalFormatting>
  <conditionalFormatting sqref="G2995:G3010">
    <cfRule type="expression" dxfId="28" priority="29">
      <formula>" =MOD(ROW(),8)=0"</formula>
    </cfRule>
  </conditionalFormatting>
  <conditionalFormatting sqref="G3011:G3026">
    <cfRule type="expression" dxfId="27" priority="28">
      <formula>" =MOD(ROW(),8)=0"</formula>
    </cfRule>
  </conditionalFormatting>
  <conditionalFormatting sqref="G3027:G3041 G3043">
    <cfRule type="expression" dxfId="26" priority="27">
      <formula>" =MOD(ROW(),8)=0"</formula>
    </cfRule>
  </conditionalFormatting>
  <conditionalFormatting sqref="G3042">
    <cfRule type="expression" dxfId="25" priority="26">
      <formula>" =MOD(ROW(),8)=0"</formula>
    </cfRule>
  </conditionalFormatting>
  <conditionalFormatting sqref="I1357:L1357">
    <cfRule type="expression" dxfId="24" priority="25">
      <formula>" =MOD(ROW(),8)=0"</formula>
    </cfRule>
  </conditionalFormatting>
  <conditionalFormatting sqref="I1393:L1393">
    <cfRule type="expression" dxfId="23" priority="24">
      <formula>" =MOD(ROW(),8)=0"</formula>
    </cfRule>
  </conditionalFormatting>
  <conditionalFormatting sqref="I1425:L1425">
    <cfRule type="expression" dxfId="22" priority="23">
      <formula>" =MOD(ROW(),8)=0"</formula>
    </cfRule>
  </conditionalFormatting>
  <conditionalFormatting sqref="I1426:L1426">
    <cfRule type="expression" dxfId="21" priority="22">
      <formula>" =MOD(ROW(),8)=0"</formula>
    </cfRule>
  </conditionalFormatting>
  <conditionalFormatting sqref="I2027:L2027">
    <cfRule type="expression" dxfId="20" priority="21">
      <formula>" =MOD(ROW(),8)=0"</formula>
    </cfRule>
  </conditionalFormatting>
  <conditionalFormatting sqref="I2029:L2029">
    <cfRule type="expression" dxfId="19" priority="20">
      <formula>" =MOD(ROW(),8)=0"</formula>
    </cfRule>
  </conditionalFormatting>
  <conditionalFormatting sqref="H2195:L2195">
    <cfRule type="expression" dxfId="18" priority="19">
      <formula>" =MOD(ROW(),8)=0"</formula>
    </cfRule>
  </conditionalFormatting>
  <conditionalFormatting sqref="G2931:G2946">
    <cfRule type="expression" dxfId="17" priority="18">
      <formula>" =MOD(ROW(),8)=0"</formula>
    </cfRule>
  </conditionalFormatting>
  <conditionalFormatting sqref="G2963:G2978">
    <cfRule type="expression" dxfId="16" priority="17">
      <formula>" =MOD(ROW(),8)=0"</formula>
    </cfRule>
  </conditionalFormatting>
  <conditionalFormatting sqref="G2979:G2994">
    <cfRule type="expression" dxfId="15" priority="16">
      <formula>" =MOD(ROW(),8)=0"</formula>
    </cfRule>
  </conditionalFormatting>
  <conditionalFormatting sqref="G2947:G2962">
    <cfRule type="expression" dxfId="14" priority="15">
      <formula>" =MOD(ROW(),8)=0"</formula>
    </cfRule>
  </conditionalFormatting>
  <conditionalFormatting sqref="A3635:O3650">
    <cfRule type="expression" dxfId="13" priority="14">
      <formula>" =MOD(ROW(),8)=0"</formula>
    </cfRule>
  </conditionalFormatting>
  <conditionalFormatting sqref="H3424:L3425">
    <cfRule type="expression" dxfId="12" priority="13">
      <formula>" =MOD(ROW(),8)=0"</formula>
    </cfRule>
  </conditionalFormatting>
  <conditionalFormatting sqref="O1220 O1222 O1224 O1226 O1228 O1230 O1232 O1234">
    <cfRule type="expression" dxfId="11" priority="12">
      <formula>" =MOD(ROW(),8)=0"</formula>
    </cfRule>
  </conditionalFormatting>
  <conditionalFormatting sqref="H1231:L1231">
    <cfRule type="expression" dxfId="10" priority="11">
      <formula>" =MOD(ROW(),8)=0"</formula>
    </cfRule>
  </conditionalFormatting>
  <conditionalFormatting sqref="H1234:L1234">
    <cfRule type="expression" dxfId="9" priority="10">
      <formula>" =MOD(ROW(),8)=0"</formula>
    </cfRule>
  </conditionalFormatting>
  <conditionalFormatting sqref="G3667:G3682">
    <cfRule type="expression" dxfId="8" priority="9">
      <formula>" =MOD(ROW(),8)=0"</formula>
    </cfRule>
  </conditionalFormatting>
  <conditionalFormatting sqref="G3699:G3714">
    <cfRule type="expression" dxfId="7" priority="8">
      <formula>" =MOD(ROW(),8)=0"</formula>
    </cfRule>
  </conditionalFormatting>
  <conditionalFormatting sqref="A611:O626">
    <cfRule type="expression" dxfId="6" priority="7">
      <formula>" =MOD(ROW(),8)=0"</formula>
    </cfRule>
  </conditionalFormatting>
  <conditionalFormatting sqref="H719:L719">
    <cfRule type="expression" dxfId="5" priority="6">
      <formula>" =MOD(ROW(),8)=0"</formula>
    </cfRule>
  </conditionalFormatting>
  <conditionalFormatting sqref="H722:L722">
    <cfRule type="expression" dxfId="4" priority="5">
      <formula>" =MOD(ROW(),8)=0"</formula>
    </cfRule>
  </conditionalFormatting>
  <conditionalFormatting sqref="G3763:G3778">
    <cfRule type="expression" dxfId="3" priority="4">
      <formula>" =MOD(ROW(),8)=0"</formula>
    </cfRule>
  </conditionalFormatting>
  <conditionalFormatting sqref="A3:R3858">
    <cfRule type="expression" dxfId="2" priority="3">
      <formula>$R3=1</formula>
    </cfRule>
  </conditionalFormatting>
  <conditionalFormatting sqref="G3859:G3874">
    <cfRule type="expression" dxfId="1" priority="2">
      <formula>$R3859=1</formula>
    </cfRule>
  </conditionalFormatting>
  <conditionalFormatting sqref="G3875:G3890">
    <cfRule type="expression" dxfId="0" priority="1">
      <formula>$R3875=1</formula>
    </cfRule>
  </conditionalFormatting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Q45"/>
  <sheetViews>
    <sheetView zoomScale="70" zoomScaleNormal="70" workbookViewId="0">
      <selection activeCell="A7" sqref="A7"/>
    </sheetView>
  </sheetViews>
  <sheetFormatPr defaultRowHeight="15" x14ac:dyDescent="0.25"/>
  <cols>
    <col min="1" max="1" width="10.85546875" style="569" customWidth="1"/>
    <col min="2" max="2" width="10.7109375" style="569" customWidth="1"/>
    <col min="3" max="3" width="9.140625" style="569" customWidth="1"/>
    <col min="4" max="16384" width="9.140625" style="569"/>
  </cols>
  <sheetData>
    <row r="1" spans="1:43" ht="15.75" customHeight="1" thickBot="1" x14ac:dyDescent="0.3">
      <c r="A1" s="524" t="s">
        <v>135</v>
      </c>
      <c r="B1" s="525" t="s">
        <v>134</v>
      </c>
      <c r="C1" s="787" t="s">
        <v>4408</v>
      </c>
      <c r="D1" s="788"/>
      <c r="E1" s="530"/>
      <c r="AF1" s="789" t="s">
        <v>4409</v>
      </c>
      <c r="AG1" s="788"/>
      <c r="AH1" s="790" t="s">
        <v>4410</v>
      </c>
      <c r="AI1" s="702"/>
      <c r="AJ1" s="789" t="s">
        <v>4411</v>
      </c>
      <c r="AK1" s="788"/>
      <c r="AL1" s="791" t="s">
        <v>4412</v>
      </c>
      <c r="AM1" s="706"/>
      <c r="AN1" s="789" t="s">
        <v>4413</v>
      </c>
      <c r="AO1" s="788"/>
      <c r="AP1" s="784"/>
      <c r="AQ1" s="679"/>
    </row>
    <row r="2" spans="1:43" ht="15.75" customHeight="1" thickBot="1" x14ac:dyDescent="0.3">
      <c r="A2" s="122" t="s">
        <v>168</v>
      </c>
      <c r="B2" s="526" t="s">
        <v>168</v>
      </c>
      <c r="C2" s="530"/>
      <c r="D2" s="530"/>
      <c r="E2" s="526" t="s">
        <v>89</v>
      </c>
      <c r="AF2" s="525" t="s">
        <v>4414</v>
      </c>
      <c r="AG2" s="527" t="s">
        <v>4415</v>
      </c>
      <c r="AH2" s="525" t="s">
        <v>4414</v>
      </c>
      <c r="AI2" s="527" t="s">
        <v>4415</v>
      </c>
      <c r="AJ2" s="525" t="s">
        <v>4414</v>
      </c>
      <c r="AK2" s="527" t="s">
        <v>4415</v>
      </c>
      <c r="AL2" s="525" t="s">
        <v>4414</v>
      </c>
      <c r="AM2" s="527" t="s">
        <v>4415</v>
      </c>
      <c r="AN2" s="525" t="s">
        <v>4414</v>
      </c>
      <c r="AO2" s="527" t="s">
        <v>4415</v>
      </c>
      <c r="AP2" s="528"/>
      <c r="AQ2" s="528"/>
    </row>
    <row r="3" spans="1:43" x14ac:dyDescent="0.25">
      <c r="A3" s="529" t="str">
        <f>IF(NOT(ISBLANK(DxSurvey!B16)),DxSurvey!J16, "")</f>
        <v/>
      </c>
      <c r="B3" s="529" t="str">
        <f>IF(NOT(ISBLANK(DxSurvey!B16)),DxSurvey!I16, "")</f>
        <v/>
      </c>
      <c r="C3" s="530" t="e">
        <f t="shared" ref="C3:C30" si="0">IF(A3="",#N/A,A3+$C$2)</f>
        <v>#N/A</v>
      </c>
      <c r="D3" s="585" t="e">
        <f t="shared" ref="D3:D30" si="1">IF(B3="",#N/A,B3+$D$2)</f>
        <v>#N/A</v>
      </c>
      <c r="E3" s="585">
        <f>DxSurvey!H16</f>
        <v>0</v>
      </c>
      <c r="W3">
        <v>5198.8773973141406</v>
      </c>
      <c r="X3">
        <v>0</v>
      </c>
      <c r="Y3">
        <v>5195.9367865762488</v>
      </c>
      <c r="Z3">
        <v>-5275.9687935425936</v>
      </c>
      <c r="AA3">
        <v>5190.8640539185499</v>
      </c>
      <c r="AB3">
        <v>-10583.14131162073</v>
      </c>
      <c r="AC3">
        <v>0</v>
      </c>
      <c r="AD3" s="570" t="s">
        <v>4416</v>
      </c>
      <c r="AE3" t="s">
        <v>414</v>
      </c>
      <c r="AF3" s="530"/>
      <c r="AG3" s="585"/>
      <c r="AH3" s="530"/>
      <c r="AI3" s="583"/>
      <c r="AJ3" s="530"/>
      <c r="AK3" s="583"/>
      <c r="AL3" s="530"/>
      <c r="AM3" s="585"/>
      <c r="AN3" s="530"/>
      <c r="AO3" s="585"/>
    </row>
    <row r="4" spans="1:43" x14ac:dyDescent="0.25">
      <c r="A4" s="531" t="str">
        <f>IF(NOT(ISBLANK(DxSurvey!B17)),DxSurvey!J17, "")</f>
        <v/>
      </c>
      <c r="B4" s="531" t="str">
        <f>IF(NOT(ISBLANK(DxSurvey!B17)),DxSurvey!I17, "")</f>
        <v/>
      </c>
      <c r="C4" s="532" t="e">
        <f t="shared" si="0"/>
        <v>#N/A</v>
      </c>
      <c r="D4" s="581" t="e">
        <f t="shared" si="1"/>
        <v>#N/A</v>
      </c>
      <c r="E4" s="581">
        <f>DxSurvey!H17</f>
        <v>0</v>
      </c>
      <c r="W4">
        <v>6537.842748140567</v>
      </c>
      <c r="X4">
        <v>-14.138984626416701</v>
      </c>
      <c r="Y4">
        <v>6517.2096016202577</v>
      </c>
      <c r="Z4">
        <v>-5282.7076603376318</v>
      </c>
      <c r="AA4">
        <v>5190.8640539185499</v>
      </c>
      <c r="AB4">
        <v>-10583.14131162073</v>
      </c>
      <c r="AC4">
        <v>1</v>
      </c>
      <c r="AD4" s="570" t="s">
        <v>4417</v>
      </c>
      <c r="AE4" t="s">
        <v>414</v>
      </c>
      <c r="AF4" s="532"/>
      <c r="AG4" s="581"/>
      <c r="AH4" s="532"/>
      <c r="AJ4" s="532"/>
      <c r="AL4" s="532"/>
      <c r="AM4" s="581"/>
      <c r="AN4" s="532"/>
      <c r="AO4" s="581"/>
    </row>
    <row r="5" spans="1:43" x14ac:dyDescent="0.25">
      <c r="A5" s="531" t="str">
        <f>IF(NOT(ISBLANK(DxSurvey!B18)),DxSurvey!J18, "")</f>
        <v/>
      </c>
      <c r="B5" s="531" t="str">
        <f>IF(NOT(ISBLANK(DxSurvey!B18)),DxSurvey!I18, "")</f>
        <v/>
      </c>
      <c r="C5" s="532" t="e">
        <f t="shared" si="0"/>
        <v>#N/A</v>
      </c>
      <c r="D5" s="581" t="e">
        <f t="shared" si="1"/>
        <v>#N/A</v>
      </c>
      <c r="E5" s="581">
        <f>DxSurvey!H18</f>
        <v>0</v>
      </c>
      <c r="W5">
        <v>7757.0687612235242</v>
      </c>
      <c r="X5">
        <v>-19.979072111798889</v>
      </c>
      <c r="Y5">
        <v>7837.142237707244</v>
      </c>
      <c r="Z5">
        <v>-5289.4780881276656</v>
      </c>
      <c r="AA5">
        <v>7830.8349820074191</v>
      </c>
      <c r="AB5">
        <v>-10595.530776726069</v>
      </c>
      <c r="AC5">
        <v>2</v>
      </c>
      <c r="AD5" s="570" t="s">
        <v>4418</v>
      </c>
      <c r="AE5" t="s">
        <v>414</v>
      </c>
      <c r="AF5" s="532"/>
      <c r="AG5" s="581"/>
      <c r="AH5" s="532"/>
      <c r="AJ5" s="532"/>
      <c r="AL5" s="532"/>
      <c r="AM5" s="581"/>
      <c r="AN5" s="532"/>
      <c r="AO5" s="581"/>
    </row>
    <row r="6" spans="1:43" x14ac:dyDescent="0.25">
      <c r="A6" s="531" t="str">
        <f>IF(NOT(ISBLANK(DxSurvey!B19)),DxSurvey!J19, "")</f>
        <v/>
      </c>
      <c r="B6" s="531" t="str">
        <f>IF(NOT(ISBLANK(DxSurvey!B19)),DxSurvey!I19, "")</f>
        <v/>
      </c>
      <c r="C6" s="532" t="e">
        <f t="shared" si="0"/>
        <v>#N/A</v>
      </c>
      <c r="D6" s="581" t="e">
        <f t="shared" si="1"/>
        <v>#N/A</v>
      </c>
      <c r="E6" s="581">
        <f>DxSurvey!H19</f>
        <v>0</v>
      </c>
      <c r="W6">
        <v>10555.762060189471</v>
      </c>
      <c r="X6">
        <v>-32.204321521354331</v>
      </c>
      <c r="Y6">
        <v>10480.496302200079</v>
      </c>
      <c r="Z6">
        <v>-5305.0617247124519</v>
      </c>
      <c r="AA6">
        <v>10494.825645585939</v>
      </c>
      <c r="AB6">
        <v>-10608.032967191941</v>
      </c>
      <c r="AC6">
        <v>3</v>
      </c>
      <c r="AD6" s="570" t="s">
        <v>4419</v>
      </c>
      <c r="AE6" t="s">
        <v>414</v>
      </c>
      <c r="AF6" s="532"/>
      <c r="AG6" s="581"/>
      <c r="AH6" s="532"/>
      <c r="AJ6" s="532"/>
      <c r="AL6" s="532"/>
      <c r="AM6" s="581"/>
      <c r="AN6" s="532"/>
      <c r="AO6" s="581"/>
    </row>
    <row r="7" spans="1:43" ht="15.75" customHeight="1" thickBot="1" x14ac:dyDescent="0.3">
      <c r="A7" s="531" t="str">
        <f>IF(NOT(ISBLANK(DxSurvey!B20)),DxSurvey!J20, "")</f>
        <v/>
      </c>
      <c r="B7" s="531" t="str">
        <f>IF(NOT(ISBLANK(DxSurvey!B20)),DxSurvey!I20, "")</f>
        <v/>
      </c>
      <c r="C7" s="532" t="e">
        <f t="shared" si="0"/>
        <v>#N/A</v>
      </c>
      <c r="D7" s="581" t="e">
        <f t="shared" si="1"/>
        <v>#N/A</v>
      </c>
      <c r="E7" s="581">
        <f>DxSurvey!H20</f>
        <v>0</v>
      </c>
      <c r="W7">
        <v>10555.762060189471</v>
      </c>
      <c r="X7">
        <v>-32.204321521354331</v>
      </c>
      <c r="Y7">
        <v>10480.496302200079</v>
      </c>
      <c r="Z7">
        <v>-5305.0617247124519</v>
      </c>
      <c r="AA7">
        <v>10494.825645585939</v>
      </c>
      <c r="AB7">
        <v>-10608.032967191941</v>
      </c>
      <c r="AC7">
        <v>4</v>
      </c>
      <c r="AD7" s="570" t="s">
        <v>4420</v>
      </c>
      <c r="AE7" t="s">
        <v>414</v>
      </c>
      <c r="AF7" s="538"/>
      <c r="AG7" s="577"/>
      <c r="AH7" s="538"/>
      <c r="AI7" s="576"/>
      <c r="AJ7" s="538"/>
      <c r="AK7" s="576"/>
      <c r="AL7" s="538"/>
      <c r="AM7" s="577"/>
      <c r="AN7" s="538"/>
      <c r="AO7" s="577"/>
    </row>
    <row r="8" spans="1:43" x14ac:dyDescent="0.25">
      <c r="A8" s="531" t="str">
        <f>IF(NOT(ISBLANK(DxSurvey!B21)),DxSurvey!J21, "")</f>
        <v/>
      </c>
      <c r="B8" s="531" t="str">
        <f>IF(NOT(ISBLANK(DxSurvey!B21)),DxSurvey!I21, "")</f>
        <v/>
      </c>
      <c r="C8" s="532" t="e">
        <f t="shared" si="0"/>
        <v>#N/A</v>
      </c>
      <c r="D8" s="581" t="e">
        <f t="shared" si="1"/>
        <v>#N/A</v>
      </c>
      <c r="E8" s="581">
        <f>DxSurvey!H21</f>
        <v>0</v>
      </c>
      <c r="W8">
        <v>10555.762060189471</v>
      </c>
      <c r="X8">
        <v>-32.204321521354331</v>
      </c>
      <c r="Y8">
        <v>10480.49788410039</v>
      </c>
      <c r="Z8">
        <v>-5305.0571906574714</v>
      </c>
      <c r="AA8">
        <v>10461.63410548174</v>
      </c>
      <c r="AB8">
        <v>-10584.01802663757</v>
      </c>
      <c r="AC8">
        <v>5</v>
      </c>
      <c r="AD8" s="570" t="s">
        <v>4421</v>
      </c>
      <c r="AE8" t="s">
        <v>311</v>
      </c>
      <c r="AF8" s="533"/>
      <c r="AG8" s="534"/>
      <c r="AH8" s="532"/>
      <c r="AJ8" s="532"/>
      <c r="AL8" s="532"/>
      <c r="AM8" s="581"/>
      <c r="AN8" s="532"/>
      <c r="AO8" s="581"/>
    </row>
    <row r="9" spans="1:43" x14ac:dyDescent="0.25">
      <c r="A9" s="531" t="str">
        <f>IF(NOT(ISBLANK(DxSurvey!B22)),DxSurvey!J22, "")</f>
        <v/>
      </c>
      <c r="B9" s="531" t="str">
        <f>IF(NOT(ISBLANK(DxSurvey!B22)),DxSurvey!I22, "")</f>
        <v/>
      </c>
      <c r="C9" s="532" t="e">
        <f t="shared" si="0"/>
        <v>#N/A</v>
      </c>
      <c r="D9" s="581" t="e">
        <f t="shared" si="1"/>
        <v>#N/A</v>
      </c>
      <c r="E9" s="581">
        <f>DxSurvey!H22</f>
        <v>0</v>
      </c>
      <c r="W9">
        <v>10555.26825031716</v>
      </c>
      <c r="X9">
        <v>1290.595586307418</v>
      </c>
      <c r="Y9">
        <v>10480.49788410039</v>
      </c>
      <c r="Z9">
        <v>-5305.0571906574714</v>
      </c>
      <c r="AA9">
        <v>10461.63410548174</v>
      </c>
      <c r="AB9">
        <v>-10584.01802663757</v>
      </c>
      <c r="AC9">
        <v>6</v>
      </c>
      <c r="AD9" s="570" t="s">
        <v>4422</v>
      </c>
      <c r="AE9" t="s">
        <v>311</v>
      </c>
      <c r="AF9" s="526"/>
      <c r="AG9" s="535"/>
      <c r="AH9" s="532"/>
      <c r="AJ9" s="532"/>
      <c r="AL9" s="532"/>
      <c r="AM9" s="581"/>
      <c r="AN9" s="532"/>
      <c r="AO9" s="581"/>
    </row>
    <row r="10" spans="1:43" x14ac:dyDescent="0.25">
      <c r="A10" s="531" t="str">
        <f>IF(NOT(ISBLANK(DxSurvey!B23)),DxSurvey!J23, "")</f>
        <v/>
      </c>
      <c r="B10" s="531" t="str">
        <f>IF(NOT(ISBLANK(DxSurvey!B23)),DxSurvey!I23, "")</f>
        <v/>
      </c>
      <c r="C10" s="532" t="e">
        <f t="shared" si="0"/>
        <v>#N/A</v>
      </c>
      <c r="D10" s="581" t="e">
        <f t="shared" si="1"/>
        <v>#N/A</v>
      </c>
      <c r="E10" s="581">
        <f>DxSurvey!H23</f>
        <v>0</v>
      </c>
      <c r="W10">
        <v>10549.255797576399</v>
      </c>
      <c r="X10">
        <v>2614.1269298867992</v>
      </c>
      <c r="Y10">
        <v>10518.219071764441</v>
      </c>
      <c r="Z10">
        <v>-2666.8668480928541</v>
      </c>
      <c r="AA10">
        <v>10480.496302200079</v>
      </c>
      <c r="AB10">
        <v>-5305.0617247124519</v>
      </c>
      <c r="AC10">
        <v>7</v>
      </c>
      <c r="AD10" s="570" t="s">
        <v>4423</v>
      </c>
      <c r="AE10" t="s">
        <v>311</v>
      </c>
      <c r="AF10" s="526"/>
      <c r="AG10" s="535"/>
      <c r="AH10" s="532"/>
      <c r="AJ10" s="532"/>
      <c r="AL10" s="532"/>
      <c r="AM10" s="581"/>
      <c r="AN10" s="532"/>
      <c r="AO10" s="581"/>
    </row>
    <row r="11" spans="1:43" x14ac:dyDescent="0.25">
      <c r="A11" s="531" t="str">
        <f>IF(NOT(ISBLANK(DxSurvey!B24)),DxSurvey!J24, "")</f>
        <v/>
      </c>
      <c r="B11" s="531" t="str">
        <f>IF(NOT(ISBLANK(DxSurvey!B24)),DxSurvey!I24, "")</f>
        <v/>
      </c>
      <c r="C11" s="532" t="e">
        <f t="shared" si="0"/>
        <v>#N/A</v>
      </c>
      <c r="D11" s="581" t="e">
        <f t="shared" si="1"/>
        <v>#N/A</v>
      </c>
      <c r="E11" s="581">
        <f>DxSurvey!H24</f>
        <v>0</v>
      </c>
      <c r="W11">
        <v>10543.24334483565</v>
      </c>
      <c r="X11">
        <v>3937.6582734661802</v>
      </c>
      <c r="Y11">
        <v>10555.762060189471</v>
      </c>
      <c r="Z11">
        <v>-32.204321521354331</v>
      </c>
      <c r="AA11">
        <v>10480.496302200079</v>
      </c>
      <c r="AB11">
        <v>-5305.0617247124519</v>
      </c>
      <c r="AC11">
        <v>8</v>
      </c>
      <c r="AD11" s="570" t="s">
        <v>4424</v>
      </c>
      <c r="AE11" t="s">
        <v>311</v>
      </c>
      <c r="AF11" s="526"/>
      <c r="AG11" s="535"/>
      <c r="AH11" s="532"/>
      <c r="AJ11" s="532"/>
      <c r="AL11" s="526"/>
      <c r="AM11" s="535"/>
      <c r="AN11" s="532"/>
      <c r="AO11" s="581"/>
      <c r="AP11" s="528"/>
      <c r="AQ11" s="528"/>
    </row>
    <row r="12" spans="1:43" ht="15.75" customHeight="1" thickBot="1" x14ac:dyDescent="0.3">
      <c r="A12" s="531" t="str">
        <f>IF(NOT(ISBLANK(DxSurvey!B25)),DxSurvey!J25, "")</f>
        <v/>
      </c>
      <c r="B12" s="531" t="str">
        <f>IF(NOT(ISBLANK(DxSurvey!B25)),DxSurvey!I25, "")</f>
        <v/>
      </c>
      <c r="C12" s="532" t="e">
        <f t="shared" si="0"/>
        <v>#N/A</v>
      </c>
      <c r="D12" s="581" t="e">
        <f t="shared" si="1"/>
        <v>#N/A</v>
      </c>
      <c r="E12" s="581">
        <f>DxSurvey!H25</f>
        <v>0</v>
      </c>
      <c r="W12">
        <v>10539.103767562799</v>
      </c>
      <c r="X12">
        <v>5259.4017910973434</v>
      </c>
      <c r="Y12">
        <v>5198.8773973141406</v>
      </c>
      <c r="Z12">
        <v>0</v>
      </c>
      <c r="AA12">
        <v>5195.9367865762488</v>
      </c>
      <c r="AB12">
        <v>-5275.9687935425936</v>
      </c>
      <c r="AC12">
        <v>9</v>
      </c>
      <c r="AD12" s="570" t="s">
        <v>4425</v>
      </c>
      <c r="AE12" t="s">
        <v>311</v>
      </c>
      <c r="AF12" s="536"/>
      <c r="AG12" s="537"/>
      <c r="AH12" s="532"/>
      <c r="AJ12" s="532"/>
      <c r="AL12" s="526"/>
      <c r="AM12" s="535"/>
      <c r="AN12" s="532"/>
      <c r="AO12" s="581"/>
      <c r="AP12" s="528"/>
      <c r="AQ12" s="528"/>
    </row>
    <row r="13" spans="1:43" x14ac:dyDescent="0.25">
      <c r="A13" s="531" t="str">
        <f>IF(NOT(ISBLANK(DxSurvey!B26)),DxSurvey!J26, "")</f>
        <v/>
      </c>
      <c r="B13" s="531" t="str">
        <f>IF(NOT(ISBLANK(DxSurvey!B26)),DxSurvey!I26, "")</f>
        <v/>
      </c>
      <c r="C13" s="532" t="e">
        <f t="shared" si="0"/>
        <v>#N/A</v>
      </c>
      <c r="D13" s="581" t="e">
        <f t="shared" si="1"/>
        <v>#N/A</v>
      </c>
      <c r="E13" s="581">
        <f>DxSurvey!H26</f>
        <v>0</v>
      </c>
      <c r="W13">
        <v>10574.959217073279</v>
      </c>
      <c r="X13">
        <v>5272.2783922166109</v>
      </c>
      <c r="Y13">
        <v>5198.8773973141406</v>
      </c>
      <c r="Z13">
        <v>0</v>
      </c>
      <c r="AA13">
        <v>5195.9367865762488</v>
      </c>
      <c r="AB13">
        <v>-5275.9687935425936</v>
      </c>
      <c r="AC13">
        <v>10</v>
      </c>
      <c r="AD13" s="570" t="s">
        <v>4426</v>
      </c>
      <c r="AE13" t="s">
        <v>12</v>
      </c>
      <c r="AF13" s="530"/>
      <c r="AG13" s="585"/>
      <c r="AH13" s="530"/>
      <c r="AI13" s="583"/>
      <c r="AJ13" s="530"/>
      <c r="AK13" s="583"/>
      <c r="AL13" s="533"/>
      <c r="AM13" s="534"/>
      <c r="AN13" s="530"/>
      <c r="AO13" s="585"/>
      <c r="AP13" s="528"/>
      <c r="AQ13" s="528"/>
    </row>
    <row r="14" spans="1:43" x14ac:dyDescent="0.25">
      <c r="A14" s="531" t="str">
        <f>IF(NOT(ISBLANK(DxSurvey!B27)),DxSurvey!J27, "")</f>
        <v/>
      </c>
      <c r="B14" s="531" t="str">
        <f>IF(NOT(ISBLANK(DxSurvey!B27)),DxSurvey!I27, "")</f>
        <v/>
      </c>
      <c r="C14" s="532" t="e">
        <f t="shared" si="0"/>
        <v>#N/A</v>
      </c>
      <c r="D14" s="581" t="e">
        <f t="shared" si="1"/>
        <v>#N/A</v>
      </c>
      <c r="E14" s="581">
        <f>DxSurvey!H27</f>
        <v>0</v>
      </c>
      <c r="W14">
        <v>10574.959217073279</v>
      </c>
      <c r="X14">
        <v>5272.2783922166109</v>
      </c>
      <c r="Y14">
        <v>6537.842748140567</v>
      </c>
      <c r="Z14">
        <v>-14.138984626416701</v>
      </c>
      <c r="AA14">
        <v>6517.2096016202577</v>
      </c>
      <c r="AB14">
        <v>-5282.7076603376318</v>
      </c>
      <c r="AC14">
        <v>11</v>
      </c>
      <c r="AD14" s="570" t="s">
        <v>4427</v>
      </c>
      <c r="AE14" t="s">
        <v>12</v>
      </c>
      <c r="AF14" s="532"/>
      <c r="AG14" s="581"/>
      <c r="AH14" s="532"/>
      <c r="AJ14" s="532"/>
      <c r="AL14" s="526"/>
      <c r="AM14" s="535"/>
      <c r="AN14" s="532"/>
      <c r="AO14" s="581"/>
      <c r="AP14" s="528"/>
      <c r="AQ14" s="528"/>
    </row>
    <row r="15" spans="1:43" x14ac:dyDescent="0.25">
      <c r="A15" s="531" t="str">
        <f>IF(NOT(ISBLANK(DxSurvey!B28)),DxSurvey!J28, "")</f>
        <v/>
      </c>
      <c r="B15" s="531" t="str">
        <f>IF(NOT(ISBLANK(DxSurvey!B28)),DxSurvey!I28, "")</f>
        <v/>
      </c>
      <c r="C15" s="532" t="e">
        <f t="shared" si="0"/>
        <v>#N/A</v>
      </c>
      <c r="D15" s="581" t="e">
        <f t="shared" si="1"/>
        <v>#N/A</v>
      </c>
      <c r="E15" s="581">
        <f>DxSurvey!H28</f>
        <v>0</v>
      </c>
      <c r="W15">
        <v>5303.090228481562</v>
      </c>
      <c r="X15">
        <v>5303.255944168417</v>
      </c>
      <c r="Y15">
        <v>7757.0687612235242</v>
      </c>
      <c r="Z15">
        <v>-19.979072111798889</v>
      </c>
      <c r="AA15">
        <v>7837.142237707244</v>
      </c>
      <c r="AB15">
        <v>-5289.4780881276656</v>
      </c>
      <c r="AC15">
        <v>12</v>
      </c>
      <c r="AD15" s="570" t="s">
        <v>4428</v>
      </c>
      <c r="AE15" t="s">
        <v>12</v>
      </c>
      <c r="AF15" s="532"/>
      <c r="AG15" s="581"/>
      <c r="AH15" s="532"/>
      <c r="AJ15" s="532"/>
      <c r="AL15" s="526"/>
      <c r="AM15" s="535"/>
      <c r="AN15" s="532"/>
      <c r="AO15" s="581"/>
      <c r="AP15" s="528"/>
      <c r="AQ15" s="528"/>
    </row>
    <row r="16" spans="1:43" x14ac:dyDescent="0.25">
      <c r="A16" s="531" t="str">
        <f>IF(NOT(ISBLANK(DxSurvey!B29)),DxSurvey!J29, "")</f>
        <v/>
      </c>
      <c r="B16" s="531" t="str">
        <f>IF(NOT(ISBLANK(DxSurvey!B29)),DxSurvey!I29, "")</f>
        <v/>
      </c>
      <c r="C16" s="532" t="e">
        <f t="shared" si="0"/>
        <v>#N/A</v>
      </c>
      <c r="D16" s="581" t="e">
        <f t="shared" si="1"/>
        <v>#N/A</v>
      </c>
      <c r="E16" s="581">
        <f>DxSurvey!H29</f>
        <v>0</v>
      </c>
      <c r="W16">
        <v>5303.090228481562</v>
      </c>
      <c r="X16">
        <v>5303.255944168417</v>
      </c>
      <c r="Y16">
        <v>10555.762060189471</v>
      </c>
      <c r="Z16">
        <v>-32.204321521354331</v>
      </c>
      <c r="AA16">
        <v>10480.496302200079</v>
      </c>
      <c r="AB16">
        <v>-5305.0617247124519</v>
      </c>
      <c r="AC16">
        <v>13</v>
      </c>
      <c r="AD16" s="570" t="s">
        <v>4429</v>
      </c>
      <c r="AE16" t="s">
        <v>12</v>
      </c>
      <c r="AF16" s="532"/>
      <c r="AG16" s="581"/>
      <c r="AH16" s="532"/>
      <c r="AJ16" s="532"/>
      <c r="AL16" s="526"/>
      <c r="AM16" s="535"/>
      <c r="AN16" s="532"/>
      <c r="AO16" s="581"/>
      <c r="AP16" s="528"/>
      <c r="AQ16" s="528"/>
    </row>
    <row r="17" spans="1:43" ht="15.75" customHeight="1" thickBot="1" x14ac:dyDescent="0.3">
      <c r="A17" s="531" t="str">
        <f>IF(NOT(ISBLANK(DxSurvey!B30)),DxSurvey!J30, "")</f>
        <v/>
      </c>
      <c r="B17" s="531" t="str">
        <f>IF(NOT(ISBLANK(DxSurvey!B30)),DxSurvey!I30, "")</f>
        <v/>
      </c>
      <c r="C17" s="532" t="e">
        <f t="shared" si="0"/>
        <v>#N/A</v>
      </c>
      <c r="D17" s="581" t="e">
        <f t="shared" si="1"/>
        <v>#N/A</v>
      </c>
      <c r="E17" s="581">
        <f>DxSurvey!H30</f>
        <v>0</v>
      </c>
      <c r="W17">
        <v>5303.090228481562</v>
      </c>
      <c r="X17">
        <v>5303.255944168417</v>
      </c>
      <c r="Y17">
        <v>10555.762060189471</v>
      </c>
      <c r="Z17">
        <v>-32.204321521354331</v>
      </c>
      <c r="AA17">
        <v>10480.496302200079</v>
      </c>
      <c r="AB17">
        <v>-5305.0617247124519</v>
      </c>
      <c r="AC17">
        <v>14</v>
      </c>
      <c r="AD17" s="570" t="s">
        <v>4430</v>
      </c>
      <c r="AE17" t="s">
        <v>12</v>
      </c>
      <c r="AF17" s="538"/>
      <c r="AG17" s="577"/>
      <c r="AH17" s="538"/>
      <c r="AI17" s="576"/>
      <c r="AJ17" s="538"/>
      <c r="AK17" s="576"/>
      <c r="AL17" s="536"/>
      <c r="AM17" s="537"/>
      <c r="AN17" s="538"/>
      <c r="AO17" s="577"/>
      <c r="AP17" s="528"/>
      <c r="AQ17" s="528"/>
    </row>
    <row r="18" spans="1:43" x14ac:dyDescent="0.25">
      <c r="A18" s="531" t="str">
        <f>IF(NOT(ISBLANK(DxSurvey!B31)),DxSurvey!J31, "")</f>
        <v/>
      </c>
      <c r="B18" s="531" t="str">
        <f>IF(NOT(ISBLANK(DxSurvey!B31)),DxSurvey!I31, "")</f>
        <v/>
      </c>
      <c r="C18" s="532" t="e">
        <f t="shared" si="0"/>
        <v>#N/A</v>
      </c>
      <c r="D18" s="581" t="e">
        <f t="shared" si="1"/>
        <v>#N/A</v>
      </c>
      <c r="E18" s="581">
        <f>DxSurvey!H31</f>
        <v>0</v>
      </c>
      <c r="W18">
        <v>5198.8773973141406</v>
      </c>
      <c r="X18">
        <v>0</v>
      </c>
      <c r="Y18">
        <v>10555.762060189471</v>
      </c>
      <c r="Z18">
        <v>-32.204321521354331</v>
      </c>
      <c r="AA18">
        <v>10480.496302200079</v>
      </c>
      <c r="AB18">
        <v>-5305.0617247124519</v>
      </c>
      <c r="AC18">
        <v>15</v>
      </c>
      <c r="AD18" s="570" t="s">
        <v>4431</v>
      </c>
      <c r="AE18" t="s">
        <v>413</v>
      </c>
      <c r="AF18" s="530"/>
      <c r="AG18" s="585"/>
      <c r="AH18" s="526"/>
      <c r="AI18" s="528"/>
      <c r="AJ18" s="532"/>
      <c r="AL18" s="526"/>
      <c r="AM18" s="535"/>
      <c r="AN18" s="532"/>
      <c r="AO18" s="581"/>
      <c r="AP18" s="528"/>
      <c r="AQ18" s="528"/>
    </row>
    <row r="19" spans="1:43" x14ac:dyDescent="0.25">
      <c r="A19" s="531" t="str">
        <f>IF(NOT(ISBLANK(DxSurvey!B32)),DxSurvey!J32, "")</f>
        <v/>
      </c>
      <c r="B19" s="531" t="str">
        <f>IF(NOT(ISBLANK(DxSurvey!B32)),DxSurvey!I32, "")</f>
        <v/>
      </c>
      <c r="C19" s="532" t="e">
        <f t="shared" si="0"/>
        <v>#N/A</v>
      </c>
      <c r="D19" s="581" t="e">
        <f t="shared" si="1"/>
        <v>#N/A</v>
      </c>
      <c r="E19" s="581">
        <f>DxSurvey!H32</f>
        <v>0</v>
      </c>
      <c r="W19">
        <v>5198.8773973141406</v>
      </c>
      <c r="X19">
        <v>0</v>
      </c>
      <c r="Y19">
        <v>5198.8773973141406</v>
      </c>
      <c r="Z19">
        <v>0</v>
      </c>
      <c r="AA19">
        <v>5182.1414506759402</v>
      </c>
      <c r="AB19">
        <v>-6621.3080655507356</v>
      </c>
      <c r="AC19">
        <v>16</v>
      </c>
      <c r="AD19" s="570" t="s">
        <v>4432</v>
      </c>
      <c r="AE19" t="s">
        <v>413</v>
      </c>
      <c r="AF19" s="532"/>
      <c r="AG19" s="581"/>
      <c r="AH19" s="526"/>
      <c r="AI19" s="528"/>
      <c r="AJ19" s="532"/>
      <c r="AL19" s="532"/>
      <c r="AM19" s="581"/>
      <c r="AN19" s="532"/>
      <c r="AO19" s="581"/>
    </row>
    <row r="20" spans="1:43" x14ac:dyDescent="0.25">
      <c r="A20" s="531" t="str">
        <f>IF(NOT(ISBLANK(DxSurvey!B33)),DxSurvey!J33, "")</f>
        <v/>
      </c>
      <c r="B20" s="531" t="str">
        <f>IF(NOT(ISBLANK(DxSurvey!B33)),DxSurvey!I33, "")</f>
        <v/>
      </c>
      <c r="C20" s="532" t="e">
        <f t="shared" si="0"/>
        <v>#N/A</v>
      </c>
      <c r="D20" s="581" t="e">
        <f t="shared" si="1"/>
        <v>#N/A</v>
      </c>
      <c r="E20" s="581">
        <f>DxSurvey!H33</f>
        <v>0</v>
      </c>
      <c r="W20">
        <v>5198.8773973141406</v>
      </c>
      <c r="X20">
        <v>0</v>
      </c>
      <c r="Y20">
        <v>5196.3974138700969</v>
      </c>
      <c r="Z20">
        <v>-2636.7688337399081</v>
      </c>
      <c r="AA20">
        <v>5173.3934356249047</v>
      </c>
      <c r="AB20">
        <v>-7943.1991195459832</v>
      </c>
      <c r="AC20">
        <v>17</v>
      </c>
      <c r="AD20" s="570" t="s">
        <v>4433</v>
      </c>
      <c r="AE20" t="s">
        <v>413</v>
      </c>
      <c r="AF20" s="532"/>
      <c r="AG20" s="581"/>
      <c r="AH20" s="526"/>
      <c r="AI20" s="528"/>
      <c r="AJ20" s="532"/>
      <c r="AL20" s="532"/>
      <c r="AM20" s="581"/>
      <c r="AN20" s="532"/>
      <c r="AO20" s="581"/>
    </row>
    <row r="21" spans="1:43" x14ac:dyDescent="0.25">
      <c r="A21" s="531" t="str">
        <f>IF(NOT(ISBLANK(DxSurvey!B34)),DxSurvey!J34, "")</f>
        <v/>
      </c>
      <c r="B21" s="531" t="str">
        <f>IF(NOT(ISBLANK(DxSurvey!B34)),DxSurvey!I34, "")</f>
        <v/>
      </c>
      <c r="C21" s="532" t="e">
        <f t="shared" si="0"/>
        <v>#N/A</v>
      </c>
      <c r="D21" s="581" t="e">
        <f t="shared" si="1"/>
        <v>#N/A</v>
      </c>
      <c r="E21" s="581">
        <f>DxSurvey!H34</f>
        <v>0</v>
      </c>
      <c r="W21">
        <v>5276.380921032207</v>
      </c>
      <c r="X21">
        <v>3978.1550990265928</v>
      </c>
      <c r="Y21">
        <v>5195.9367865762488</v>
      </c>
      <c r="Z21">
        <v>-5275.9687935425936</v>
      </c>
      <c r="AA21">
        <v>5190.8640539185499</v>
      </c>
      <c r="AB21">
        <v>-10583.14131162073</v>
      </c>
      <c r="AC21">
        <v>18</v>
      </c>
      <c r="AD21" s="570" t="s">
        <v>4434</v>
      </c>
      <c r="AE21" t="s">
        <v>413</v>
      </c>
      <c r="AF21" s="532"/>
      <c r="AG21" s="581"/>
      <c r="AH21" s="526"/>
      <c r="AI21" s="528"/>
      <c r="AJ21" s="532"/>
      <c r="AL21" s="532"/>
      <c r="AM21" s="581"/>
      <c r="AN21" s="532"/>
      <c r="AO21" s="581"/>
    </row>
    <row r="22" spans="1:43" ht="15.75" customHeight="1" thickBot="1" x14ac:dyDescent="0.3">
      <c r="A22" s="531" t="str">
        <f>IF(NOT(ISBLANK(DxSurvey!B35)),DxSurvey!J35, "")</f>
        <v/>
      </c>
      <c r="B22" s="531" t="str">
        <f>IF(NOT(ISBLANK(DxSurvey!B35)),DxSurvey!I35, "")</f>
        <v/>
      </c>
      <c r="C22" s="532" t="e">
        <f t="shared" si="0"/>
        <v>#N/A</v>
      </c>
      <c r="D22" s="581" t="e">
        <f t="shared" si="1"/>
        <v>#N/A</v>
      </c>
      <c r="E22" s="581">
        <f>DxSurvey!H35</f>
        <v>0</v>
      </c>
      <c r="W22">
        <v>5303.090228481562</v>
      </c>
      <c r="X22">
        <v>5303.255944168417</v>
      </c>
      <c r="Y22">
        <v>5195.9367865762488</v>
      </c>
      <c r="Z22">
        <v>-5275.9687935425936</v>
      </c>
      <c r="AA22">
        <v>5190.8640539185499</v>
      </c>
      <c r="AB22">
        <v>-10583.14131162073</v>
      </c>
      <c r="AC22">
        <v>19</v>
      </c>
      <c r="AD22" s="570" t="s">
        <v>4435</v>
      </c>
      <c r="AE22" t="s">
        <v>413</v>
      </c>
      <c r="AF22" s="538"/>
      <c r="AG22" s="577"/>
      <c r="AH22" s="536"/>
      <c r="AI22" s="539"/>
      <c r="AJ22" s="538"/>
      <c r="AK22" s="576"/>
      <c r="AL22" s="538"/>
      <c r="AM22" s="577"/>
      <c r="AN22" s="538"/>
      <c r="AO22" s="577"/>
    </row>
    <row r="23" spans="1:43" x14ac:dyDescent="0.25">
      <c r="A23" s="531" t="str">
        <f>IF(NOT(ISBLANK(DxSurvey!B36)),DxSurvey!J36, "")</f>
        <v/>
      </c>
      <c r="B23" s="531" t="str">
        <f>IF(NOT(ISBLANK(DxSurvey!B36)),DxSurvey!I36, "")</f>
        <v/>
      </c>
      <c r="C23" s="532" t="e">
        <f t="shared" si="0"/>
        <v>#N/A</v>
      </c>
      <c r="D23" s="581" t="e">
        <f t="shared" si="1"/>
        <v>#N/A</v>
      </c>
      <c r="E23" s="581">
        <f>DxSurvey!H36</f>
        <v>0</v>
      </c>
    </row>
    <row r="24" spans="1:43" x14ac:dyDescent="0.25">
      <c r="A24" s="531" t="str">
        <f>IF(NOT(ISBLANK(DxSurvey!B37)),DxSurvey!J37, "")</f>
        <v/>
      </c>
      <c r="B24" s="531" t="str">
        <f>IF(NOT(ISBLANK(DxSurvey!B37)),DxSurvey!I37, "")</f>
        <v/>
      </c>
      <c r="C24" s="532" t="e">
        <f t="shared" si="0"/>
        <v>#N/A</v>
      </c>
      <c r="D24" s="581" t="e">
        <f t="shared" si="1"/>
        <v>#N/A</v>
      </c>
      <c r="E24" s="581">
        <f>DxSurvey!H37</f>
        <v>0</v>
      </c>
    </row>
    <row r="25" spans="1:43" ht="15.75" customHeight="1" thickBot="1" x14ac:dyDescent="0.3">
      <c r="A25" s="531" t="str">
        <f>IF(NOT(ISBLANK(DxSurvey!B38)),DxSurvey!J38, "")</f>
        <v/>
      </c>
      <c r="B25" s="531" t="str">
        <f>IF(NOT(ISBLANK(DxSurvey!B38)),DxSurvey!I38, "")</f>
        <v/>
      </c>
      <c r="C25" s="532" t="e">
        <f t="shared" si="0"/>
        <v>#N/A</v>
      </c>
      <c r="D25" s="581" t="e">
        <f t="shared" si="1"/>
        <v>#N/A</v>
      </c>
      <c r="E25" s="581">
        <f>DxSurvey!H38</f>
        <v>0</v>
      </c>
    </row>
    <row r="26" spans="1:43" x14ac:dyDescent="0.25">
      <c r="A26" s="531" t="str">
        <f>IF(NOT(ISBLANK(DxSurvey!B39)),DxSurvey!J39, "")</f>
        <v/>
      </c>
      <c r="B26" s="531" t="str">
        <f>IF(NOT(ISBLANK(DxSurvey!B39)),DxSurvey!I39, "")</f>
        <v/>
      </c>
      <c r="C26" s="532" t="e">
        <f t="shared" si="0"/>
        <v>#N/A</v>
      </c>
      <c r="D26" s="581" t="e">
        <f t="shared" si="1"/>
        <v>#N/A</v>
      </c>
      <c r="E26" s="581">
        <f>DxSurvey!H39</f>
        <v>0</v>
      </c>
      <c r="AF26" s="530"/>
      <c r="AG26" s="585"/>
    </row>
    <row r="27" spans="1:43" x14ac:dyDescent="0.25">
      <c r="A27" s="531" t="str">
        <f>IF(NOT(ISBLANK(DxSurvey!B40)),DxSurvey!J40, "")</f>
        <v/>
      </c>
      <c r="B27" s="531" t="str">
        <f>IF(NOT(ISBLANK(DxSurvey!B40)),DxSurvey!I40, "")</f>
        <v/>
      </c>
      <c r="C27" s="532" t="e">
        <f t="shared" si="0"/>
        <v>#N/A</v>
      </c>
      <c r="D27" s="581" t="e">
        <f t="shared" si="1"/>
        <v>#N/A</v>
      </c>
      <c r="E27" s="581">
        <f>DxSurvey!H40</f>
        <v>0</v>
      </c>
      <c r="AF27" s="532"/>
      <c r="AG27" s="581"/>
    </row>
    <row r="28" spans="1:43" x14ac:dyDescent="0.25">
      <c r="A28" s="531" t="str">
        <f>IF(NOT(ISBLANK(DxSurvey!B41)),DxSurvey!J41, "")</f>
        <v/>
      </c>
      <c r="B28" s="531" t="str">
        <f>IF(NOT(ISBLANK(DxSurvey!B41)),DxSurvey!I41, "")</f>
        <v/>
      </c>
      <c r="C28" s="532" t="e">
        <f t="shared" si="0"/>
        <v>#N/A</v>
      </c>
      <c r="D28" s="581" t="e">
        <f t="shared" si="1"/>
        <v>#N/A</v>
      </c>
      <c r="E28" s="581">
        <f>DxSurvey!H41</f>
        <v>0</v>
      </c>
      <c r="AF28" s="532"/>
      <c r="AG28" s="581"/>
    </row>
    <row r="29" spans="1:43" x14ac:dyDescent="0.25">
      <c r="A29" s="531" t="str">
        <f>IF(NOT(ISBLANK(DxSurvey!B42)),DxSurvey!J42, "")</f>
        <v/>
      </c>
      <c r="B29" s="531" t="str">
        <f>IF(NOT(ISBLANK(DxSurvey!B42)),DxSurvey!I42, "")</f>
        <v/>
      </c>
      <c r="C29" s="532" t="e">
        <f t="shared" si="0"/>
        <v>#N/A</v>
      </c>
      <c r="D29" s="581" t="e">
        <f t="shared" si="1"/>
        <v>#N/A</v>
      </c>
      <c r="E29" s="581">
        <f>DxSurvey!H42</f>
        <v>0</v>
      </c>
      <c r="AF29" s="532"/>
      <c r="AG29" s="581"/>
    </row>
    <row r="30" spans="1:43" ht="15.75" customHeight="1" thickBot="1" x14ac:dyDescent="0.3">
      <c r="A30" s="540" t="str">
        <f>IF(NOT(ISBLANK(DxSurvey!B43)),DxSurvey!J43, "")</f>
        <v/>
      </c>
      <c r="B30" s="540" t="str">
        <f>IF(NOT(ISBLANK(DxSurvey!B43)),DxSurvey!I43, "")</f>
        <v/>
      </c>
      <c r="C30" s="538" t="e">
        <f t="shared" si="0"/>
        <v>#N/A</v>
      </c>
      <c r="D30" s="577" t="e">
        <f t="shared" si="1"/>
        <v>#N/A</v>
      </c>
      <c r="E30" s="577">
        <f>DxSurvey!H43</f>
        <v>0</v>
      </c>
      <c r="AF30" s="538"/>
      <c r="AG30" s="577"/>
    </row>
    <row r="31" spans="1:43" ht="15.75" customHeight="1" thickBot="1" x14ac:dyDescent="0.3">
      <c r="A31" t="s">
        <v>4436</v>
      </c>
      <c r="B31" t="s">
        <v>4437</v>
      </c>
      <c r="C31" t="s">
        <v>4436</v>
      </c>
      <c r="D31" t="s">
        <v>4437</v>
      </c>
      <c r="AF31" s="530"/>
      <c r="AG31" s="585"/>
    </row>
    <row r="32" spans="1:43" ht="15.75" customHeight="1" thickBot="1" x14ac:dyDescent="0.3">
      <c r="A32" s="785" t="s">
        <v>149</v>
      </c>
      <c r="B32" s="786"/>
      <c r="C32" s="541"/>
      <c r="D32" s="542"/>
      <c r="E32" s="543" t="s">
        <v>4438</v>
      </c>
      <c r="F32" s="527" t="s">
        <v>4439</v>
      </c>
      <c r="AF32" s="532"/>
      <c r="AG32" s="581"/>
    </row>
    <row r="33" spans="1:33" x14ac:dyDescent="0.25">
      <c r="A33" s="544"/>
      <c r="B33" s="545"/>
      <c r="C33" s="545"/>
      <c r="D33" s="546"/>
      <c r="F33" s="581">
        <f>DxSurvey!C10</f>
        <v>0</v>
      </c>
      <c r="AF33" s="532"/>
      <c r="AG33" s="581"/>
    </row>
    <row r="34" spans="1:33" ht="15.75" customHeight="1" thickBot="1" x14ac:dyDescent="0.3">
      <c r="A34" s="674" t="s">
        <v>144</v>
      </c>
      <c r="B34" s="675"/>
      <c r="C34" s="568"/>
      <c r="D34" s="581"/>
      <c r="E34" s="576"/>
      <c r="F34" s="577"/>
      <c r="AF34" s="532"/>
      <c r="AG34" s="581"/>
    </row>
    <row r="35" spans="1:33" ht="15.75" customHeight="1" thickBot="1" x14ac:dyDescent="0.3">
      <c r="A35" s="547"/>
      <c r="B35" s="548"/>
      <c r="C35" s="548"/>
      <c r="D35" s="549"/>
      <c r="AF35" s="538"/>
      <c r="AG35" s="577"/>
    </row>
    <row r="36" spans="1:33" x14ac:dyDescent="0.25">
      <c r="AF36" s="530"/>
      <c r="AG36" s="585"/>
    </row>
    <row r="37" spans="1:33" x14ac:dyDescent="0.25">
      <c r="A37" s="448" t="s">
        <v>171</v>
      </c>
      <c r="B37" s="448" t="s">
        <v>341</v>
      </c>
      <c r="C37" s="448" t="s">
        <v>342</v>
      </c>
      <c r="D37" s="448" t="s">
        <v>343</v>
      </c>
      <c r="E37" s="448" t="s">
        <v>344</v>
      </c>
      <c r="F37" s="448" t="s">
        <v>233</v>
      </c>
      <c r="AF37" s="532"/>
      <c r="AG37" s="581"/>
    </row>
    <row r="38" spans="1:33" x14ac:dyDescent="0.25">
      <c r="A38" s="402"/>
      <c r="B38" s="401"/>
      <c r="C38" s="400"/>
      <c r="D38" s="401"/>
      <c r="E38" s="400"/>
      <c r="F38" s="399"/>
      <c r="AF38" s="532"/>
      <c r="AG38" s="581"/>
    </row>
    <row r="39" spans="1:33" x14ac:dyDescent="0.25">
      <c r="AF39" s="532"/>
      <c r="AG39" s="581"/>
    </row>
    <row r="40" spans="1:33" ht="15.75" customHeight="1" thickBot="1" x14ac:dyDescent="0.3">
      <c r="AF40" s="538"/>
      <c r="AG40" s="577"/>
    </row>
    <row r="41" spans="1:33" x14ac:dyDescent="0.25">
      <c r="AF41" s="530"/>
      <c r="AG41" s="585"/>
    </row>
    <row r="42" spans="1:33" x14ac:dyDescent="0.25">
      <c r="AF42" s="532"/>
      <c r="AG42" s="581"/>
    </row>
    <row r="43" spans="1:33" x14ac:dyDescent="0.25">
      <c r="AF43" s="532"/>
      <c r="AG43" s="581"/>
    </row>
    <row r="44" spans="1:33" x14ac:dyDescent="0.25">
      <c r="AF44" s="532"/>
      <c r="AG44" s="581"/>
    </row>
    <row r="45" spans="1:33" ht="15.75" customHeight="1" thickBot="1" x14ac:dyDescent="0.3">
      <c r="AF45" s="538"/>
      <c r="AG45" s="577"/>
    </row>
  </sheetData>
  <mergeCells count="9">
    <mergeCell ref="AP1:AQ1"/>
    <mergeCell ref="A32:B32"/>
    <mergeCell ref="A34:B34"/>
    <mergeCell ref="C1:D1"/>
    <mergeCell ref="AF1:AG1"/>
    <mergeCell ref="AH1:AI1"/>
    <mergeCell ref="AJ1:AK1"/>
    <mergeCell ref="AL1:AM1"/>
    <mergeCell ref="AN1:AO1"/>
  </mergeCells>
  <pageMargins left="0.7" right="0.7" top="0.75" bottom="0.75" header="0.3" footer="0.3"/>
  <pageSetup orientation="portrait" horizontalDpi="1200" verticalDpi="12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M18"/>
  <sheetViews>
    <sheetView workbookViewId="0">
      <selection activeCell="B3" sqref="B3:C11"/>
    </sheetView>
  </sheetViews>
  <sheetFormatPr defaultRowHeight="15" x14ac:dyDescent="0.25"/>
  <cols>
    <col min="1" max="1" width="9.140625" style="446" customWidth="1"/>
    <col min="2" max="2" width="21.140625" style="569" customWidth="1"/>
  </cols>
  <sheetData>
    <row r="2" spans="1:13" x14ac:dyDescent="0.25">
      <c r="A2" s="446" t="s">
        <v>129</v>
      </c>
      <c r="B2" t="s">
        <v>130</v>
      </c>
      <c r="C2" t="s">
        <v>131</v>
      </c>
      <c r="J2" s="570"/>
      <c r="K2" s="570"/>
      <c r="L2" s="570"/>
      <c r="M2" s="570"/>
    </row>
    <row r="3" spans="1:13" x14ac:dyDescent="0.25">
      <c r="A3" s="446" t="e">
        <f>J3</f>
        <v>#DIV/0!</v>
      </c>
      <c r="B3" s="264"/>
      <c r="C3" s="264"/>
      <c r="H3" t="e">
        <f t="shared" ref="H3:H18" si="0">VLOOKUP(A3,A$3:C$25,2)</f>
        <v>#DIV/0!</v>
      </c>
      <c r="J3" s="446" t="e">
        <f>INT(C3/MAX('Casing Review'!$D$19,'Casing Review'!$D$34,'Casing Review'!$D$49,'Casing Review'!$D$64)*37)</f>
        <v>#DIV/0!</v>
      </c>
      <c r="K3" s="446"/>
      <c r="L3" s="446"/>
      <c r="M3" s="446"/>
    </row>
    <row r="4" spans="1:13" x14ac:dyDescent="0.25">
      <c r="A4" s="446" t="str">
        <f t="shared" ref="A4:A18" si="1">IF(C4=0,"",IF(J4=J5,J4-1,J4))</f>
        <v/>
      </c>
      <c r="B4" s="264"/>
      <c r="C4" s="264"/>
      <c r="H4">
        <f t="shared" si="0"/>
        <v>0</v>
      </c>
      <c r="J4" s="446" t="e">
        <f>INT(C4/MAX('Casing Review'!$D$19,'Casing Review'!$D$34,'Casing Review'!$D$49,'Casing Review'!$D$64)*37)</f>
        <v>#DIV/0!</v>
      </c>
      <c r="K4" s="446"/>
      <c r="L4" s="446"/>
      <c r="M4" s="446"/>
    </row>
    <row r="5" spans="1:13" x14ac:dyDescent="0.25">
      <c r="A5" s="446" t="str">
        <f t="shared" si="1"/>
        <v/>
      </c>
      <c r="B5" s="264"/>
      <c r="C5" s="264"/>
      <c r="H5">
        <f t="shared" si="0"/>
        <v>0</v>
      </c>
      <c r="J5" s="446" t="e">
        <f>INT(C5/MAX('Casing Review'!$D$19,'Casing Review'!$D$34,'Casing Review'!$D$49,'Casing Review'!$D$64)*37)</f>
        <v>#DIV/0!</v>
      </c>
      <c r="K5" s="446"/>
      <c r="L5" s="446"/>
      <c r="M5" s="446"/>
    </row>
    <row r="6" spans="1:13" x14ac:dyDescent="0.25">
      <c r="A6" s="446" t="str">
        <f t="shared" si="1"/>
        <v/>
      </c>
      <c r="B6" s="264"/>
      <c r="C6" s="264"/>
      <c r="H6">
        <f t="shared" si="0"/>
        <v>0</v>
      </c>
      <c r="J6" s="446" t="e">
        <f>INT(C6/MAX('Casing Review'!$D$19,'Casing Review'!$D$34,'Casing Review'!$D$49,'Casing Review'!$D$64)*37)</f>
        <v>#DIV/0!</v>
      </c>
      <c r="K6" s="446"/>
      <c r="L6" s="446"/>
      <c r="M6" s="446"/>
    </row>
    <row r="7" spans="1:13" x14ac:dyDescent="0.25">
      <c r="A7" s="446" t="str">
        <f t="shared" si="1"/>
        <v/>
      </c>
      <c r="B7" s="264"/>
      <c r="C7" s="264"/>
      <c r="H7">
        <f t="shared" si="0"/>
        <v>0</v>
      </c>
      <c r="J7" s="446" t="e">
        <f>INT(C7/MAX('Casing Review'!$D$19,'Casing Review'!$D$34,'Casing Review'!$D$49,'Casing Review'!$D$64)*37)</f>
        <v>#DIV/0!</v>
      </c>
      <c r="K7" s="446"/>
      <c r="L7" s="446"/>
      <c r="M7" s="446"/>
    </row>
    <row r="8" spans="1:13" x14ac:dyDescent="0.25">
      <c r="A8" s="446" t="str">
        <f t="shared" si="1"/>
        <v/>
      </c>
      <c r="B8" s="264"/>
      <c r="C8" s="264"/>
      <c r="H8">
        <f t="shared" si="0"/>
        <v>0</v>
      </c>
      <c r="J8" s="446" t="e">
        <f>INT(C8/MAX('Casing Review'!$D$19,'Casing Review'!$D$34,'Casing Review'!$D$49,'Casing Review'!$D$64)*37)</f>
        <v>#DIV/0!</v>
      </c>
      <c r="K8" s="446"/>
      <c r="L8" s="446"/>
      <c r="M8" s="446"/>
    </row>
    <row r="9" spans="1:13" x14ac:dyDescent="0.25">
      <c r="A9" s="446" t="str">
        <f t="shared" si="1"/>
        <v/>
      </c>
      <c r="B9" s="264"/>
      <c r="C9" s="264"/>
      <c r="H9">
        <f t="shared" si="0"/>
        <v>0</v>
      </c>
      <c r="J9" s="446" t="e">
        <f>INT(C9/MAX('Casing Review'!$D$19,'Casing Review'!$D$34,'Casing Review'!$D$49,'Casing Review'!$D$64)*37)</f>
        <v>#DIV/0!</v>
      </c>
      <c r="K9" s="446"/>
      <c r="L9" s="446"/>
      <c r="M9" s="446"/>
    </row>
    <row r="10" spans="1:13" x14ac:dyDescent="0.25">
      <c r="A10" s="446" t="str">
        <f t="shared" si="1"/>
        <v/>
      </c>
      <c r="B10" s="264"/>
      <c r="C10" s="264"/>
      <c r="H10">
        <f t="shared" si="0"/>
        <v>0</v>
      </c>
      <c r="J10" s="446" t="e">
        <f>INT(C10/MAX('Casing Review'!$D$19,'Casing Review'!$D$34,'Casing Review'!$D$49,'Casing Review'!$D$64)*37)</f>
        <v>#DIV/0!</v>
      </c>
      <c r="K10" s="446"/>
      <c r="L10" s="446"/>
      <c r="M10" s="446"/>
    </row>
    <row r="11" spans="1:13" x14ac:dyDescent="0.25">
      <c r="A11" s="446" t="str">
        <f t="shared" si="1"/>
        <v/>
      </c>
      <c r="B11" s="264"/>
      <c r="C11" s="264"/>
      <c r="H11">
        <f t="shared" si="0"/>
        <v>0</v>
      </c>
      <c r="J11" s="446" t="e">
        <f>INT(C11/MAX('Casing Review'!$D$19,'Casing Review'!$D$34,'Casing Review'!$D$49,'Casing Review'!$D$64)*37)</f>
        <v>#DIV/0!</v>
      </c>
      <c r="K11" s="446"/>
      <c r="L11" s="446"/>
      <c r="M11" s="446"/>
    </row>
    <row r="12" spans="1:13" x14ac:dyDescent="0.25">
      <c r="A12" s="446" t="str">
        <f t="shared" si="1"/>
        <v/>
      </c>
      <c r="B12" s="264"/>
      <c r="C12" s="264"/>
      <c r="H12">
        <f t="shared" si="0"/>
        <v>0</v>
      </c>
      <c r="J12" s="446" t="e">
        <f>INT(C12/MAX('Casing Review'!$D$19,'Casing Review'!$D$34,'Casing Review'!$D$49,'Casing Review'!$D$64)*37)</f>
        <v>#DIV/0!</v>
      </c>
      <c r="K12" s="446"/>
      <c r="L12" s="446"/>
      <c r="M12" s="446"/>
    </row>
    <row r="13" spans="1:13" x14ac:dyDescent="0.25">
      <c r="A13" s="446" t="str">
        <f t="shared" si="1"/>
        <v/>
      </c>
      <c r="B13" s="264"/>
      <c r="C13" s="264"/>
      <c r="H13">
        <f t="shared" si="0"/>
        <v>0</v>
      </c>
      <c r="J13" s="446" t="e">
        <f>INT(C13/MAX('Casing Review'!$D$19,'Casing Review'!$D$34,'Casing Review'!$D$49,'Casing Review'!$D$64)*37)</f>
        <v>#DIV/0!</v>
      </c>
      <c r="K13" s="446"/>
      <c r="L13" s="446"/>
      <c r="M13" s="446"/>
    </row>
    <row r="14" spans="1:13" x14ac:dyDescent="0.25">
      <c r="A14" s="446" t="str">
        <f t="shared" si="1"/>
        <v/>
      </c>
      <c r="B14" s="264"/>
      <c r="C14" s="264"/>
      <c r="H14">
        <f t="shared" si="0"/>
        <v>0</v>
      </c>
      <c r="J14" s="446" t="e">
        <f>INT(C14/MAX('Casing Review'!$D$19,'Casing Review'!$D$34,'Casing Review'!$D$49,'Casing Review'!$D$64)*37)</f>
        <v>#DIV/0!</v>
      </c>
      <c r="K14" s="446"/>
      <c r="L14" s="446"/>
      <c r="M14" s="446"/>
    </row>
    <row r="15" spans="1:13" x14ac:dyDescent="0.25">
      <c r="A15" s="446" t="str">
        <f t="shared" si="1"/>
        <v/>
      </c>
      <c r="B15" s="264"/>
      <c r="C15" s="264"/>
      <c r="H15">
        <f t="shared" si="0"/>
        <v>0</v>
      </c>
      <c r="J15" s="446" t="e">
        <f>INT(C15/MAX('Casing Review'!$D$19,'Casing Review'!$D$34,'Casing Review'!$D$49,'Casing Review'!$D$64)*37)</f>
        <v>#DIV/0!</v>
      </c>
      <c r="K15" s="446"/>
      <c r="L15" s="446"/>
      <c r="M15" s="446"/>
    </row>
    <row r="16" spans="1:13" x14ac:dyDescent="0.25">
      <c r="A16" s="446" t="str">
        <f t="shared" si="1"/>
        <v/>
      </c>
      <c r="B16" s="264"/>
      <c r="C16" s="264"/>
      <c r="H16">
        <f t="shared" si="0"/>
        <v>0</v>
      </c>
      <c r="J16" s="446" t="e">
        <f>INT(C16/MAX('Casing Review'!$D$19,'Casing Review'!$D$34,'Casing Review'!$D$49,'Casing Review'!$D$64)*37)</f>
        <v>#DIV/0!</v>
      </c>
      <c r="K16" s="446"/>
      <c r="L16" s="446"/>
      <c r="M16" s="446"/>
    </row>
    <row r="17" spans="1:13" x14ac:dyDescent="0.25">
      <c r="A17" s="446" t="str">
        <f t="shared" si="1"/>
        <v/>
      </c>
      <c r="B17" s="264"/>
      <c r="C17" s="264"/>
      <c r="H17">
        <f t="shared" si="0"/>
        <v>0</v>
      </c>
      <c r="J17" s="446" t="e">
        <f>INT(C17/MAX('Casing Review'!$D$19,'Casing Review'!$D$34,'Casing Review'!$D$49,'Casing Review'!$D$64)*37)</f>
        <v>#DIV/0!</v>
      </c>
      <c r="K17" s="446"/>
      <c r="L17" s="446"/>
      <c r="M17" s="446"/>
    </row>
    <row r="18" spans="1:13" x14ac:dyDescent="0.25">
      <c r="A18" s="446" t="str">
        <f t="shared" si="1"/>
        <v/>
      </c>
      <c r="B18" s="264"/>
      <c r="C18" s="264"/>
      <c r="H18">
        <f t="shared" si="0"/>
        <v>0</v>
      </c>
      <c r="J18" s="446" t="e">
        <f>INT(C18/MAX('Casing Review'!$D$19,'Casing Review'!$D$34,'Casing Review'!$D$49,'Casing Review'!$D$64)*37)</f>
        <v>#DIV/0!</v>
      </c>
      <c r="K18" s="446"/>
      <c r="L18" s="446"/>
      <c r="M18" s="446"/>
    </row>
  </sheetData>
  <pageMargins left="0.7" right="0.7" top="0.75" bottom="0.75" header="0.3" footer="0.3"/>
  <pageSetup orientation="portrait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X78"/>
  <sheetViews>
    <sheetView tabSelected="1" topLeftCell="A25" zoomScaleNormal="100" workbookViewId="0">
      <selection activeCell="M49" sqref="M49"/>
    </sheetView>
  </sheetViews>
  <sheetFormatPr defaultRowHeight="15" x14ac:dyDescent="0.25"/>
  <cols>
    <col min="1" max="1" width="15.7109375" style="569" bestFit="1" customWidth="1"/>
    <col min="2" max="2" width="9.5703125" style="569" bestFit="1" customWidth="1"/>
    <col min="3" max="3" width="10" style="569" customWidth="1"/>
    <col min="7" max="7" width="10.42578125" style="569" customWidth="1"/>
    <col min="8" max="8" width="9.5703125" style="569" bestFit="1" customWidth="1"/>
    <col min="15" max="16" width="9.7109375" style="569" customWidth="1"/>
    <col min="17" max="17" width="9" style="569" customWidth="1"/>
    <col min="18" max="18" width="9.28515625" style="569" customWidth="1"/>
    <col min="22" max="22" width="9.140625" style="569" customWidth="1"/>
  </cols>
  <sheetData>
    <row r="2" spans="1:24" x14ac:dyDescent="0.25">
      <c r="B2" t="s">
        <v>132</v>
      </c>
    </row>
    <row r="3" spans="1:24" x14ac:dyDescent="0.25">
      <c r="B3" t="s">
        <v>133</v>
      </c>
    </row>
    <row r="5" spans="1:24" x14ac:dyDescent="0.25">
      <c r="B5">
        <f>'Casing Review'!B4</f>
        <v>0</v>
      </c>
      <c r="F5">
        <f>'Casing Review'!B5</f>
        <v>0</v>
      </c>
      <c r="I5" s="678">
        <f>'Casing Review'!B6</f>
        <v>0</v>
      </c>
      <c r="J5" s="679"/>
    </row>
    <row r="7" spans="1:24" x14ac:dyDescent="0.25">
      <c r="D7" t="s">
        <v>134</v>
      </c>
      <c r="E7" t="s">
        <v>135</v>
      </c>
      <c r="G7" s="460" t="s">
        <v>136</v>
      </c>
      <c r="H7" s="262"/>
      <c r="I7" s="446" t="s">
        <v>138</v>
      </c>
      <c r="T7" s="460" t="s">
        <v>139</v>
      </c>
      <c r="U7" s="568" t="e">
        <f>#REF!</f>
        <v>#REF!</v>
      </c>
      <c r="V7" s="568" t="e">
        <f>#REF!</f>
        <v>#REF!</v>
      </c>
      <c r="W7" t="s">
        <v>140</v>
      </c>
    </row>
    <row r="8" spans="1:24" x14ac:dyDescent="0.25">
      <c r="A8" s="674" t="s">
        <v>141</v>
      </c>
      <c r="B8" s="675"/>
      <c r="C8" s="263"/>
      <c r="D8" t="e">
        <f>IF('Casing Review'!$E$9="n", 0,LOOKUP($C8,B$16:B$42,I$16:I$42))</f>
        <v>#N/A</v>
      </c>
      <c r="E8" t="e">
        <f>IF('Casing Review'!$E$9="n", 0,LOOKUP($C8,B$16:B$42,J$16:J$42))</f>
        <v>#N/A</v>
      </c>
      <c r="G8" s="460" t="s">
        <v>142</v>
      </c>
      <c r="H8" s="264"/>
      <c r="I8" t="s">
        <v>143</v>
      </c>
    </row>
    <row r="9" spans="1:24" x14ac:dyDescent="0.25">
      <c r="A9" s="674" t="s">
        <v>144</v>
      </c>
      <c r="B9" s="675"/>
      <c r="C9" s="263"/>
      <c r="D9" t="e">
        <f>IF('Casing Review'!$E$9="n", 0,LOOKUP($C9,B$16:B$42,I$16:I$42))</f>
        <v>#N/A</v>
      </c>
      <c r="E9" t="e">
        <f>IF('Casing Review'!$E$9="n", 0,LOOKUP($C9,B$16:B$42,J$16:J$42))</f>
        <v>#N/A</v>
      </c>
      <c r="G9" s="460" t="s">
        <v>145</v>
      </c>
      <c r="H9" s="264"/>
      <c r="I9" t="s">
        <v>143</v>
      </c>
      <c r="J9" t="s">
        <v>146</v>
      </c>
      <c r="U9" t="s">
        <v>147</v>
      </c>
      <c r="V9" t="s">
        <v>148</v>
      </c>
    </row>
    <row r="10" spans="1:24" ht="15.75" customHeight="1" thickBot="1" x14ac:dyDescent="0.3">
      <c r="A10" s="676" t="s">
        <v>149</v>
      </c>
      <c r="B10" s="677"/>
      <c r="C10" s="605">
        <f>MAX(B16:B42)</f>
        <v>0</v>
      </c>
      <c r="D10" t="e">
        <f>IF('Casing Review'!$E$9="n", 0,LOOKUP($C10,B$16:B$42,I$16:I$42))</f>
        <v>#N/A</v>
      </c>
      <c r="E10" t="e">
        <f>IF('Casing Review'!$E$9="n", 0,LOOKUP($C10,B$16:B$42,J$16:J$42))</f>
        <v>#N/A</v>
      </c>
      <c r="F10" t="s">
        <v>150</v>
      </c>
      <c r="G10" s="460"/>
      <c r="H10" s="264"/>
      <c r="U10" t="s">
        <v>151</v>
      </c>
      <c r="V10" t="s">
        <v>152</v>
      </c>
    </row>
    <row r="12" spans="1:24" x14ac:dyDescent="0.25">
      <c r="B12" t="s">
        <v>91</v>
      </c>
      <c r="C12" t="s">
        <v>153</v>
      </c>
      <c r="D12" t="s">
        <v>154</v>
      </c>
      <c r="E12" t="s">
        <v>155</v>
      </c>
      <c r="F12" t="s">
        <v>156</v>
      </c>
      <c r="G12" t="s">
        <v>157</v>
      </c>
      <c r="H12" t="s">
        <v>89</v>
      </c>
      <c r="I12" t="s">
        <v>134</v>
      </c>
      <c r="J12" t="s">
        <v>135</v>
      </c>
      <c r="K12" t="s">
        <v>158</v>
      </c>
      <c r="L12" t="s">
        <v>159</v>
      </c>
      <c r="M12" t="s">
        <v>160</v>
      </c>
      <c r="N12" t="s">
        <v>156</v>
      </c>
      <c r="O12" t="b">
        <v>1</v>
      </c>
      <c r="P12" t="s">
        <v>161</v>
      </c>
      <c r="Q12" t="s">
        <v>162</v>
      </c>
      <c r="R12" t="s">
        <v>163</v>
      </c>
      <c r="S12" t="s">
        <v>164</v>
      </c>
      <c r="T12" t="s">
        <v>165</v>
      </c>
      <c r="U12" t="s">
        <v>165</v>
      </c>
      <c r="V12" t="s">
        <v>165</v>
      </c>
      <c r="W12" t="s">
        <v>165</v>
      </c>
      <c r="X12" t="s">
        <v>166</v>
      </c>
    </row>
    <row r="13" spans="1:24" ht="15.75" customHeight="1" thickBot="1" x14ac:dyDescent="0.3">
      <c r="F13" t="s">
        <v>167</v>
      </c>
      <c r="I13" t="s">
        <v>168</v>
      </c>
      <c r="J13" t="s">
        <v>168</v>
      </c>
      <c r="K13" t="s">
        <v>169</v>
      </c>
      <c r="L13" t="s">
        <v>170</v>
      </c>
      <c r="M13" t="s">
        <v>171</v>
      </c>
      <c r="N13" t="s">
        <v>172</v>
      </c>
      <c r="O13" t="s">
        <v>170</v>
      </c>
      <c r="R13" t="s">
        <v>173</v>
      </c>
      <c r="S13" t="s">
        <v>173</v>
      </c>
      <c r="T13" t="s">
        <v>174</v>
      </c>
      <c r="U13" t="s">
        <v>89</v>
      </c>
      <c r="V13">
        <f>IF(B47&gt;0,1,2)</f>
        <v>2</v>
      </c>
      <c r="W13">
        <f>IF(D47&gt;0,1,2)</f>
        <v>2</v>
      </c>
      <c r="X13" t="s">
        <v>175</v>
      </c>
    </row>
    <row r="14" spans="1:24" ht="15.75" customHeight="1" thickBot="1" x14ac:dyDescent="0.3">
      <c r="B14" t="s">
        <v>176</v>
      </c>
      <c r="C14" t="s">
        <v>177</v>
      </c>
      <c r="D14" t="s">
        <v>177</v>
      </c>
      <c r="E14" t="s">
        <v>177</v>
      </c>
      <c r="F14" t="s">
        <v>177</v>
      </c>
      <c r="G14" t="s">
        <v>178</v>
      </c>
      <c r="H14" t="s">
        <v>176</v>
      </c>
      <c r="I14" s="429" t="s">
        <v>176</v>
      </c>
      <c r="J14" s="585" t="s">
        <v>176</v>
      </c>
      <c r="K14" t="s">
        <v>176</v>
      </c>
      <c r="L14" t="s">
        <v>177</v>
      </c>
      <c r="M14" t="s">
        <v>176</v>
      </c>
      <c r="N14" t="s">
        <v>179</v>
      </c>
      <c r="O14" t="s">
        <v>177</v>
      </c>
      <c r="P14" t="s">
        <v>176</v>
      </c>
      <c r="Q14" t="s">
        <v>176</v>
      </c>
      <c r="R14" t="s">
        <v>176</v>
      </c>
      <c r="S14" t="s">
        <v>177</v>
      </c>
      <c r="T14" t="s">
        <v>176</v>
      </c>
      <c r="U14" t="s">
        <v>176</v>
      </c>
      <c r="V14" t="s">
        <v>176</v>
      </c>
      <c r="W14" t="s">
        <v>176</v>
      </c>
      <c r="X14" t="s">
        <v>180</v>
      </c>
    </row>
    <row r="15" spans="1:24" x14ac:dyDescent="0.25">
      <c r="I15" s="598"/>
      <c r="J15" s="581"/>
      <c r="V15" s="585">
        <f>MAX(B47:C47)</f>
        <v>0</v>
      </c>
      <c r="W15" s="429">
        <f>MAX(D47:E47)</f>
        <v>0</v>
      </c>
    </row>
    <row r="16" spans="1:24" x14ac:dyDescent="0.25">
      <c r="B16" s="263"/>
      <c r="C16" s="264"/>
      <c r="D16" s="264"/>
      <c r="E16" t="e">
        <f t="shared" ref="E16:E42" si="0">IF($H$7="M",D16+$H$8-$H$9,IF( AND($H$7="T",$A$45="g"),D16-$H$9,IF(AND($H$7="g",$A$45="t"),D16+$H$9,D16)))</f>
        <v>#VALUE!</v>
      </c>
      <c r="F16">
        <f t="shared" ref="F16:F42" si="1">IF(C16=C15,0,ACOS(COS(C15*PI()/180)*COS(C16*PI()/180)+(SIN(C15*PI()/180)*SIN(C16*PI()/180))*COS((E16-E15)*PI()/180))*180/PI())</f>
        <v>0</v>
      </c>
      <c r="G16">
        <f t="shared" ref="G16:G42" si="2">IF(F16=0,1,(2/F16)*(180/PI())*TAN(F16*PI()/180/2))</f>
        <v>1</v>
      </c>
      <c r="H16" s="600">
        <f t="shared" ref="H16:H42" si="3">H15+(G16*((B16-B15)/2*(COS(C15*PI()/180)+COS(C16*PI()/180))))</f>
        <v>0</v>
      </c>
      <c r="I16" s="606" t="e">
        <f t="shared" ref="I16:I42" si="4">I15+G16*((B16-B15)/2)*(SIN(C15*PI()/180)*COS(E15*PI()/180)+SIN(C16*PI()/180)*COS(E16*PI()/180))</f>
        <v>#VALUE!</v>
      </c>
      <c r="J16" s="607" t="e">
        <f t="shared" ref="J16:J42" si="5">J15+G16*((B16-B15)/2)*(SIN(C15*PI()/180)*SIN(E15*PI()/180)+SIN(C16*PI()/180)*SIN(E16*PI()/180))</f>
        <v>#VALUE!</v>
      </c>
      <c r="K16" s="600" t="e">
        <f t="shared" ref="K16:K42" si="6">SQRT(I16^2+J16^2)</f>
        <v>#VALUE!</v>
      </c>
      <c r="L16" s="242" t="e">
        <f t="shared" ref="L16:L42" si="7">IF(AND(I16=0,J16=0),0,(IF(AND(I16&gt;=0,J16&gt;=0),ATAN(J16/I16)*(180/PI()),IF(AND(I16&lt;0,J16&gt;=0),ATAN(J16/I16)*(180/PI())+180,IF(AND(I16&lt;0,J16&lt;0),ATAN(J16/I16)*(180/PI())+180,ATAN(J16/I16)*(180/PI())+360)))))</f>
        <v>#VALUE!</v>
      </c>
      <c r="M16" s="600" t="e">
        <f t="shared" ref="M16:M42" si="8">ABS(SQRT(I16^2+J16^2)*(COS(RADIANS(($H$10-IF(I16=0,0,DEGREES(ATAN(J16/I16))))))))</f>
        <v>#VALUE!</v>
      </c>
      <c r="N16" s="242">
        <f t="shared" ref="N16:N42" si="9">IF(B16=B15,0,F16*100/(B16-B15))</f>
        <v>0</v>
      </c>
      <c r="O16" t="e">
        <f t="shared" ref="O16:O42" si="10">E16+$F$7</f>
        <v>#VALUE!</v>
      </c>
      <c r="P16" t="e">
        <f t="shared" ref="P16:P42" si="11">G16*((B16-B15)/2)*(SIN(C15*PI()/180)*COS(E15*PI()/180)+SIN(C16*PI()/180)*COS(E16*PI()/180))</f>
        <v>#VALUE!</v>
      </c>
      <c r="Q16" t="e">
        <f t="shared" ref="Q16:Q42" si="12">G16*((B16-B15)/2)*(SIN(C15*PI()/180)*SIN(E15*PI()/180)+SIN(C16*PI()/180)*SIN(E16*PI()/180))</f>
        <v>#VALUE!</v>
      </c>
      <c r="R16" t="e">
        <f t="shared" ref="R16:R42" si="13">SQRT(P16^2+Q16^2)</f>
        <v>#VALUE!</v>
      </c>
      <c r="S16" t="e">
        <f t="shared" ref="S16:S42" si="14">IF(AND(P16=0,Q16=0),0,IF(AND(P16&gt;=0,Q16&gt;=0),ATAN(Q16/P16)*(180/PI()),IF(AND(P16&lt;0,Q16&gt;=0),ATAN(Q16/P16)*(180/PI())+180,IF(AND(P16&lt;0,Q16&lt;0),ATAN(Q16/P16)*(180/PI())+180,ATAN(Q16/P16)*(180/PI())+360))))</f>
        <v>#VALUE!</v>
      </c>
      <c r="T16" s="600" t="e">
        <f t="shared" ref="T16:T42" si="15">M16</f>
        <v>#VALUE!</v>
      </c>
      <c r="U16" s="600">
        <f t="shared" ref="U16:U42" si="16">(-H16)</f>
        <v>0</v>
      </c>
      <c r="V16" s="199" t="e">
        <f t="shared" ref="V16:V42" si="17">IF($V$13=1,V$15-I16,V$15+I16)</f>
        <v>#VALUE!</v>
      </c>
      <c r="W16" s="157" t="e">
        <f t="shared" ref="W16:W42" si="18">IF($W$13=1,W$15-J16,W$15+J16)</f>
        <v>#VALUE!</v>
      </c>
      <c r="X16" s="608" t="e">
        <f t="shared" ref="X16:X42" si="19">SQRT((W16-$S$186)^2+(V16-$S$186)^2)</f>
        <v>#VALUE!</v>
      </c>
    </row>
    <row r="17" spans="1:24" x14ac:dyDescent="0.25">
      <c r="A17">
        <f>'Casing Review'!D12</f>
        <v>0</v>
      </c>
      <c r="B17" s="263"/>
      <c r="C17" s="264"/>
      <c r="D17" s="264"/>
      <c r="E17" t="e">
        <f t="shared" si="0"/>
        <v>#VALUE!</v>
      </c>
      <c r="F17">
        <f t="shared" si="1"/>
        <v>0</v>
      </c>
      <c r="G17">
        <f t="shared" si="2"/>
        <v>1</v>
      </c>
      <c r="H17" s="600">
        <f t="shared" si="3"/>
        <v>0</v>
      </c>
      <c r="I17" s="606" t="e">
        <f t="shared" si="4"/>
        <v>#VALUE!</v>
      </c>
      <c r="J17" s="607" t="e">
        <f t="shared" si="5"/>
        <v>#VALUE!</v>
      </c>
      <c r="K17" s="600" t="e">
        <f t="shared" si="6"/>
        <v>#VALUE!</v>
      </c>
      <c r="L17" s="242" t="e">
        <f t="shared" si="7"/>
        <v>#VALUE!</v>
      </c>
      <c r="M17" s="600" t="e">
        <f t="shared" si="8"/>
        <v>#VALUE!</v>
      </c>
      <c r="N17" s="242">
        <f t="shared" si="9"/>
        <v>0</v>
      </c>
      <c r="O17" t="e">
        <f t="shared" si="10"/>
        <v>#VALUE!</v>
      </c>
      <c r="P17" t="e">
        <f t="shared" si="11"/>
        <v>#VALUE!</v>
      </c>
      <c r="Q17" t="e">
        <f t="shared" si="12"/>
        <v>#VALUE!</v>
      </c>
      <c r="R17" t="e">
        <f t="shared" si="13"/>
        <v>#VALUE!</v>
      </c>
      <c r="S17" t="e">
        <f t="shared" si="14"/>
        <v>#VALUE!</v>
      </c>
      <c r="T17" s="600" t="e">
        <f t="shared" si="15"/>
        <v>#VALUE!</v>
      </c>
      <c r="U17" s="600">
        <f t="shared" si="16"/>
        <v>0</v>
      </c>
      <c r="V17" s="199" t="e">
        <f t="shared" si="17"/>
        <v>#VALUE!</v>
      </c>
      <c r="W17" s="157" t="e">
        <f t="shared" si="18"/>
        <v>#VALUE!</v>
      </c>
      <c r="X17" s="608" t="e">
        <f t="shared" si="19"/>
        <v>#VALUE!</v>
      </c>
    </row>
    <row r="18" spans="1:24" x14ac:dyDescent="0.25">
      <c r="A18" s="446">
        <f>'Casing Review'!D14</f>
        <v>0</v>
      </c>
      <c r="B18" s="263"/>
      <c r="C18" s="264"/>
      <c r="D18" s="264"/>
      <c r="E18" t="e">
        <f t="shared" si="0"/>
        <v>#VALUE!</v>
      </c>
      <c r="F18">
        <f t="shared" si="1"/>
        <v>0</v>
      </c>
      <c r="G18">
        <f t="shared" si="2"/>
        <v>1</v>
      </c>
      <c r="H18" s="600">
        <f t="shared" si="3"/>
        <v>0</v>
      </c>
      <c r="I18" s="606" t="e">
        <f t="shared" si="4"/>
        <v>#VALUE!</v>
      </c>
      <c r="J18" s="607" t="e">
        <f t="shared" si="5"/>
        <v>#VALUE!</v>
      </c>
      <c r="K18" s="600" t="e">
        <f t="shared" si="6"/>
        <v>#VALUE!</v>
      </c>
      <c r="L18" s="242" t="e">
        <f t="shared" si="7"/>
        <v>#VALUE!</v>
      </c>
      <c r="M18" s="600" t="e">
        <f t="shared" si="8"/>
        <v>#VALUE!</v>
      </c>
      <c r="N18" s="242">
        <f t="shared" si="9"/>
        <v>0</v>
      </c>
      <c r="O18" t="e">
        <f t="shared" si="10"/>
        <v>#VALUE!</v>
      </c>
      <c r="P18" t="e">
        <f t="shared" si="11"/>
        <v>#VALUE!</v>
      </c>
      <c r="Q18" t="e">
        <f t="shared" si="12"/>
        <v>#VALUE!</v>
      </c>
      <c r="R18" t="e">
        <f t="shared" si="13"/>
        <v>#VALUE!</v>
      </c>
      <c r="S18" t="e">
        <f t="shared" si="14"/>
        <v>#VALUE!</v>
      </c>
      <c r="T18" s="600" t="e">
        <f t="shared" si="15"/>
        <v>#VALUE!</v>
      </c>
      <c r="U18" s="600">
        <f t="shared" si="16"/>
        <v>0</v>
      </c>
      <c r="V18" s="199" t="e">
        <f t="shared" si="17"/>
        <v>#VALUE!</v>
      </c>
      <c r="W18" s="157" t="e">
        <f t="shared" si="18"/>
        <v>#VALUE!</v>
      </c>
      <c r="X18" s="608" t="e">
        <f t="shared" si="19"/>
        <v>#VALUE!</v>
      </c>
    </row>
    <row r="19" spans="1:24" x14ac:dyDescent="0.25">
      <c r="A19">
        <f>'Casing Review'!D16</f>
        <v>0</v>
      </c>
      <c r="B19" s="263"/>
      <c r="C19" s="264"/>
      <c r="D19" s="264"/>
      <c r="E19" t="e">
        <f t="shared" si="0"/>
        <v>#VALUE!</v>
      </c>
      <c r="F19">
        <f t="shared" si="1"/>
        <v>0</v>
      </c>
      <c r="G19">
        <f t="shared" si="2"/>
        <v>1</v>
      </c>
      <c r="H19" s="600">
        <f t="shared" si="3"/>
        <v>0</v>
      </c>
      <c r="I19" s="606" t="e">
        <f t="shared" si="4"/>
        <v>#VALUE!</v>
      </c>
      <c r="J19" s="607" t="e">
        <f t="shared" si="5"/>
        <v>#VALUE!</v>
      </c>
      <c r="K19" s="600" t="e">
        <f t="shared" si="6"/>
        <v>#VALUE!</v>
      </c>
      <c r="L19" s="242" t="e">
        <f t="shared" si="7"/>
        <v>#VALUE!</v>
      </c>
      <c r="M19" s="600" t="e">
        <f t="shared" si="8"/>
        <v>#VALUE!</v>
      </c>
      <c r="N19" s="242">
        <f t="shared" si="9"/>
        <v>0</v>
      </c>
      <c r="O19" t="e">
        <f t="shared" si="10"/>
        <v>#VALUE!</v>
      </c>
      <c r="P19" s="600" t="e">
        <f t="shared" si="11"/>
        <v>#VALUE!</v>
      </c>
      <c r="Q19" s="600" t="e">
        <f t="shared" si="12"/>
        <v>#VALUE!</v>
      </c>
      <c r="R19" s="600" t="e">
        <f t="shared" si="13"/>
        <v>#VALUE!</v>
      </c>
      <c r="S19" t="e">
        <f t="shared" si="14"/>
        <v>#VALUE!</v>
      </c>
      <c r="T19" s="600" t="e">
        <f t="shared" si="15"/>
        <v>#VALUE!</v>
      </c>
      <c r="U19" s="600">
        <f t="shared" si="16"/>
        <v>0</v>
      </c>
      <c r="V19" s="199" t="e">
        <f t="shared" si="17"/>
        <v>#VALUE!</v>
      </c>
      <c r="W19" s="157" t="e">
        <f t="shared" si="18"/>
        <v>#VALUE!</v>
      </c>
      <c r="X19" s="608" t="e">
        <f t="shared" si="19"/>
        <v>#VALUE!</v>
      </c>
    </row>
    <row r="20" spans="1:24" x14ac:dyDescent="0.25">
      <c r="A20">
        <f>'Casing Review'!D27</f>
        <v>0</v>
      </c>
      <c r="B20" s="263"/>
      <c r="C20" s="264"/>
      <c r="D20" s="264"/>
      <c r="E20" t="e">
        <f t="shared" si="0"/>
        <v>#VALUE!</v>
      </c>
      <c r="F20">
        <f t="shared" si="1"/>
        <v>0</v>
      </c>
      <c r="G20">
        <f t="shared" si="2"/>
        <v>1</v>
      </c>
      <c r="H20" s="600">
        <f t="shared" si="3"/>
        <v>0</v>
      </c>
      <c r="I20" s="606" t="e">
        <f t="shared" si="4"/>
        <v>#VALUE!</v>
      </c>
      <c r="J20" s="607" t="e">
        <f t="shared" si="5"/>
        <v>#VALUE!</v>
      </c>
      <c r="K20" s="600" t="e">
        <f t="shared" si="6"/>
        <v>#VALUE!</v>
      </c>
      <c r="L20" s="242" t="e">
        <f t="shared" si="7"/>
        <v>#VALUE!</v>
      </c>
      <c r="M20" s="600" t="e">
        <f t="shared" si="8"/>
        <v>#VALUE!</v>
      </c>
      <c r="N20" s="242">
        <f t="shared" si="9"/>
        <v>0</v>
      </c>
      <c r="O20" t="e">
        <f t="shared" si="10"/>
        <v>#VALUE!</v>
      </c>
      <c r="P20" s="600" t="e">
        <f t="shared" si="11"/>
        <v>#VALUE!</v>
      </c>
      <c r="Q20" s="600" t="e">
        <f t="shared" si="12"/>
        <v>#VALUE!</v>
      </c>
      <c r="R20" s="600" t="e">
        <f t="shared" si="13"/>
        <v>#VALUE!</v>
      </c>
      <c r="S20" t="e">
        <f t="shared" si="14"/>
        <v>#VALUE!</v>
      </c>
      <c r="T20" s="600" t="e">
        <f t="shared" si="15"/>
        <v>#VALUE!</v>
      </c>
      <c r="U20" s="600">
        <f t="shared" si="16"/>
        <v>0</v>
      </c>
      <c r="V20" s="199" t="e">
        <f t="shared" si="17"/>
        <v>#VALUE!</v>
      </c>
      <c r="W20" s="157" t="e">
        <f t="shared" si="18"/>
        <v>#VALUE!</v>
      </c>
      <c r="X20" s="608" t="e">
        <f t="shared" si="19"/>
        <v>#VALUE!</v>
      </c>
    </row>
    <row r="21" spans="1:24" x14ac:dyDescent="0.25">
      <c r="B21" s="263"/>
      <c r="C21" s="264"/>
      <c r="D21" s="264"/>
      <c r="E21" t="e">
        <f t="shared" si="0"/>
        <v>#VALUE!</v>
      </c>
      <c r="F21">
        <f t="shared" si="1"/>
        <v>0</v>
      </c>
      <c r="G21">
        <f t="shared" si="2"/>
        <v>1</v>
      </c>
      <c r="H21" s="600">
        <f t="shared" si="3"/>
        <v>0</v>
      </c>
      <c r="I21" s="606" t="e">
        <f t="shared" si="4"/>
        <v>#VALUE!</v>
      </c>
      <c r="J21" s="607" t="e">
        <f t="shared" si="5"/>
        <v>#VALUE!</v>
      </c>
      <c r="K21" s="600" t="e">
        <f t="shared" si="6"/>
        <v>#VALUE!</v>
      </c>
      <c r="L21" s="242" t="e">
        <f t="shared" si="7"/>
        <v>#VALUE!</v>
      </c>
      <c r="M21" s="600" t="e">
        <f t="shared" si="8"/>
        <v>#VALUE!</v>
      </c>
      <c r="N21" s="242">
        <f t="shared" si="9"/>
        <v>0</v>
      </c>
      <c r="O21" t="e">
        <f t="shared" si="10"/>
        <v>#VALUE!</v>
      </c>
      <c r="P21" s="600" t="e">
        <f t="shared" si="11"/>
        <v>#VALUE!</v>
      </c>
      <c r="Q21" s="600" t="e">
        <f t="shared" si="12"/>
        <v>#VALUE!</v>
      </c>
      <c r="R21" s="600" t="e">
        <f t="shared" si="13"/>
        <v>#VALUE!</v>
      </c>
      <c r="S21" t="e">
        <f t="shared" si="14"/>
        <v>#VALUE!</v>
      </c>
      <c r="T21" s="600" t="e">
        <f t="shared" si="15"/>
        <v>#VALUE!</v>
      </c>
      <c r="U21" s="600">
        <f t="shared" si="16"/>
        <v>0</v>
      </c>
      <c r="V21" s="199" t="e">
        <f t="shared" si="17"/>
        <v>#VALUE!</v>
      </c>
      <c r="W21" s="157" t="e">
        <f t="shared" si="18"/>
        <v>#VALUE!</v>
      </c>
      <c r="X21" s="608" t="e">
        <f t="shared" si="19"/>
        <v>#VALUE!</v>
      </c>
    </row>
    <row r="22" spans="1:24" x14ac:dyDescent="0.25">
      <c r="B22" s="263"/>
      <c r="C22" s="264"/>
      <c r="D22" s="264"/>
      <c r="E22" t="e">
        <f t="shared" si="0"/>
        <v>#VALUE!</v>
      </c>
      <c r="F22">
        <f t="shared" si="1"/>
        <v>0</v>
      </c>
      <c r="G22">
        <f t="shared" si="2"/>
        <v>1</v>
      </c>
      <c r="H22" s="600">
        <f t="shared" si="3"/>
        <v>0</v>
      </c>
      <c r="I22" s="606" t="e">
        <f t="shared" si="4"/>
        <v>#VALUE!</v>
      </c>
      <c r="J22" s="607" t="e">
        <f t="shared" si="5"/>
        <v>#VALUE!</v>
      </c>
      <c r="K22" s="600" t="e">
        <f t="shared" si="6"/>
        <v>#VALUE!</v>
      </c>
      <c r="L22" s="242" t="e">
        <f t="shared" si="7"/>
        <v>#VALUE!</v>
      </c>
      <c r="M22" s="600" t="e">
        <f t="shared" si="8"/>
        <v>#VALUE!</v>
      </c>
      <c r="N22" s="242">
        <f t="shared" si="9"/>
        <v>0</v>
      </c>
      <c r="O22" t="e">
        <f t="shared" si="10"/>
        <v>#VALUE!</v>
      </c>
      <c r="P22" s="600" t="e">
        <f t="shared" si="11"/>
        <v>#VALUE!</v>
      </c>
      <c r="Q22" s="600" t="e">
        <f t="shared" si="12"/>
        <v>#VALUE!</v>
      </c>
      <c r="R22" s="600" t="e">
        <f t="shared" si="13"/>
        <v>#VALUE!</v>
      </c>
      <c r="S22" t="e">
        <f t="shared" si="14"/>
        <v>#VALUE!</v>
      </c>
      <c r="T22" s="600" t="e">
        <f t="shared" si="15"/>
        <v>#VALUE!</v>
      </c>
      <c r="U22" s="600">
        <f t="shared" si="16"/>
        <v>0</v>
      </c>
      <c r="V22" s="199" t="e">
        <f t="shared" si="17"/>
        <v>#VALUE!</v>
      </c>
      <c r="W22" s="157" t="e">
        <f t="shared" si="18"/>
        <v>#VALUE!</v>
      </c>
      <c r="X22" s="608" t="e">
        <f t="shared" si="19"/>
        <v>#VALUE!</v>
      </c>
    </row>
    <row r="23" spans="1:24" x14ac:dyDescent="0.25">
      <c r="B23" s="263"/>
      <c r="C23" s="264"/>
      <c r="D23" s="264"/>
      <c r="E23" t="e">
        <f t="shared" si="0"/>
        <v>#VALUE!</v>
      </c>
      <c r="F23">
        <f t="shared" si="1"/>
        <v>0</v>
      </c>
      <c r="G23">
        <f t="shared" si="2"/>
        <v>1</v>
      </c>
      <c r="H23" s="600">
        <f t="shared" si="3"/>
        <v>0</v>
      </c>
      <c r="I23" s="606" t="e">
        <f t="shared" si="4"/>
        <v>#VALUE!</v>
      </c>
      <c r="J23" s="607" t="e">
        <f t="shared" si="5"/>
        <v>#VALUE!</v>
      </c>
      <c r="K23" s="600" t="e">
        <f t="shared" si="6"/>
        <v>#VALUE!</v>
      </c>
      <c r="L23" s="242" t="e">
        <f t="shared" si="7"/>
        <v>#VALUE!</v>
      </c>
      <c r="M23" s="600" t="e">
        <f t="shared" si="8"/>
        <v>#VALUE!</v>
      </c>
      <c r="N23" s="242">
        <f t="shared" si="9"/>
        <v>0</v>
      </c>
      <c r="O23" t="e">
        <f t="shared" si="10"/>
        <v>#VALUE!</v>
      </c>
      <c r="P23" s="600" t="e">
        <f t="shared" si="11"/>
        <v>#VALUE!</v>
      </c>
      <c r="Q23" s="600" t="e">
        <f t="shared" si="12"/>
        <v>#VALUE!</v>
      </c>
      <c r="R23" s="600" t="e">
        <f t="shared" si="13"/>
        <v>#VALUE!</v>
      </c>
      <c r="S23" t="e">
        <f t="shared" si="14"/>
        <v>#VALUE!</v>
      </c>
      <c r="T23" s="600" t="e">
        <f t="shared" si="15"/>
        <v>#VALUE!</v>
      </c>
      <c r="U23" s="600">
        <f t="shared" si="16"/>
        <v>0</v>
      </c>
      <c r="V23" s="199" t="e">
        <f t="shared" si="17"/>
        <v>#VALUE!</v>
      </c>
      <c r="W23" s="157" t="e">
        <f t="shared" si="18"/>
        <v>#VALUE!</v>
      </c>
      <c r="X23" s="608" t="e">
        <f t="shared" si="19"/>
        <v>#VALUE!</v>
      </c>
    </row>
    <row r="24" spans="1:24" x14ac:dyDescent="0.25">
      <c r="B24" s="263"/>
      <c r="C24" s="264"/>
      <c r="D24" s="264"/>
      <c r="E24" t="e">
        <f t="shared" si="0"/>
        <v>#VALUE!</v>
      </c>
      <c r="F24">
        <f t="shared" si="1"/>
        <v>0</v>
      </c>
      <c r="G24">
        <f t="shared" si="2"/>
        <v>1</v>
      </c>
      <c r="H24" s="600">
        <f t="shared" si="3"/>
        <v>0</v>
      </c>
      <c r="I24" s="606" t="e">
        <f t="shared" si="4"/>
        <v>#VALUE!</v>
      </c>
      <c r="J24" s="607" t="e">
        <f t="shared" si="5"/>
        <v>#VALUE!</v>
      </c>
      <c r="K24" s="600" t="e">
        <f t="shared" si="6"/>
        <v>#VALUE!</v>
      </c>
      <c r="L24" s="242" t="e">
        <f t="shared" si="7"/>
        <v>#VALUE!</v>
      </c>
      <c r="M24" s="600" t="e">
        <f t="shared" si="8"/>
        <v>#VALUE!</v>
      </c>
      <c r="N24" s="242">
        <f t="shared" si="9"/>
        <v>0</v>
      </c>
      <c r="O24" t="e">
        <f t="shared" si="10"/>
        <v>#VALUE!</v>
      </c>
      <c r="P24" s="600" t="e">
        <f t="shared" si="11"/>
        <v>#VALUE!</v>
      </c>
      <c r="Q24" s="600" t="e">
        <f t="shared" si="12"/>
        <v>#VALUE!</v>
      </c>
      <c r="R24" s="600" t="e">
        <f t="shared" si="13"/>
        <v>#VALUE!</v>
      </c>
      <c r="S24" t="e">
        <f t="shared" si="14"/>
        <v>#VALUE!</v>
      </c>
      <c r="T24" s="600" t="e">
        <f t="shared" si="15"/>
        <v>#VALUE!</v>
      </c>
      <c r="U24" s="600">
        <f t="shared" si="16"/>
        <v>0</v>
      </c>
      <c r="V24" s="199" t="e">
        <f t="shared" si="17"/>
        <v>#VALUE!</v>
      </c>
      <c r="W24" s="157" t="e">
        <f t="shared" si="18"/>
        <v>#VALUE!</v>
      </c>
      <c r="X24" s="608" t="e">
        <f t="shared" si="19"/>
        <v>#VALUE!</v>
      </c>
    </row>
    <row r="25" spans="1:24" x14ac:dyDescent="0.25">
      <c r="B25" s="263"/>
      <c r="C25" s="264"/>
      <c r="D25" s="264"/>
      <c r="E25" t="e">
        <f t="shared" si="0"/>
        <v>#VALUE!</v>
      </c>
      <c r="F25">
        <f t="shared" si="1"/>
        <v>0</v>
      </c>
      <c r="G25">
        <f t="shared" si="2"/>
        <v>1</v>
      </c>
      <c r="H25" s="600">
        <f t="shared" si="3"/>
        <v>0</v>
      </c>
      <c r="I25" s="606" t="e">
        <f t="shared" si="4"/>
        <v>#VALUE!</v>
      </c>
      <c r="J25" s="607" t="e">
        <f t="shared" si="5"/>
        <v>#VALUE!</v>
      </c>
      <c r="K25" s="600" t="e">
        <f t="shared" si="6"/>
        <v>#VALUE!</v>
      </c>
      <c r="L25" s="242" t="e">
        <f t="shared" si="7"/>
        <v>#VALUE!</v>
      </c>
      <c r="M25" s="600" t="e">
        <f t="shared" si="8"/>
        <v>#VALUE!</v>
      </c>
      <c r="N25" s="242">
        <f t="shared" si="9"/>
        <v>0</v>
      </c>
      <c r="O25" t="e">
        <f t="shared" si="10"/>
        <v>#VALUE!</v>
      </c>
      <c r="P25" s="600" t="e">
        <f t="shared" si="11"/>
        <v>#VALUE!</v>
      </c>
      <c r="Q25" s="600" t="e">
        <f t="shared" si="12"/>
        <v>#VALUE!</v>
      </c>
      <c r="R25" s="600" t="e">
        <f t="shared" si="13"/>
        <v>#VALUE!</v>
      </c>
      <c r="S25" t="e">
        <f t="shared" si="14"/>
        <v>#VALUE!</v>
      </c>
      <c r="T25" s="600" t="e">
        <f t="shared" si="15"/>
        <v>#VALUE!</v>
      </c>
      <c r="U25" s="600">
        <f t="shared" si="16"/>
        <v>0</v>
      </c>
      <c r="V25" s="199" t="e">
        <f t="shared" si="17"/>
        <v>#VALUE!</v>
      </c>
      <c r="W25" s="157" t="e">
        <f t="shared" si="18"/>
        <v>#VALUE!</v>
      </c>
      <c r="X25" s="608" t="e">
        <f t="shared" si="19"/>
        <v>#VALUE!</v>
      </c>
    </row>
    <row r="26" spans="1:24" x14ac:dyDescent="0.25">
      <c r="B26" s="263"/>
      <c r="C26" s="264"/>
      <c r="D26" s="264"/>
      <c r="E26" t="e">
        <f t="shared" si="0"/>
        <v>#VALUE!</v>
      </c>
      <c r="F26">
        <f t="shared" si="1"/>
        <v>0</v>
      </c>
      <c r="G26">
        <f t="shared" si="2"/>
        <v>1</v>
      </c>
      <c r="H26" s="600">
        <f t="shared" si="3"/>
        <v>0</v>
      </c>
      <c r="I26" s="606" t="e">
        <f t="shared" si="4"/>
        <v>#VALUE!</v>
      </c>
      <c r="J26" s="607" t="e">
        <f t="shared" si="5"/>
        <v>#VALUE!</v>
      </c>
      <c r="K26" s="600" t="e">
        <f t="shared" si="6"/>
        <v>#VALUE!</v>
      </c>
      <c r="L26" s="242" t="e">
        <f t="shared" si="7"/>
        <v>#VALUE!</v>
      </c>
      <c r="M26" s="600" t="e">
        <f t="shared" si="8"/>
        <v>#VALUE!</v>
      </c>
      <c r="N26" s="242">
        <f t="shared" si="9"/>
        <v>0</v>
      </c>
      <c r="O26" t="e">
        <f t="shared" si="10"/>
        <v>#VALUE!</v>
      </c>
      <c r="P26" s="600" t="e">
        <f t="shared" si="11"/>
        <v>#VALUE!</v>
      </c>
      <c r="Q26" s="600" t="e">
        <f t="shared" si="12"/>
        <v>#VALUE!</v>
      </c>
      <c r="R26" s="600" t="e">
        <f t="shared" si="13"/>
        <v>#VALUE!</v>
      </c>
      <c r="S26" t="e">
        <f t="shared" si="14"/>
        <v>#VALUE!</v>
      </c>
      <c r="T26" s="600" t="e">
        <f t="shared" si="15"/>
        <v>#VALUE!</v>
      </c>
      <c r="U26" s="600">
        <f t="shared" si="16"/>
        <v>0</v>
      </c>
      <c r="V26" s="199" t="e">
        <f t="shared" si="17"/>
        <v>#VALUE!</v>
      </c>
      <c r="W26" s="157" t="e">
        <f t="shared" si="18"/>
        <v>#VALUE!</v>
      </c>
      <c r="X26" s="608" t="e">
        <f t="shared" si="19"/>
        <v>#VALUE!</v>
      </c>
    </row>
    <row r="27" spans="1:24" x14ac:dyDescent="0.25">
      <c r="B27" s="263"/>
      <c r="C27" s="264"/>
      <c r="D27" s="264"/>
      <c r="E27" t="e">
        <f t="shared" si="0"/>
        <v>#VALUE!</v>
      </c>
      <c r="F27">
        <f t="shared" si="1"/>
        <v>0</v>
      </c>
      <c r="G27">
        <f t="shared" si="2"/>
        <v>1</v>
      </c>
      <c r="H27" s="600">
        <f t="shared" si="3"/>
        <v>0</v>
      </c>
      <c r="I27" s="606" t="e">
        <f t="shared" si="4"/>
        <v>#VALUE!</v>
      </c>
      <c r="J27" s="607" t="e">
        <f t="shared" si="5"/>
        <v>#VALUE!</v>
      </c>
      <c r="K27" s="600" t="e">
        <f t="shared" si="6"/>
        <v>#VALUE!</v>
      </c>
      <c r="L27" s="242" t="e">
        <f t="shared" si="7"/>
        <v>#VALUE!</v>
      </c>
      <c r="M27" s="600" t="e">
        <f t="shared" si="8"/>
        <v>#VALUE!</v>
      </c>
      <c r="N27" s="242">
        <f t="shared" si="9"/>
        <v>0</v>
      </c>
      <c r="O27" t="e">
        <f t="shared" si="10"/>
        <v>#VALUE!</v>
      </c>
      <c r="P27" s="600" t="e">
        <f t="shared" si="11"/>
        <v>#VALUE!</v>
      </c>
      <c r="Q27" s="600" t="e">
        <f t="shared" si="12"/>
        <v>#VALUE!</v>
      </c>
      <c r="R27" s="600" t="e">
        <f t="shared" si="13"/>
        <v>#VALUE!</v>
      </c>
      <c r="S27" t="e">
        <f t="shared" si="14"/>
        <v>#VALUE!</v>
      </c>
      <c r="T27" s="600" t="e">
        <f t="shared" si="15"/>
        <v>#VALUE!</v>
      </c>
      <c r="U27" s="600">
        <f t="shared" si="16"/>
        <v>0</v>
      </c>
      <c r="V27" s="199" t="e">
        <f t="shared" si="17"/>
        <v>#VALUE!</v>
      </c>
      <c r="W27" s="157" t="e">
        <f t="shared" si="18"/>
        <v>#VALUE!</v>
      </c>
      <c r="X27" s="608" t="e">
        <f t="shared" si="19"/>
        <v>#VALUE!</v>
      </c>
    </row>
    <row r="28" spans="1:24" x14ac:dyDescent="0.25">
      <c r="B28" s="263"/>
      <c r="C28" s="264"/>
      <c r="D28" s="264"/>
      <c r="E28" t="e">
        <f t="shared" si="0"/>
        <v>#VALUE!</v>
      </c>
      <c r="F28">
        <f t="shared" si="1"/>
        <v>0</v>
      </c>
      <c r="G28">
        <f t="shared" si="2"/>
        <v>1</v>
      </c>
      <c r="H28" s="600">
        <f t="shared" si="3"/>
        <v>0</v>
      </c>
      <c r="I28" s="606" t="e">
        <f t="shared" si="4"/>
        <v>#VALUE!</v>
      </c>
      <c r="J28" s="607" t="e">
        <f t="shared" si="5"/>
        <v>#VALUE!</v>
      </c>
      <c r="K28" s="600" t="e">
        <f t="shared" si="6"/>
        <v>#VALUE!</v>
      </c>
      <c r="L28" s="242" t="e">
        <f t="shared" si="7"/>
        <v>#VALUE!</v>
      </c>
      <c r="M28" s="600" t="e">
        <f t="shared" si="8"/>
        <v>#VALUE!</v>
      </c>
      <c r="N28" s="242">
        <f t="shared" si="9"/>
        <v>0</v>
      </c>
      <c r="O28" t="e">
        <f t="shared" si="10"/>
        <v>#VALUE!</v>
      </c>
      <c r="P28" s="600" t="e">
        <f t="shared" si="11"/>
        <v>#VALUE!</v>
      </c>
      <c r="Q28" s="600" t="e">
        <f t="shared" si="12"/>
        <v>#VALUE!</v>
      </c>
      <c r="R28" s="600" t="e">
        <f t="shared" si="13"/>
        <v>#VALUE!</v>
      </c>
      <c r="S28" t="e">
        <f t="shared" si="14"/>
        <v>#VALUE!</v>
      </c>
      <c r="T28" s="600" t="e">
        <f t="shared" si="15"/>
        <v>#VALUE!</v>
      </c>
      <c r="U28" s="600">
        <f t="shared" si="16"/>
        <v>0</v>
      </c>
      <c r="V28" s="199" t="e">
        <f t="shared" si="17"/>
        <v>#VALUE!</v>
      </c>
      <c r="W28" s="157" t="e">
        <f t="shared" si="18"/>
        <v>#VALUE!</v>
      </c>
      <c r="X28" s="608" t="e">
        <f t="shared" si="19"/>
        <v>#VALUE!</v>
      </c>
    </row>
    <row r="29" spans="1:24" x14ac:dyDescent="0.25">
      <c r="B29" s="263"/>
      <c r="C29" s="264"/>
      <c r="D29" s="264"/>
      <c r="E29" t="e">
        <f t="shared" si="0"/>
        <v>#VALUE!</v>
      </c>
      <c r="F29">
        <f t="shared" si="1"/>
        <v>0</v>
      </c>
      <c r="G29">
        <f t="shared" si="2"/>
        <v>1</v>
      </c>
      <c r="H29" s="600">
        <f t="shared" si="3"/>
        <v>0</v>
      </c>
      <c r="I29" s="606" t="e">
        <f t="shared" si="4"/>
        <v>#VALUE!</v>
      </c>
      <c r="J29" s="607" t="e">
        <f t="shared" si="5"/>
        <v>#VALUE!</v>
      </c>
      <c r="K29" s="600" t="e">
        <f t="shared" si="6"/>
        <v>#VALUE!</v>
      </c>
      <c r="L29" s="242" t="e">
        <f t="shared" si="7"/>
        <v>#VALUE!</v>
      </c>
      <c r="M29" s="600" t="e">
        <f t="shared" si="8"/>
        <v>#VALUE!</v>
      </c>
      <c r="N29" s="242">
        <f t="shared" si="9"/>
        <v>0</v>
      </c>
      <c r="O29" t="e">
        <f t="shared" si="10"/>
        <v>#VALUE!</v>
      </c>
      <c r="P29" s="600" t="e">
        <f t="shared" si="11"/>
        <v>#VALUE!</v>
      </c>
      <c r="Q29" s="600" t="e">
        <f t="shared" si="12"/>
        <v>#VALUE!</v>
      </c>
      <c r="R29" s="600" t="e">
        <f t="shared" si="13"/>
        <v>#VALUE!</v>
      </c>
      <c r="S29" t="e">
        <f t="shared" si="14"/>
        <v>#VALUE!</v>
      </c>
      <c r="T29" s="600" t="e">
        <f t="shared" si="15"/>
        <v>#VALUE!</v>
      </c>
      <c r="U29" s="600">
        <f t="shared" si="16"/>
        <v>0</v>
      </c>
      <c r="V29" s="199" t="e">
        <f t="shared" si="17"/>
        <v>#VALUE!</v>
      </c>
      <c r="W29" s="157" t="e">
        <f t="shared" si="18"/>
        <v>#VALUE!</v>
      </c>
      <c r="X29" s="608" t="e">
        <f t="shared" si="19"/>
        <v>#VALUE!</v>
      </c>
    </row>
    <row r="30" spans="1:24" x14ac:dyDescent="0.25">
      <c r="A30">
        <f>'Casing Review'!D29</f>
        <v>0</v>
      </c>
      <c r="B30" s="263"/>
      <c r="C30" s="264"/>
      <c r="D30" s="264"/>
      <c r="E30" t="e">
        <f t="shared" si="0"/>
        <v>#VALUE!</v>
      </c>
      <c r="F30">
        <f t="shared" si="1"/>
        <v>0</v>
      </c>
      <c r="G30">
        <f t="shared" si="2"/>
        <v>1</v>
      </c>
      <c r="H30" s="600">
        <f t="shared" si="3"/>
        <v>0</v>
      </c>
      <c r="I30" s="606" t="e">
        <f t="shared" si="4"/>
        <v>#VALUE!</v>
      </c>
      <c r="J30" s="607" t="e">
        <f t="shared" si="5"/>
        <v>#VALUE!</v>
      </c>
      <c r="K30" s="600" t="e">
        <f t="shared" si="6"/>
        <v>#VALUE!</v>
      </c>
      <c r="L30" s="242" t="e">
        <f t="shared" si="7"/>
        <v>#VALUE!</v>
      </c>
      <c r="M30" s="600" t="e">
        <f t="shared" si="8"/>
        <v>#VALUE!</v>
      </c>
      <c r="N30" s="242">
        <f t="shared" si="9"/>
        <v>0</v>
      </c>
      <c r="O30" t="e">
        <f t="shared" si="10"/>
        <v>#VALUE!</v>
      </c>
      <c r="P30" s="600" t="e">
        <f t="shared" si="11"/>
        <v>#VALUE!</v>
      </c>
      <c r="Q30" s="600" t="e">
        <f t="shared" si="12"/>
        <v>#VALUE!</v>
      </c>
      <c r="R30" s="600" t="e">
        <f t="shared" si="13"/>
        <v>#VALUE!</v>
      </c>
      <c r="S30" t="e">
        <f t="shared" si="14"/>
        <v>#VALUE!</v>
      </c>
      <c r="T30" s="600" t="e">
        <f t="shared" si="15"/>
        <v>#VALUE!</v>
      </c>
      <c r="U30" s="600">
        <f t="shared" si="16"/>
        <v>0</v>
      </c>
      <c r="V30" s="199" t="e">
        <f t="shared" si="17"/>
        <v>#VALUE!</v>
      </c>
      <c r="W30" s="157" t="e">
        <f t="shared" si="18"/>
        <v>#VALUE!</v>
      </c>
      <c r="X30" s="608" t="e">
        <f t="shared" si="19"/>
        <v>#VALUE!</v>
      </c>
    </row>
    <row r="31" spans="1:24" x14ac:dyDescent="0.25">
      <c r="A31">
        <f>'Casing Review'!D31</f>
        <v>0</v>
      </c>
      <c r="B31" s="263"/>
      <c r="C31" s="264"/>
      <c r="D31" s="264"/>
      <c r="E31" t="e">
        <f t="shared" si="0"/>
        <v>#VALUE!</v>
      </c>
      <c r="F31">
        <f t="shared" si="1"/>
        <v>0</v>
      </c>
      <c r="G31">
        <f t="shared" si="2"/>
        <v>1</v>
      </c>
      <c r="H31" s="600">
        <f t="shared" si="3"/>
        <v>0</v>
      </c>
      <c r="I31" s="606" t="e">
        <f t="shared" si="4"/>
        <v>#VALUE!</v>
      </c>
      <c r="J31" s="607" t="e">
        <f t="shared" si="5"/>
        <v>#VALUE!</v>
      </c>
      <c r="K31" s="600" t="e">
        <f t="shared" si="6"/>
        <v>#VALUE!</v>
      </c>
      <c r="L31" s="242" t="e">
        <f t="shared" si="7"/>
        <v>#VALUE!</v>
      </c>
      <c r="M31" s="600" t="e">
        <f t="shared" si="8"/>
        <v>#VALUE!</v>
      </c>
      <c r="N31" s="242">
        <f t="shared" si="9"/>
        <v>0</v>
      </c>
      <c r="O31" t="e">
        <f t="shared" si="10"/>
        <v>#VALUE!</v>
      </c>
      <c r="P31" s="600" t="e">
        <f t="shared" si="11"/>
        <v>#VALUE!</v>
      </c>
      <c r="Q31" s="600" t="e">
        <f t="shared" si="12"/>
        <v>#VALUE!</v>
      </c>
      <c r="R31" s="600" t="e">
        <f t="shared" si="13"/>
        <v>#VALUE!</v>
      </c>
      <c r="S31" t="e">
        <f t="shared" si="14"/>
        <v>#VALUE!</v>
      </c>
      <c r="T31" s="600" t="e">
        <f t="shared" si="15"/>
        <v>#VALUE!</v>
      </c>
      <c r="U31" s="600">
        <f t="shared" si="16"/>
        <v>0</v>
      </c>
      <c r="V31" s="199" t="e">
        <f t="shared" si="17"/>
        <v>#VALUE!</v>
      </c>
      <c r="W31" s="157" t="e">
        <f t="shared" si="18"/>
        <v>#VALUE!</v>
      </c>
      <c r="X31" s="608" t="e">
        <f t="shared" si="19"/>
        <v>#VALUE!</v>
      </c>
    </row>
    <row r="32" spans="1:24" x14ac:dyDescent="0.25">
      <c r="A32">
        <f>'Casing Review'!D42</f>
        <v>0</v>
      </c>
      <c r="B32" s="263"/>
      <c r="C32" s="264"/>
      <c r="D32" s="264"/>
      <c r="E32" t="e">
        <f t="shared" si="0"/>
        <v>#VALUE!</v>
      </c>
      <c r="F32">
        <f t="shared" si="1"/>
        <v>0</v>
      </c>
      <c r="G32">
        <f t="shared" si="2"/>
        <v>1</v>
      </c>
      <c r="H32" s="600">
        <f t="shared" si="3"/>
        <v>0</v>
      </c>
      <c r="I32" s="606" t="e">
        <f t="shared" si="4"/>
        <v>#VALUE!</v>
      </c>
      <c r="J32" s="607" t="e">
        <f t="shared" si="5"/>
        <v>#VALUE!</v>
      </c>
      <c r="K32" s="600" t="e">
        <f t="shared" si="6"/>
        <v>#VALUE!</v>
      </c>
      <c r="L32" s="242" t="e">
        <f t="shared" si="7"/>
        <v>#VALUE!</v>
      </c>
      <c r="M32" s="600" t="e">
        <f t="shared" si="8"/>
        <v>#VALUE!</v>
      </c>
      <c r="N32" s="242">
        <f t="shared" si="9"/>
        <v>0</v>
      </c>
      <c r="O32" t="e">
        <f t="shared" si="10"/>
        <v>#VALUE!</v>
      </c>
      <c r="P32" s="600" t="e">
        <f t="shared" si="11"/>
        <v>#VALUE!</v>
      </c>
      <c r="Q32" s="600" t="e">
        <f t="shared" si="12"/>
        <v>#VALUE!</v>
      </c>
      <c r="R32" s="600" t="e">
        <f t="shared" si="13"/>
        <v>#VALUE!</v>
      </c>
      <c r="S32" t="e">
        <f t="shared" si="14"/>
        <v>#VALUE!</v>
      </c>
      <c r="T32" s="600" t="e">
        <f t="shared" si="15"/>
        <v>#VALUE!</v>
      </c>
      <c r="U32" s="600">
        <f t="shared" si="16"/>
        <v>0</v>
      </c>
      <c r="V32" s="199" t="e">
        <f t="shared" si="17"/>
        <v>#VALUE!</v>
      </c>
      <c r="W32" s="157" t="e">
        <f t="shared" si="18"/>
        <v>#VALUE!</v>
      </c>
      <c r="X32" s="608" t="e">
        <f t="shared" si="19"/>
        <v>#VALUE!</v>
      </c>
    </row>
    <row r="33" spans="1:24" x14ac:dyDescent="0.25">
      <c r="B33" s="263"/>
      <c r="C33" s="264"/>
      <c r="D33" s="264"/>
      <c r="E33" t="e">
        <f t="shared" si="0"/>
        <v>#VALUE!</v>
      </c>
      <c r="F33">
        <f t="shared" si="1"/>
        <v>0</v>
      </c>
      <c r="G33">
        <f t="shared" si="2"/>
        <v>1</v>
      </c>
      <c r="H33" s="600">
        <f t="shared" si="3"/>
        <v>0</v>
      </c>
      <c r="I33" s="606" t="e">
        <f t="shared" si="4"/>
        <v>#VALUE!</v>
      </c>
      <c r="J33" s="607" t="e">
        <f t="shared" si="5"/>
        <v>#VALUE!</v>
      </c>
      <c r="K33" s="600" t="e">
        <f t="shared" si="6"/>
        <v>#VALUE!</v>
      </c>
      <c r="L33" s="242" t="e">
        <f t="shared" si="7"/>
        <v>#VALUE!</v>
      </c>
      <c r="M33" s="600" t="e">
        <f t="shared" si="8"/>
        <v>#VALUE!</v>
      </c>
      <c r="N33" s="242">
        <f t="shared" si="9"/>
        <v>0</v>
      </c>
      <c r="O33" t="e">
        <f t="shared" si="10"/>
        <v>#VALUE!</v>
      </c>
      <c r="P33" s="600" t="e">
        <f t="shared" si="11"/>
        <v>#VALUE!</v>
      </c>
      <c r="Q33" s="600" t="e">
        <f t="shared" si="12"/>
        <v>#VALUE!</v>
      </c>
      <c r="R33" s="600" t="e">
        <f t="shared" si="13"/>
        <v>#VALUE!</v>
      </c>
      <c r="S33" t="e">
        <f t="shared" si="14"/>
        <v>#VALUE!</v>
      </c>
      <c r="T33" s="600" t="e">
        <f t="shared" si="15"/>
        <v>#VALUE!</v>
      </c>
      <c r="U33" s="600">
        <f t="shared" si="16"/>
        <v>0</v>
      </c>
      <c r="V33" s="199" t="e">
        <f t="shared" si="17"/>
        <v>#VALUE!</v>
      </c>
      <c r="W33" s="157" t="e">
        <f t="shared" si="18"/>
        <v>#VALUE!</v>
      </c>
      <c r="X33" s="608" t="e">
        <f t="shared" si="19"/>
        <v>#VALUE!</v>
      </c>
    </row>
    <row r="34" spans="1:24" x14ac:dyDescent="0.25">
      <c r="A34">
        <f>'Casing Review'!D44</f>
        <v>0</v>
      </c>
      <c r="B34" s="263"/>
      <c r="C34" s="264"/>
      <c r="D34" s="264"/>
      <c r="E34" t="e">
        <f t="shared" si="0"/>
        <v>#VALUE!</v>
      </c>
      <c r="F34">
        <f t="shared" si="1"/>
        <v>0</v>
      </c>
      <c r="G34">
        <f t="shared" si="2"/>
        <v>1</v>
      </c>
      <c r="H34" s="600">
        <f t="shared" si="3"/>
        <v>0</v>
      </c>
      <c r="I34" s="606" t="e">
        <f t="shared" si="4"/>
        <v>#VALUE!</v>
      </c>
      <c r="J34" s="607" t="e">
        <f t="shared" si="5"/>
        <v>#VALUE!</v>
      </c>
      <c r="K34" s="600" t="e">
        <f t="shared" si="6"/>
        <v>#VALUE!</v>
      </c>
      <c r="L34" s="242" t="e">
        <f t="shared" si="7"/>
        <v>#VALUE!</v>
      </c>
      <c r="M34" s="600" t="e">
        <f t="shared" si="8"/>
        <v>#VALUE!</v>
      </c>
      <c r="N34" s="242">
        <f t="shared" si="9"/>
        <v>0</v>
      </c>
      <c r="O34" t="e">
        <f t="shared" si="10"/>
        <v>#VALUE!</v>
      </c>
      <c r="P34" s="600" t="e">
        <f t="shared" si="11"/>
        <v>#VALUE!</v>
      </c>
      <c r="Q34" s="600" t="e">
        <f t="shared" si="12"/>
        <v>#VALUE!</v>
      </c>
      <c r="R34" s="600" t="e">
        <f t="shared" si="13"/>
        <v>#VALUE!</v>
      </c>
      <c r="S34" t="e">
        <f t="shared" si="14"/>
        <v>#VALUE!</v>
      </c>
      <c r="T34" s="600" t="e">
        <f t="shared" si="15"/>
        <v>#VALUE!</v>
      </c>
      <c r="U34" s="600">
        <f t="shared" si="16"/>
        <v>0</v>
      </c>
      <c r="V34" s="199" t="e">
        <f t="shared" si="17"/>
        <v>#VALUE!</v>
      </c>
      <c r="W34" s="157" t="e">
        <f t="shared" si="18"/>
        <v>#VALUE!</v>
      </c>
      <c r="X34" s="608" t="e">
        <f t="shared" si="19"/>
        <v>#VALUE!</v>
      </c>
    </row>
    <row r="35" spans="1:24" x14ac:dyDescent="0.25">
      <c r="A35">
        <f>'Casing Review'!D46</f>
        <v>0</v>
      </c>
      <c r="B35" s="263"/>
      <c r="C35" s="264"/>
      <c r="D35" s="264"/>
      <c r="E35" t="e">
        <f t="shared" si="0"/>
        <v>#VALUE!</v>
      </c>
      <c r="F35">
        <f t="shared" si="1"/>
        <v>0</v>
      </c>
      <c r="G35">
        <f t="shared" si="2"/>
        <v>1</v>
      </c>
      <c r="H35" s="600">
        <f t="shared" si="3"/>
        <v>0</v>
      </c>
      <c r="I35" s="606" t="e">
        <f t="shared" si="4"/>
        <v>#VALUE!</v>
      </c>
      <c r="J35" s="607" t="e">
        <f t="shared" si="5"/>
        <v>#VALUE!</v>
      </c>
      <c r="K35" s="600" t="e">
        <f t="shared" si="6"/>
        <v>#VALUE!</v>
      </c>
      <c r="L35" s="242" t="e">
        <f t="shared" si="7"/>
        <v>#VALUE!</v>
      </c>
      <c r="M35" s="600" t="e">
        <f t="shared" si="8"/>
        <v>#VALUE!</v>
      </c>
      <c r="N35" s="242">
        <f t="shared" si="9"/>
        <v>0</v>
      </c>
      <c r="O35" t="e">
        <f t="shared" si="10"/>
        <v>#VALUE!</v>
      </c>
      <c r="P35" t="e">
        <f t="shared" si="11"/>
        <v>#VALUE!</v>
      </c>
      <c r="Q35" t="e">
        <f t="shared" si="12"/>
        <v>#VALUE!</v>
      </c>
      <c r="R35" t="e">
        <f t="shared" si="13"/>
        <v>#VALUE!</v>
      </c>
      <c r="S35" t="e">
        <f t="shared" si="14"/>
        <v>#VALUE!</v>
      </c>
      <c r="T35" s="600" t="e">
        <f t="shared" si="15"/>
        <v>#VALUE!</v>
      </c>
      <c r="U35" s="600">
        <f t="shared" si="16"/>
        <v>0</v>
      </c>
      <c r="V35" s="199" t="e">
        <f t="shared" si="17"/>
        <v>#VALUE!</v>
      </c>
      <c r="W35" s="157" t="e">
        <f t="shared" si="18"/>
        <v>#VALUE!</v>
      </c>
      <c r="X35" s="608" t="e">
        <f t="shared" si="19"/>
        <v>#VALUE!</v>
      </c>
    </row>
    <row r="36" spans="1:24" x14ac:dyDescent="0.25">
      <c r="A36">
        <f>'Casing Review'!B69</f>
        <v>0</v>
      </c>
      <c r="B36" s="263"/>
      <c r="C36" s="264"/>
      <c r="D36" s="264"/>
      <c r="E36" t="e">
        <f t="shared" si="0"/>
        <v>#VALUE!</v>
      </c>
      <c r="F36">
        <f t="shared" si="1"/>
        <v>0</v>
      </c>
      <c r="G36">
        <f t="shared" si="2"/>
        <v>1</v>
      </c>
      <c r="H36" s="600">
        <f t="shared" si="3"/>
        <v>0</v>
      </c>
      <c r="I36" s="606" t="e">
        <f t="shared" si="4"/>
        <v>#VALUE!</v>
      </c>
      <c r="J36" s="607" t="e">
        <f t="shared" si="5"/>
        <v>#VALUE!</v>
      </c>
      <c r="K36" s="600" t="e">
        <f t="shared" si="6"/>
        <v>#VALUE!</v>
      </c>
      <c r="L36" s="242" t="e">
        <f t="shared" si="7"/>
        <v>#VALUE!</v>
      </c>
      <c r="M36" s="600" t="e">
        <f t="shared" si="8"/>
        <v>#VALUE!</v>
      </c>
      <c r="N36" s="242">
        <f t="shared" si="9"/>
        <v>0</v>
      </c>
      <c r="O36" t="e">
        <f t="shared" si="10"/>
        <v>#VALUE!</v>
      </c>
      <c r="P36" t="e">
        <f t="shared" si="11"/>
        <v>#VALUE!</v>
      </c>
      <c r="Q36" t="e">
        <f t="shared" si="12"/>
        <v>#VALUE!</v>
      </c>
      <c r="R36" t="e">
        <f t="shared" si="13"/>
        <v>#VALUE!</v>
      </c>
      <c r="S36" t="e">
        <f t="shared" si="14"/>
        <v>#VALUE!</v>
      </c>
      <c r="T36" s="600" t="e">
        <f t="shared" si="15"/>
        <v>#VALUE!</v>
      </c>
      <c r="U36" s="600">
        <f t="shared" si="16"/>
        <v>0</v>
      </c>
      <c r="V36" s="199" t="e">
        <f t="shared" si="17"/>
        <v>#VALUE!</v>
      </c>
      <c r="W36" s="157" t="e">
        <f t="shared" si="18"/>
        <v>#VALUE!</v>
      </c>
      <c r="X36" s="608" t="e">
        <f t="shared" si="19"/>
        <v>#VALUE!</v>
      </c>
    </row>
    <row r="37" spans="1:24" x14ac:dyDescent="0.25">
      <c r="A37">
        <f>'Casing Review'!D57</f>
        <v>0</v>
      </c>
      <c r="B37" s="263"/>
      <c r="C37" s="264"/>
      <c r="D37" s="264"/>
      <c r="E37" t="e">
        <f t="shared" si="0"/>
        <v>#VALUE!</v>
      </c>
      <c r="F37">
        <f t="shared" si="1"/>
        <v>0</v>
      </c>
      <c r="G37">
        <f t="shared" si="2"/>
        <v>1</v>
      </c>
      <c r="H37" s="600">
        <f t="shared" si="3"/>
        <v>0</v>
      </c>
      <c r="I37" s="606" t="e">
        <f t="shared" si="4"/>
        <v>#VALUE!</v>
      </c>
      <c r="J37" s="607" t="e">
        <f t="shared" si="5"/>
        <v>#VALUE!</v>
      </c>
      <c r="K37" s="600" t="e">
        <f t="shared" si="6"/>
        <v>#VALUE!</v>
      </c>
      <c r="L37" s="242" t="e">
        <f t="shared" si="7"/>
        <v>#VALUE!</v>
      </c>
      <c r="M37" s="600" t="e">
        <f t="shared" si="8"/>
        <v>#VALUE!</v>
      </c>
      <c r="N37" s="242">
        <f t="shared" si="9"/>
        <v>0</v>
      </c>
      <c r="O37" t="e">
        <f t="shared" si="10"/>
        <v>#VALUE!</v>
      </c>
      <c r="P37" t="e">
        <f t="shared" si="11"/>
        <v>#VALUE!</v>
      </c>
      <c r="Q37" t="e">
        <f t="shared" si="12"/>
        <v>#VALUE!</v>
      </c>
      <c r="R37" t="e">
        <f t="shared" si="13"/>
        <v>#VALUE!</v>
      </c>
      <c r="S37" t="e">
        <f t="shared" si="14"/>
        <v>#VALUE!</v>
      </c>
      <c r="T37" s="600" t="e">
        <f t="shared" si="15"/>
        <v>#VALUE!</v>
      </c>
      <c r="U37" s="600">
        <f t="shared" si="16"/>
        <v>0</v>
      </c>
      <c r="V37" s="199" t="e">
        <f t="shared" si="17"/>
        <v>#VALUE!</v>
      </c>
      <c r="W37" s="157" t="e">
        <f t="shared" si="18"/>
        <v>#VALUE!</v>
      </c>
      <c r="X37" s="608" t="e">
        <f t="shared" si="19"/>
        <v>#VALUE!</v>
      </c>
    </row>
    <row r="38" spans="1:24" x14ac:dyDescent="0.25">
      <c r="A38">
        <f>'Casing Review'!D59</f>
        <v>0</v>
      </c>
      <c r="B38" s="263"/>
      <c r="C38" s="264"/>
      <c r="D38" s="264"/>
      <c r="E38" t="e">
        <f t="shared" si="0"/>
        <v>#VALUE!</v>
      </c>
      <c r="F38">
        <f t="shared" si="1"/>
        <v>0</v>
      </c>
      <c r="G38">
        <f t="shared" si="2"/>
        <v>1</v>
      </c>
      <c r="H38" s="600">
        <f t="shared" si="3"/>
        <v>0</v>
      </c>
      <c r="I38" s="606" t="e">
        <f t="shared" si="4"/>
        <v>#VALUE!</v>
      </c>
      <c r="J38" s="607" t="e">
        <f t="shared" si="5"/>
        <v>#VALUE!</v>
      </c>
      <c r="K38" s="600" t="e">
        <f t="shared" si="6"/>
        <v>#VALUE!</v>
      </c>
      <c r="L38" s="242" t="e">
        <f t="shared" si="7"/>
        <v>#VALUE!</v>
      </c>
      <c r="M38" s="600" t="e">
        <f t="shared" si="8"/>
        <v>#VALUE!</v>
      </c>
      <c r="N38" s="242">
        <f t="shared" si="9"/>
        <v>0</v>
      </c>
      <c r="O38" t="e">
        <f t="shared" si="10"/>
        <v>#VALUE!</v>
      </c>
      <c r="P38" t="e">
        <f t="shared" si="11"/>
        <v>#VALUE!</v>
      </c>
      <c r="Q38" t="e">
        <f t="shared" si="12"/>
        <v>#VALUE!</v>
      </c>
      <c r="R38" t="e">
        <f t="shared" si="13"/>
        <v>#VALUE!</v>
      </c>
      <c r="S38" t="e">
        <f t="shared" si="14"/>
        <v>#VALUE!</v>
      </c>
      <c r="T38" s="600" t="e">
        <f t="shared" si="15"/>
        <v>#VALUE!</v>
      </c>
      <c r="U38" s="600">
        <f t="shared" si="16"/>
        <v>0</v>
      </c>
      <c r="V38" s="199" t="e">
        <f t="shared" si="17"/>
        <v>#VALUE!</v>
      </c>
      <c r="W38" s="157" t="e">
        <f t="shared" si="18"/>
        <v>#VALUE!</v>
      </c>
      <c r="X38" s="608" t="e">
        <f t="shared" si="19"/>
        <v>#VALUE!</v>
      </c>
    </row>
    <row r="39" spans="1:24" x14ac:dyDescent="0.25">
      <c r="A39">
        <f>'Casing Review'!D61</f>
        <v>0</v>
      </c>
      <c r="B39" s="263"/>
      <c r="C39" s="264"/>
      <c r="D39" s="264"/>
      <c r="E39" t="e">
        <f t="shared" si="0"/>
        <v>#VALUE!</v>
      </c>
      <c r="F39">
        <f t="shared" si="1"/>
        <v>0</v>
      </c>
      <c r="G39">
        <f t="shared" si="2"/>
        <v>1</v>
      </c>
      <c r="H39" s="600">
        <f t="shared" si="3"/>
        <v>0</v>
      </c>
      <c r="I39" s="606" t="e">
        <f t="shared" si="4"/>
        <v>#VALUE!</v>
      </c>
      <c r="J39" s="607" t="e">
        <f t="shared" si="5"/>
        <v>#VALUE!</v>
      </c>
      <c r="K39" s="600" t="e">
        <f t="shared" si="6"/>
        <v>#VALUE!</v>
      </c>
      <c r="L39" s="242" t="e">
        <f t="shared" si="7"/>
        <v>#VALUE!</v>
      </c>
      <c r="M39" s="600" t="e">
        <f t="shared" si="8"/>
        <v>#VALUE!</v>
      </c>
      <c r="N39" s="242">
        <f t="shared" si="9"/>
        <v>0</v>
      </c>
      <c r="O39" t="e">
        <f t="shared" si="10"/>
        <v>#VALUE!</v>
      </c>
      <c r="P39" t="e">
        <f t="shared" si="11"/>
        <v>#VALUE!</v>
      </c>
      <c r="Q39" t="e">
        <f t="shared" si="12"/>
        <v>#VALUE!</v>
      </c>
      <c r="R39" t="e">
        <f t="shared" si="13"/>
        <v>#VALUE!</v>
      </c>
      <c r="S39" t="e">
        <f t="shared" si="14"/>
        <v>#VALUE!</v>
      </c>
      <c r="T39" s="600" t="e">
        <f t="shared" si="15"/>
        <v>#VALUE!</v>
      </c>
      <c r="U39" s="600">
        <f t="shared" si="16"/>
        <v>0</v>
      </c>
      <c r="V39" s="199" t="e">
        <f t="shared" si="17"/>
        <v>#VALUE!</v>
      </c>
      <c r="W39" s="157" t="e">
        <f t="shared" si="18"/>
        <v>#VALUE!</v>
      </c>
      <c r="X39" s="608" t="e">
        <f t="shared" si="19"/>
        <v>#VALUE!</v>
      </c>
    </row>
    <row r="40" spans="1:24" x14ac:dyDescent="0.25">
      <c r="B40" s="263"/>
      <c r="C40" s="264"/>
      <c r="D40" s="264"/>
      <c r="E40" t="e">
        <f t="shared" si="0"/>
        <v>#VALUE!</v>
      </c>
      <c r="F40">
        <f t="shared" si="1"/>
        <v>0</v>
      </c>
      <c r="G40">
        <f t="shared" si="2"/>
        <v>1</v>
      </c>
      <c r="H40" s="600">
        <f t="shared" si="3"/>
        <v>0</v>
      </c>
      <c r="I40" s="606" t="e">
        <f t="shared" si="4"/>
        <v>#VALUE!</v>
      </c>
      <c r="J40" s="607" t="e">
        <f t="shared" si="5"/>
        <v>#VALUE!</v>
      </c>
      <c r="K40" s="600" t="e">
        <f t="shared" si="6"/>
        <v>#VALUE!</v>
      </c>
      <c r="L40" s="242" t="e">
        <f t="shared" si="7"/>
        <v>#VALUE!</v>
      </c>
      <c r="M40" s="600" t="e">
        <f t="shared" si="8"/>
        <v>#VALUE!</v>
      </c>
      <c r="N40" s="242">
        <f t="shared" si="9"/>
        <v>0</v>
      </c>
      <c r="O40" t="e">
        <f t="shared" si="10"/>
        <v>#VALUE!</v>
      </c>
      <c r="P40" t="e">
        <f t="shared" si="11"/>
        <v>#VALUE!</v>
      </c>
      <c r="Q40" t="e">
        <f t="shared" si="12"/>
        <v>#VALUE!</v>
      </c>
      <c r="R40" t="e">
        <f t="shared" si="13"/>
        <v>#VALUE!</v>
      </c>
      <c r="S40" t="e">
        <f t="shared" si="14"/>
        <v>#VALUE!</v>
      </c>
      <c r="T40" s="600" t="e">
        <f t="shared" si="15"/>
        <v>#VALUE!</v>
      </c>
      <c r="U40" s="600">
        <f t="shared" si="16"/>
        <v>0</v>
      </c>
      <c r="V40" s="199" t="e">
        <f t="shared" si="17"/>
        <v>#VALUE!</v>
      </c>
      <c r="W40" s="157" t="e">
        <f t="shared" si="18"/>
        <v>#VALUE!</v>
      </c>
      <c r="X40" s="608" t="e">
        <f t="shared" si="19"/>
        <v>#VALUE!</v>
      </c>
    </row>
    <row r="41" spans="1:24" x14ac:dyDescent="0.25">
      <c r="B41" s="263"/>
      <c r="C41" s="264"/>
      <c r="D41" s="264"/>
      <c r="E41" t="e">
        <f t="shared" si="0"/>
        <v>#VALUE!</v>
      </c>
      <c r="F41">
        <f t="shared" si="1"/>
        <v>0</v>
      </c>
      <c r="G41">
        <f t="shared" si="2"/>
        <v>1</v>
      </c>
      <c r="H41" s="600">
        <f t="shared" si="3"/>
        <v>0</v>
      </c>
      <c r="I41" s="606" t="e">
        <f t="shared" si="4"/>
        <v>#VALUE!</v>
      </c>
      <c r="J41" s="607" t="e">
        <f t="shared" si="5"/>
        <v>#VALUE!</v>
      </c>
      <c r="K41" s="600" t="e">
        <f t="shared" si="6"/>
        <v>#VALUE!</v>
      </c>
      <c r="L41" s="242" t="e">
        <f t="shared" si="7"/>
        <v>#VALUE!</v>
      </c>
      <c r="M41" s="600" t="e">
        <f t="shared" si="8"/>
        <v>#VALUE!</v>
      </c>
      <c r="N41" s="242">
        <f t="shared" si="9"/>
        <v>0</v>
      </c>
      <c r="O41" t="e">
        <f t="shared" si="10"/>
        <v>#VALUE!</v>
      </c>
      <c r="P41" t="e">
        <f t="shared" si="11"/>
        <v>#VALUE!</v>
      </c>
      <c r="Q41" t="e">
        <f t="shared" si="12"/>
        <v>#VALUE!</v>
      </c>
      <c r="R41" t="e">
        <f t="shared" si="13"/>
        <v>#VALUE!</v>
      </c>
      <c r="S41" t="e">
        <f t="shared" si="14"/>
        <v>#VALUE!</v>
      </c>
      <c r="T41" s="600" t="e">
        <f t="shared" si="15"/>
        <v>#VALUE!</v>
      </c>
      <c r="U41" s="600">
        <f t="shared" si="16"/>
        <v>0</v>
      </c>
      <c r="V41" s="199" t="e">
        <f t="shared" si="17"/>
        <v>#VALUE!</v>
      </c>
      <c r="W41" s="157" t="e">
        <f t="shared" si="18"/>
        <v>#VALUE!</v>
      </c>
      <c r="X41" s="608" t="e">
        <f t="shared" si="19"/>
        <v>#VALUE!</v>
      </c>
    </row>
    <row r="42" spans="1:24" x14ac:dyDescent="0.25">
      <c r="B42" s="263"/>
      <c r="C42" s="264"/>
      <c r="D42" s="264"/>
      <c r="E42" t="e">
        <f t="shared" si="0"/>
        <v>#VALUE!</v>
      </c>
      <c r="F42">
        <f t="shared" si="1"/>
        <v>0</v>
      </c>
      <c r="G42">
        <f t="shared" si="2"/>
        <v>1</v>
      </c>
      <c r="H42" s="600">
        <f t="shared" si="3"/>
        <v>0</v>
      </c>
      <c r="I42" s="606" t="e">
        <f t="shared" si="4"/>
        <v>#VALUE!</v>
      </c>
      <c r="J42" s="607" t="e">
        <f t="shared" si="5"/>
        <v>#VALUE!</v>
      </c>
      <c r="K42" s="600" t="e">
        <f t="shared" si="6"/>
        <v>#VALUE!</v>
      </c>
      <c r="L42" s="242" t="e">
        <f t="shared" si="7"/>
        <v>#VALUE!</v>
      </c>
      <c r="M42" s="600" t="e">
        <f t="shared" si="8"/>
        <v>#VALUE!</v>
      </c>
      <c r="N42" s="242">
        <f t="shared" si="9"/>
        <v>0</v>
      </c>
      <c r="O42" t="e">
        <f t="shared" si="10"/>
        <v>#VALUE!</v>
      </c>
      <c r="P42" t="e">
        <f t="shared" si="11"/>
        <v>#VALUE!</v>
      </c>
      <c r="Q42" t="e">
        <f t="shared" si="12"/>
        <v>#VALUE!</v>
      </c>
      <c r="R42" t="e">
        <f t="shared" si="13"/>
        <v>#VALUE!</v>
      </c>
      <c r="S42" t="e">
        <f t="shared" si="14"/>
        <v>#VALUE!</v>
      </c>
      <c r="T42" s="600" t="e">
        <f t="shared" si="15"/>
        <v>#VALUE!</v>
      </c>
      <c r="U42" s="600">
        <f t="shared" si="16"/>
        <v>0</v>
      </c>
      <c r="V42" s="199" t="e">
        <f t="shared" si="17"/>
        <v>#VALUE!</v>
      </c>
      <c r="W42" s="157" t="e">
        <f t="shared" si="18"/>
        <v>#VALUE!</v>
      </c>
      <c r="X42" s="608" t="e">
        <f t="shared" si="19"/>
        <v>#VALUE!</v>
      </c>
    </row>
    <row r="43" spans="1:24" x14ac:dyDescent="0.25">
      <c r="B43" s="600"/>
    </row>
    <row r="44" spans="1:24" x14ac:dyDescent="0.25">
      <c r="A44" s="258" t="s">
        <v>181</v>
      </c>
      <c r="B44" s="600">
        <f>MAX(B16:B42)</f>
        <v>0</v>
      </c>
      <c r="H44" s="600" t="e">
        <f>VLOOKUP($B$44,$B$16:$V$42,7)</f>
        <v>#N/A</v>
      </c>
      <c r="I44" s="600" t="e">
        <f>VLOOKUP($B$44,$B$16:$V$42,8)</f>
        <v>#N/A</v>
      </c>
      <c r="J44" s="600" t="e">
        <f>VLOOKUP($B$44,$B$16:$V$42,9)</f>
        <v>#N/A</v>
      </c>
      <c r="K44" s="242" t="e">
        <f>VLOOKUP($B$44,$B$16:$V$42,10)</f>
        <v>#N/A</v>
      </c>
      <c r="U44" s="609"/>
      <c r="V44" s="568"/>
      <c r="W44" s="568"/>
      <c r="X44" s="600"/>
    </row>
    <row r="45" spans="1:24" x14ac:dyDescent="0.25">
      <c r="A45" s="259" t="e">
        <f>IF(OR('SHL Section'!$J$65 = "G", 'SHL Section'!$J$65= "T"), 'SHL Section'!$J$65, "T")</f>
        <v>#VALUE!</v>
      </c>
      <c r="B45" s="681" t="s">
        <v>182</v>
      </c>
      <c r="C45" s="682"/>
      <c r="D45" s="682"/>
      <c r="E45" s="683"/>
      <c r="G45" t="s">
        <v>183</v>
      </c>
      <c r="H45" s="264" t="s">
        <v>184</v>
      </c>
      <c r="I45" s="600" t="s">
        <v>185</v>
      </c>
      <c r="J45" s="264" t="s">
        <v>184</v>
      </c>
      <c r="U45" s="674" t="s">
        <v>144</v>
      </c>
      <c r="V45" s="675"/>
      <c r="W45" s="568"/>
    </row>
    <row r="46" spans="1:24" x14ac:dyDescent="0.25">
      <c r="B46" s="570" t="s">
        <v>186</v>
      </c>
      <c r="C46" s="570" t="s">
        <v>187</v>
      </c>
      <c r="D46" s="570" t="s">
        <v>188</v>
      </c>
      <c r="E46" s="570" t="s">
        <v>189</v>
      </c>
      <c r="G46" s="198" t="s">
        <v>190</v>
      </c>
      <c r="H46" s="198" t="s">
        <v>191</v>
      </c>
      <c r="I46" s="198" t="s">
        <v>190</v>
      </c>
      <c r="J46" s="198" t="s">
        <v>191</v>
      </c>
      <c r="U46" s="454" t="str">
        <f>IF(H45="y",'SHL Section'!I9-G47,'SHL Section'!I9)</f>
        <v/>
      </c>
      <c r="V46" s="265" t="str">
        <f>'SHL Section'!J9</f>
        <v/>
      </c>
      <c r="W46" s="265" t="str">
        <f>IF(H45="y",'SHL Section'!K9-H47,'SHL Section'!K9)</f>
        <v/>
      </c>
      <c r="X46" s="455" t="str">
        <f>'SHL Section'!L9</f>
        <v/>
      </c>
    </row>
    <row r="47" spans="1:24" x14ac:dyDescent="0.25">
      <c r="A47" s="528" t="s">
        <v>192</v>
      </c>
      <c r="B47" s="264"/>
      <c r="C47" s="264"/>
      <c r="D47" s="264"/>
      <c r="E47" s="264"/>
      <c r="G47" s="264"/>
      <c r="H47" s="264"/>
      <c r="I47" s="264"/>
      <c r="J47" s="264"/>
      <c r="V47" s="570"/>
      <c r="W47" s="570"/>
    </row>
    <row r="48" spans="1:24" x14ac:dyDescent="0.25">
      <c r="A48" t="s">
        <v>194</v>
      </c>
      <c r="B48" s="264"/>
      <c r="C48" s="264"/>
      <c r="D48" s="264"/>
      <c r="E48" s="264"/>
      <c r="G48" s="198"/>
      <c r="H48" s="198"/>
      <c r="U48" s="609"/>
      <c r="V48" s="568"/>
      <c r="W48" s="568"/>
      <c r="X48" s="600"/>
    </row>
    <row r="49" spans="1:24" ht="15.75" customHeight="1" thickBot="1" x14ac:dyDescent="0.3">
      <c r="A49" t="s">
        <v>193</v>
      </c>
      <c r="B49" s="264"/>
      <c r="C49" s="264"/>
      <c r="D49" s="264"/>
      <c r="E49" s="264"/>
      <c r="Q49" s="680"/>
      <c r="R49" s="679"/>
      <c r="U49" s="676" t="s">
        <v>149</v>
      </c>
      <c r="V49" s="677"/>
      <c r="W49" s="568"/>
      <c r="X49" s="573"/>
    </row>
    <row r="50" spans="1:24" x14ac:dyDescent="0.25">
      <c r="Q50" s="600"/>
      <c r="R50" s="600"/>
      <c r="U50" s="454" t="str">
        <f>IF(H45="y",'SHL Section'!I10-G47,IF(J45="y",'SHL Section'!I10+I47,'SHL Section'!I10))</f>
        <v/>
      </c>
      <c r="V50" s="545" t="str">
        <f>'SHL Section'!J10</f>
        <v/>
      </c>
      <c r="W50" s="545" t="str">
        <f>IF(H45="y",'SHL Section'!K10-H47,IF(J45="Y",'SHL Section'!K10+J47,'SHL Section'!K10))</f>
        <v/>
      </c>
      <c r="X50" s="455" t="str">
        <f>'SHL Section'!L10</f>
        <v/>
      </c>
    </row>
    <row r="51" spans="1:24" x14ac:dyDescent="0.25">
      <c r="Q51" s="600"/>
      <c r="R51" s="600"/>
    </row>
    <row r="55" spans="1:24" ht="15.75" customHeight="1" thickBot="1" x14ac:dyDescent="0.3"/>
    <row r="56" spans="1:24" x14ac:dyDescent="0.25">
      <c r="B56" s="235" t="s">
        <v>195</v>
      </c>
      <c r="C56" s="235"/>
      <c r="D56" s="235"/>
      <c r="E56" s="429"/>
      <c r="F56" s="583" t="s">
        <v>196</v>
      </c>
      <c r="G56" s="583"/>
      <c r="H56" s="585" t="s">
        <v>89</v>
      </c>
      <c r="Q56" s="600"/>
      <c r="R56" s="600"/>
    </row>
    <row r="57" spans="1:24" x14ac:dyDescent="0.25">
      <c r="B57" s="235" t="s">
        <v>197</v>
      </c>
      <c r="C57" s="235" t="s">
        <v>69</v>
      </c>
      <c r="D57" s="236"/>
      <c r="E57" s="598" t="s">
        <v>198</v>
      </c>
      <c r="F57">
        <f>'Casing Review'!D12</f>
        <v>0</v>
      </c>
      <c r="H57" s="199" t="e">
        <f>IF('Casing Review'!E$9="n",'Casing Review'!D12,IF('Casing Review'!$E$7="N",VLOOKUP(DxSurvey!F57,DxSurvey!B$16:H$53,7,FALSE),IF(AND(F57&gt;F$72,F57&lt;F$70),F$72+N$57*SIN(RADIANS((F57-F$72)/100*D$58)),IF(AND(F57&gt;F$70,F57&lt;F$73),F$72+N$57*SIN(RADIANS(D$60))+COS(RADIANS(D$60))*(F57-F$70),IF(AND(F57&gt;F$73,F57&lt;F$71),F$72+N$57*SIN(RADIANS(D$60))+COS(RADIANS(D$60))*(F$73-F$70)+SIN(RADIANS((F57-F$73)/100*D$64)),IF(F57&gt;F$71,F$72+N$57*SIN(RADIANS(D$60))+COS(RADIANS(D$60))*(F$73-F$70)+#REF!*SIN(RADIANS(D$60))+F57-F$71,F57))))))</f>
        <v>#N/A</v>
      </c>
    </row>
    <row r="58" spans="1:24" x14ac:dyDescent="0.25">
      <c r="B58" s="235" t="s">
        <v>199</v>
      </c>
      <c r="C58" s="235" t="s">
        <v>69</v>
      </c>
      <c r="D58" s="236"/>
      <c r="E58" s="598" t="s">
        <v>200</v>
      </c>
      <c r="F58">
        <f>'Casing Review'!D14</f>
        <v>0</v>
      </c>
      <c r="H58" s="199" t="e">
        <f>IF('Casing Review'!E$9="n",'Casing Review'!D14,IF('Casing Review'!$E$7="N",VLOOKUP(DxSurvey!F58,DxSurvey!B$16:H$53,7,FALSE),IF(AND(F58&gt;F$72,F58&lt;F$70),F$72+N$57*SIN(RADIANS((F58-F$72)/100*D$58)),IF(AND(F58&gt;F$70,F58&lt;F$73),F$72+N$57*SIN(RADIANS(D$60))+COS(RADIANS(D$60))*(F58-F$70),IF(AND(F58&gt;F$73,F58&lt;F$71),F$72+N$57*SIN(RADIANS(D$60))+COS(RADIANS(D$60))*(F$73-F$70)+SIN(RADIANS((F58-F$73)/100*D$64)),IF(F58&gt;F$71,F$72+N$57*SIN(RADIANS(D$60))+COS(RADIANS(D$60))*(F$73-F$70)+#REF!*SIN(RADIANS(D$60))+F58-F$71,F58))))))</f>
        <v>#N/A</v>
      </c>
      <c r="S58" s="446"/>
    </row>
    <row r="59" spans="1:24" x14ac:dyDescent="0.25">
      <c r="B59" s="235" t="s">
        <v>201</v>
      </c>
      <c r="C59" s="235"/>
      <c r="D59" s="236"/>
      <c r="E59" s="598" t="s">
        <v>202</v>
      </c>
      <c r="F59">
        <f>'Casing Review'!D16</f>
        <v>0</v>
      </c>
      <c r="H59" s="199" t="e">
        <f>IF('Casing Review'!E$9="n",'Casing Review'!D16,IF('Casing Review'!$E$7="N",VLOOKUP(DxSurvey!F59,DxSurvey!B$16:H$53,7,FALSE),IF(AND(F59&gt;F$72,F59&lt;F$70),F$72+N$57*SIN(RADIANS((F59-F$72)/100*D$58)),IF(AND(F59&gt;F$70,F59&lt;F$73),F$72+N$57*SIN(RADIANS(D$60))+COS(RADIANS(D$60))*(F59-F$70),IF(AND(F59&gt;F$73,F59&lt;F$71),F$72+N$57*SIN(RADIANS(D$60))+COS(RADIANS(D$60))*(F$73-F$70)+SIN(RADIANS((F59-F$73)/100*D$64)),IF(F59&gt;F$71,F$72+N$57*SIN(RADIANS(D$60))+COS(RADIANS(D$60))*(F$73-F$70)+#REF!*SIN(RADIANS(D$60))+F59-F$71,F59))))))</f>
        <v>#N/A</v>
      </c>
    </row>
    <row r="60" spans="1:24" x14ac:dyDescent="0.25">
      <c r="B60" s="235" t="s">
        <v>203</v>
      </c>
      <c r="C60" s="235"/>
      <c r="D60" s="236"/>
      <c r="E60" s="598" t="s">
        <v>204</v>
      </c>
      <c r="F60">
        <f>'Casing Review'!D27</f>
        <v>0</v>
      </c>
      <c r="H60" s="199" t="e">
        <f>IF('Casing Review'!E$9="n",'Casing Review'!D27,IF('Casing Review'!$E$7="N",VLOOKUP(DxSurvey!F60,DxSurvey!B$16:H$53,7,FALSE),IF(AND(F60&gt;F$72,F60&lt;F$70),F$72+N$57*SIN(RADIANS((F60-F$72)/100*D$58)),IF(AND(F60&gt;F$70,F60&lt;F$73),F$72+N$57*SIN(RADIANS(D$60))+COS(RADIANS(D$60))*(F60-F$70),IF(AND(F60&gt;F$73,F60&lt;F$71),F$72+N$57*SIN(RADIANS(D$60))+COS(RADIANS(D$60))*(F$73-F$70)+SIN(RADIANS((F60-F$73)/100*D$64)),IF(F60&gt;F$71,F$72+N$57*SIN(RADIANS(D$60))+COS(RADIANS(D$60))*(F$73-F$70)+#REF!*SIN(RADIANS(D$60))+F60-F$71,F60))))))</f>
        <v>#N/A</v>
      </c>
    </row>
    <row r="61" spans="1:24" x14ac:dyDescent="0.25">
      <c r="B61" s="235" t="s">
        <v>205</v>
      </c>
      <c r="C61" s="235"/>
      <c r="D61" s="236"/>
      <c r="E61" s="598" t="s">
        <v>206</v>
      </c>
      <c r="F61">
        <f>'Casing Review'!D29</f>
        <v>0</v>
      </c>
      <c r="H61" s="199" t="e">
        <f>IF('Casing Review'!E$9="n",'Casing Review'!D29,IF('Casing Review'!$E$7="N",VLOOKUP(DxSurvey!F61,DxSurvey!B$16:H$53,7,FALSE),IF(AND(F61&gt;F$72,F61&lt;F$70),F$72+N$57*SIN(RADIANS((F61-F$72)/100*D$58)),IF(AND(F61&gt;F$70,F61&lt;F$73),F$72+N$57*SIN(RADIANS(D$60))+COS(RADIANS(D$60))*(F61-F$70),IF(AND(F61&gt;F$73,F61&lt;F$71),F$72+N$57*SIN(RADIANS(D$60))+COS(RADIANS(D$60))*(F$73-F$70)+SIN(RADIANS((F61-F$73)/100*D$64)),IF(F61&gt;F$71,F$72+N$57*SIN(RADIANS(D$60))+COS(RADIANS(D$60))*(F$73-F$70)+#REF!*SIN(RADIANS(D$60))+F61-F$71,F61))))))</f>
        <v>#N/A</v>
      </c>
    </row>
    <row r="62" spans="1:24" x14ac:dyDescent="0.25">
      <c r="B62" s="235" t="s">
        <v>207</v>
      </c>
      <c r="C62" s="235"/>
      <c r="D62" s="236"/>
      <c r="E62" s="598" t="s">
        <v>208</v>
      </c>
      <c r="F62">
        <f>'Casing Review'!D31</f>
        <v>0</v>
      </c>
      <c r="H62" s="199" t="e">
        <f>IF('Casing Review'!E$9="n",'Casing Review'!D31,IF('Casing Review'!$E$7="N",VLOOKUP(DxSurvey!F62,DxSurvey!B$16:H$53,7,FALSE),IF(AND(F62&gt;F$72,F62&lt;F$70),F$72+N$57*SIN(RADIANS((F62-F$72)/100*D$58)),IF(AND(F62&gt;F$70,F62&lt;F$73),F$72+N$57*SIN(RADIANS(D$60))+COS(RADIANS(D$60))*(F62-F$70),IF(AND(F62&gt;F$73,F62&lt;F$71),F$72+N$57*SIN(RADIANS(D$60))+COS(RADIANS(D$60))*(F$73-F$70)+SIN(RADIANS((F62-F$73)/100*D$64)),IF(F62&gt;F$71,F$72+N$57*SIN(RADIANS(D$60))+COS(RADIANS(D$60))*(F$73-F$70)+#REF!*SIN(RADIANS(D$60))+F62-F$71,F62))))))</f>
        <v>#N/A</v>
      </c>
    </row>
    <row r="63" spans="1:24" x14ac:dyDescent="0.25">
      <c r="B63" s="235" t="s">
        <v>209</v>
      </c>
      <c r="C63" s="235"/>
      <c r="D63" s="236"/>
      <c r="E63" s="598" t="s">
        <v>210</v>
      </c>
      <c r="F63">
        <f>'Casing Review'!D42</f>
        <v>0</v>
      </c>
      <c r="H63" s="199" t="e">
        <f>IF('Casing Review'!E$9="n",'Casing Review'!D42,IF('Casing Review'!$E$7="N",VLOOKUP(DxSurvey!F63,DxSurvey!B$16:H$53,7,FALSE),IF(AND(F63&gt;F$72,F63&lt;F$70),F$72+N$57*SIN(RADIANS((F63-F$72)/100*D$58)),IF(AND(F63&gt;F$70,F63&lt;F$73),F$72+N$57*SIN(RADIANS(D$60))+COS(RADIANS(D$60))*(F63-F$70),IF(AND(F63&gt;F$73,F63&lt;F$71),F$72+N$57*SIN(RADIANS(D$60))+COS(RADIANS(D$60))*(F$73-F$70)+SIN(RADIANS((F63-F$73)/100*D$64)),IF(F63&gt;F$71,F$72+N$57*SIN(RADIANS(D$60))+COS(RADIANS(D$60))*(F$73-F$70)+#REF!*SIN(RADIANS(D$60))+F63-F$71,F63))))))</f>
        <v>#N/A</v>
      </c>
    </row>
    <row r="64" spans="1:24" x14ac:dyDescent="0.25">
      <c r="B64" s="235" t="s">
        <v>211</v>
      </c>
      <c r="C64" s="235"/>
      <c r="D64" s="236"/>
      <c r="E64" s="598" t="s">
        <v>212</v>
      </c>
      <c r="F64">
        <f>'Casing Review'!D44</f>
        <v>0</v>
      </c>
      <c r="H64" s="199" t="e">
        <f>IF('Casing Review'!E$9="n",'Casing Review'!D44,IF('Casing Review'!$E$7="N",VLOOKUP(DxSurvey!F64,DxSurvey!B$16:H$53,7,FALSE),IF(AND(F64&gt;F$72,F64&lt;F$70),F$72+N$57*SIN(RADIANS((F64-F$72)/100*D$58)),IF(AND(F64&gt;F$70,F64&lt;F$73),F$72+N$57*SIN(RADIANS(D$60))+COS(RADIANS(D$60))*(F64-F$70),IF(AND(F64&gt;F$73,F64&lt;F$71),F$72+N$57*SIN(RADIANS(D$60))+COS(RADIANS(D$60))*(F$73-F$70)+SIN(RADIANS((F64-F$73)/100*D$64)),IF(F64&gt;F$71,F$72+N$57*SIN(RADIANS(D$60))+COS(RADIANS(D$60))*(F$73-F$70)+#REF!*SIN(RADIANS(D$60))+F64-F$71,F64))))))</f>
        <v>#N/A</v>
      </c>
      <c r="S64" s="446"/>
    </row>
    <row r="65" spans="2:8" x14ac:dyDescent="0.25">
      <c r="B65" s="235" t="s">
        <v>213</v>
      </c>
      <c r="C65" s="235"/>
      <c r="D65" s="236"/>
      <c r="E65" s="598" t="s">
        <v>214</v>
      </c>
      <c r="F65">
        <f>'Casing Review'!D46</f>
        <v>0</v>
      </c>
      <c r="H65" s="199" t="e">
        <f>IF('Casing Review'!E$9="n",'Casing Review'!D46,IF('Casing Review'!$E$7="N",VLOOKUP(DxSurvey!F65,DxSurvey!B$16:H$53,7,FALSE),IF(AND(F65&gt;F$72,F65&lt;F$70),F$72+N$57*SIN(RADIANS((F65-F$72)/100*D$58)),IF(AND(F65&gt;F$70,F65&lt;F$73),F$72+N$57*SIN(RADIANS(D$60))+COS(RADIANS(D$60))*(F65-F$70),IF(AND(F65&gt;F$73,F65&lt;F$71),F$72+N$57*SIN(RADIANS(D$60))+COS(RADIANS(D$60))*(F$73-F$70)+SIN(RADIANS((F65-F$73)/100*D$64)),IF(F65&gt;F$71,F$72+N$57*SIN(RADIANS(D$60))+COS(RADIANS(D$60))*(F$73-F$70)+#REF!*SIN(RADIANS(D$60))+F65-F$71,F65))))))</f>
        <v>#N/A</v>
      </c>
    </row>
    <row r="66" spans="2:8" x14ac:dyDescent="0.25">
      <c r="B66" s="235"/>
      <c r="C66" s="235"/>
      <c r="D66" s="235"/>
      <c r="E66" s="598" t="s">
        <v>215</v>
      </c>
      <c r="F66">
        <f>'Casing Review'!D57</f>
        <v>0</v>
      </c>
      <c r="H66" s="199" t="e">
        <f>IF('Casing Review'!E$9="n",'Casing Review'!D57,IF('Casing Review'!$E$7="N",VLOOKUP(DxSurvey!F66,DxSurvey!B$16:H$53,7,FALSE),IF(AND(F66&gt;F$72,F66&lt;F$70),F$72+N$57*SIN(RADIANS((F66-F$72)/100*D$58)),IF(AND(F66&gt;F$70,F66&lt;F$73),F$72+N$57*SIN(RADIANS(D$60))+COS(RADIANS(D$60))*(F66-F$70),IF(AND(F66&gt;F$73,F66&lt;F$71),F$72+N$57*SIN(RADIANS(D$60))+COS(RADIANS(D$60))*(F$73-F$70)+SIN(RADIANS((F66-F$73)/100*D$64)),IF(F66&gt;F$71,F$72+N$57*SIN(RADIANS(D$60))+COS(RADIANS(D$60))*(F$73-F$70)+#REF!*SIN(RADIANS(D$60))+F66-F$71,F66))))))</f>
        <v>#N/A</v>
      </c>
    </row>
    <row r="67" spans="2:8" x14ac:dyDescent="0.25">
      <c r="B67" s="235">
        <v>1100</v>
      </c>
      <c r="C67" s="235">
        <f>IF(AND(B67&gt;D$57,B67&lt;D$62),IF((B67-D$57)/100*D$58&lt;D$60,(B67-D$57)/100*D$58,D$60),IF(AND(B67&gt;D$62,(B67-D$62)/100*D$64&gt;0),(B67-D$62)/100*D$64+D$62, 0))</f>
        <v>0</v>
      </c>
      <c r="D67" s="235">
        <f>D65</f>
        <v>0</v>
      </c>
      <c r="E67" s="598" t="s">
        <v>216</v>
      </c>
      <c r="F67">
        <f>'Casing Review'!D59</f>
        <v>0</v>
      </c>
      <c r="H67" s="199" t="e">
        <f>IF('Casing Review'!E$9="n",'Casing Review'!D59,IF('Casing Review'!$E$7="N",VLOOKUP(DxSurvey!F67,DxSurvey!B$16:H$53,7,FALSE),IF(AND(F67&gt;F$72,F67&lt;F$70),F$72+N$57*SIN(RADIANS((F67-F$72)/100*D$58)),IF(AND(F67&gt;F$70,F67&lt;F$73),F$72+N$57*SIN(RADIANS(D$60))+COS(RADIANS(D$60))*(F67-F$70),IF(AND(F67&gt;F$73,F67&lt;F$71),F$72+N$57*SIN(RADIANS(D$60))+COS(RADIANS(D$60))*(F$73-F$70)+SIN(RADIANS((F67-F$73)/100*D$64)),IF(F67&gt;F$71,F$72+N$57*SIN(RADIANS(D$60))+COS(RADIANS(D$60))*(F$73-F$70)+#REF!*SIN(RADIANS(D$60))+F67-F$71,F67))))))</f>
        <v>#N/A</v>
      </c>
    </row>
    <row r="68" spans="2:8" x14ac:dyDescent="0.25">
      <c r="B68" s="235">
        <f>F57</f>
        <v>0</v>
      </c>
      <c r="C68" s="235">
        <f>IF(AND(B68&gt;D$57,B68&lt;D$62),IF((B68-D$57)/100*D$58&lt;D$60,(B68-D$57)/100*D$58,D$60),IF(AND(B68&gt;D$62,(B68-D$62)/100*D$64&gt;0),(B68-D$62)/100*D$64+D$62, 0))</f>
        <v>0</v>
      </c>
      <c r="D68" s="235">
        <f>D67</f>
        <v>0</v>
      </c>
      <c r="E68" s="598" t="s">
        <v>217</v>
      </c>
      <c r="F68">
        <f>'Casing Review'!D61</f>
        <v>0</v>
      </c>
      <c r="H68" s="199" t="e">
        <f>IF('Casing Review'!E$9="n",'Casing Review'!D61,IF('Casing Review'!$E$7="N",VLOOKUP(DxSurvey!F68,DxSurvey!B$16:H$53,7,FALSE),IF(AND(F68&gt;F$72,F68&lt;F$70),F$72+N$57*SIN(RADIANS((F68-F$72)/100*D$58)),IF(AND(F68&gt;F$70,F68&lt;F$73),F$72+N$57*SIN(RADIANS(D$60))+COS(RADIANS(D$60))*(F68-F$70),IF(AND(F68&gt;F$73,F68&lt;F$71),F$72+N$57*SIN(RADIANS(D$60))+COS(RADIANS(D$60))*(F$73-F$70)+SIN(RADIANS((F68-F$73)/100*D$64)),IF(F68&gt;F$71,F$72+N$57*SIN(RADIANS(D$60))+COS(RADIANS(D$60))*(F$73-F$70)+#REF!*SIN(RADIANS(D$60))+F68-F$71,F68))))))</f>
        <v>#N/A</v>
      </c>
    </row>
    <row r="69" spans="2:8" ht="15.75" customHeight="1" thickBot="1" x14ac:dyDescent="0.3">
      <c r="B69" s="235">
        <v>1740.5</v>
      </c>
      <c r="C69" s="235">
        <f>IF(AND(B69&gt;D$57,B69&lt;D$62),IF((B69-D$57)/100*D$58&lt;D$60,(B69-D$57)/100*D$58,D$60),IF(AND(B69&gt;D$62,(B69-D$62)/100*D$64&gt;0),(B69-D$62)/100*D$64+D$62, 0))</f>
        <v>0</v>
      </c>
      <c r="D69" s="235">
        <f>D68</f>
        <v>0</v>
      </c>
      <c r="E69" s="584" t="s">
        <v>126</v>
      </c>
      <c r="F69" s="576">
        <f>'Casing Review'!B69</f>
        <v>0</v>
      </c>
      <c r="G69" s="576"/>
      <c r="H69" s="200" t="e">
        <f>IF('Casing Review'!E$9="n",'Casing Review'!B69,IF('Casing Review'!$E$7="N",VLOOKUP(DxSurvey!F69,DxSurvey!B$16:H$53,7,FALSE),IF(AND(F69&gt;F$72,F69&lt;F$70),F$72+N$57*SIN(RADIANS((F69-F$72)/100*D$58)),IF(AND(F69&gt;F$70,F69&lt;F$73),F$72+N$57*SIN(RADIANS(D$60))+COS(RADIANS(D$60))*(F69-F$70),IF(AND(F69&gt;F$73,F69&lt;F$71),F$72+N$57*SIN(RADIANS(D$60))+COS(RADIANS(D$60))*(F$73-F$70)+SIN(RADIANS((F69-F$73)/100*D$64)),IF(F69&gt;F$71,F$72+N$57*SIN(RADIANS(D$60))+COS(RADIANS(D$60))*(F$73-F$70)+#REF!*SIN(RADIANS(D$60))+F69-F$71,F69))))))</f>
        <v>#N/A</v>
      </c>
    </row>
    <row r="70" spans="2:8" x14ac:dyDescent="0.25">
      <c r="B70" s="235">
        <f>F60</f>
        <v>0</v>
      </c>
      <c r="C70" s="235">
        <f>IF(AND(B70&gt;D$57,B70&lt;D$62),IF((B70-D$57)/100*D$58&lt;D$60,(B70-D$57)/100*D$58,D$60),IF(AND(B70&gt;D$62,(B70-D$62)/100*D$64&gt;0),(B70-D$62)/100*D$64+D$62, 0))</f>
        <v>0</v>
      </c>
      <c r="D70" s="235">
        <v>0.31</v>
      </c>
      <c r="E70" s="235" t="s">
        <v>218</v>
      </c>
      <c r="F70" s="235" t="e">
        <f>D60/D58*100+D57</f>
        <v>#DIV/0!</v>
      </c>
      <c r="G70" s="235" t="s">
        <v>69</v>
      </c>
      <c r="H70" s="235">
        <f>F$72+N$57*SIN(RADIANS(D60))</f>
        <v>0</v>
      </c>
    </row>
    <row r="71" spans="2:8" x14ac:dyDescent="0.25">
      <c r="B71" s="235"/>
      <c r="C71" s="235"/>
      <c r="D71" s="235"/>
      <c r="E71" s="235" t="s">
        <v>219</v>
      </c>
      <c r="F71" s="235">
        <f>IF(D64&gt;0,D60/D64*100+D62, 0)</f>
        <v>0</v>
      </c>
      <c r="G71" s="235" t="s">
        <v>69</v>
      </c>
      <c r="H71" s="235" t="e">
        <f>F$72+N$57*SIN(RADIANS(D$60))+COS(RADIANS(D$60))*(F$73-F$70)+#REF!*SIN(RADIANS(D$60))</f>
        <v>#DIV/0!</v>
      </c>
    </row>
    <row r="72" spans="2:8" x14ac:dyDescent="0.25">
      <c r="B72" s="235"/>
      <c r="C72" s="235"/>
      <c r="D72" s="235"/>
      <c r="E72" s="235" t="s">
        <v>220</v>
      </c>
      <c r="F72" s="235">
        <f>D57</f>
        <v>0</v>
      </c>
      <c r="G72" s="235" t="s">
        <v>69</v>
      </c>
      <c r="H72" s="235" t="e">
        <f>IF(AND(F72&gt;F$72,F72&lt;F$70),F$72+N$57*SIN(RADIANS((F72-F$72)/100*D$58)),IF(AND(F72&gt;F$70,F72&lt;F$73),F$72+N$57*SIN(RADIANS(D$60)),IF(AND(F72&gt;F$73,F72&lt;F$71),F$72+N$57*SIN(RADIANS(D$60))+COS(RADIANS((F72-F$73)/N61))+SIN(RADIANS((F72-F$73)/100*D$64)),IF(F72&gt;F$71,F$72+N$57*SIN(RADIANS(D$60))+N$57*(COS(RADIANS((F72-F$73)/N$57)))+#REF!*(SIN(RADIANS((F72-F$73)/100*D$64)))+F72-F$71,F72))))</f>
        <v>#DIV/0!</v>
      </c>
    </row>
    <row r="73" spans="2:8" x14ac:dyDescent="0.25">
      <c r="B73" s="235"/>
      <c r="C73" s="235"/>
      <c r="D73" s="235"/>
      <c r="E73" s="235" t="s">
        <v>221</v>
      </c>
      <c r="F73" s="235">
        <f>D62</f>
        <v>0</v>
      </c>
      <c r="G73" s="235"/>
      <c r="H73" s="235" t="e">
        <f>F$72+N$57*SIN(RADIANS(D60))+COS(RADIANS(D$60))*(F73-F$70)</f>
        <v>#DIV/0!</v>
      </c>
    </row>
    <row r="74" spans="2:8" x14ac:dyDescent="0.25">
      <c r="B74" s="235"/>
      <c r="C74" s="235"/>
      <c r="D74" s="235"/>
      <c r="E74" s="235"/>
      <c r="F74" s="235"/>
      <c r="G74" s="235"/>
      <c r="H74" s="235" t="e">
        <f>IF(AND(F74&gt;F$72,F74&lt;F$70),F$72+N$57*SIN(RADIANS((F74-F$72)/100*D$58)),IF(AND(F74&gt;F$70,F74&lt;F$73),F$72+N$57*SIN(RADIANS(D$60))+COS(RADIANS(D$60))*(F74-F$70),IF(AND(F74&gt;F$73,F74&lt;F$71),F$72+N$57*SIN(RADIANS(D$60))+COS(RADIANS(D$60))*(F$73-F$70)+SIN(RADIANS((F74-F$73)/100*D$64)),IF(F74&gt;F$71,F$72+N$57*SIN(RADIANS(D$60))+COS(RADIANS(D$60))*(F$73-F$70)+#REF!*SIN(RADIANS(D$60))+F74-F$71,F74))))</f>
        <v>#DIV/0!</v>
      </c>
    </row>
    <row r="75" spans="2:8" x14ac:dyDescent="0.25">
      <c r="B75" s="235">
        <f>F66</f>
        <v>0</v>
      </c>
      <c r="C75" s="235">
        <f>IF(AND(B75&gt;D$57,B75&lt;D$62),IF((B75-D$57)/100*D$58&lt;D$60,(B75-D$57)/100*D$58,D$60),IF(AND(B75&gt;D$62,(B75-D$62)/100*D$64&gt;0),(B75-D$62)/100*D$64+D$62, 0))</f>
        <v>0</v>
      </c>
      <c r="D75" s="235">
        <v>0.31</v>
      </c>
      <c r="E75" s="235"/>
      <c r="F75" s="235"/>
      <c r="G75" s="235"/>
      <c r="H75" s="235"/>
    </row>
    <row r="78" spans="2:8" x14ac:dyDescent="0.25">
      <c r="G78">
        <v>4.5</v>
      </c>
    </row>
  </sheetData>
  <mergeCells count="8">
    <mergeCell ref="U45:V45"/>
    <mergeCell ref="U49:V49"/>
    <mergeCell ref="I5:J5"/>
    <mergeCell ref="Q49:R49"/>
    <mergeCell ref="B45:E45"/>
    <mergeCell ref="A8:B8"/>
    <mergeCell ref="A9:B9"/>
    <mergeCell ref="A10:B10"/>
  </mergeCells>
  <pageMargins left="0.7" right="0.7" top="0.75" bottom="0.75" header="0.3" footer="0.3"/>
  <pageSetup paperSize="3" scale="56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CP219"/>
  <sheetViews>
    <sheetView topLeftCell="AR80" zoomScaleNormal="100" zoomScaleSheetLayoutView="90" workbookViewId="0">
      <selection activeCell="BL102" sqref="BL102"/>
    </sheetView>
  </sheetViews>
  <sheetFormatPr defaultRowHeight="15" x14ac:dyDescent="0.25"/>
  <cols>
    <col min="1" max="1" width="12.85546875" style="569" customWidth="1"/>
    <col min="2" max="2" width="7.42578125" style="569" customWidth="1"/>
    <col min="3" max="3" width="10.42578125" style="569" customWidth="1"/>
    <col min="4" max="4" width="11.5703125" style="569" customWidth="1"/>
    <col min="6" max="16" width="2.7109375" style="569" customWidth="1"/>
    <col min="17" max="17" width="4.28515625" style="569" customWidth="1"/>
    <col min="18" max="18" width="15.28515625" style="569" customWidth="1"/>
    <col min="25" max="25" width="10" style="569" customWidth="1"/>
    <col min="26" max="26" width="12.42578125" style="569" customWidth="1"/>
    <col min="27" max="27" width="10.28515625" style="569" customWidth="1"/>
    <col min="28" max="28" width="20.7109375" style="569" customWidth="1"/>
    <col min="32" max="42" width="2.7109375" style="569" customWidth="1"/>
    <col min="43" max="43" width="40.7109375" style="569" customWidth="1"/>
    <col min="44" max="44" width="10.5703125" style="569" bestFit="1" customWidth="1"/>
    <col min="49" max="49" width="3.28515625" style="569" bestFit="1" customWidth="1"/>
    <col min="50" max="58" width="2.7109375" style="569" customWidth="1"/>
    <col min="59" max="59" width="25.7109375" style="569" customWidth="1"/>
    <col min="61" max="61" width="6.85546875" style="569" customWidth="1"/>
    <col min="62" max="62" width="6" style="569" bestFit="1" customWidth="1"/>
    <col min="66" max="66" width="3.28515625" style="569" bestFit="1" customWidth="1"/>
    <col min="67" max="75" width="2.7109375" style="569" customWidth="1"/>
    <col min="76" max="76" width="25.7109375" style="569" customWidth="1"/>
    <col min="78" max="78" width="6.5703125" style="569" customWidth="1"/>
    <col min="79" max="79" width="6" style="569" bestFit="1" customWidth="1"/>
    <col min="83" max="92" width="2.7109375" style="569" customWidth="1"/>
    <col min="93" max="93" width="25.7109375" style="569" customWidth="1"/>
  </cols>
  <sheetData>
    <row r="1" spans="1:43" x14ac:dyDescent="0.25">
      <c r="A1" s="64"/>
      <c r="B1" s="64"/>
      <c r="C1" s="64"/>
      <c r="D1" s="34"/>
      <c r="E1" s="64"/>
      <c r="F1" s="64"/>
      <c r="G1" s="64"/>
      <c r="H1" s="64"/>
      <c r="I1" s="64"/>
      <c r="J1" s="64"/>
      <c r="K1" s="165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35"/>
      <c r="AC1" s="64"/>
      <c r="AD1" s="64"/>
      <c r="AE1" s="64"/>
      <c r="AF1" s="64"/>
      <c r="AG1" s="64"/>
      <c r="AH1" s="64"/>
      <c r="AI1" s="64"/>
      <c r="AJ1" s="64"/>
      <c r="AK1" s="34"/>
      <c r="AL1" s="165"/>
      <c r="AM1" s="64"/>
      <c r="AN1" s="64"/>
      <c r="AO1" s="64"/>
      <c r="AP1" s="64"/>
      <c r="AQ1" s="64"/>
    </row>
    <row r="2" spans="1:43" x14ac:dyDescent="0.25">
      <c r="A2" s="64"/>
      <c r="B2" s="64"/>
      <c r="C2" s="64"/>
      <c r="D2" s="34"/>
      <c r="E2" s="64"/>
      <c r="F2" s="64"/>
      <c r="G2" s="64"/>
      <c r="H2" s="64"/>
      <c r="I2" s="64"/>
      <c r="J2" s="64"/>
      <c r="K2" s="31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35"/>
      <c r="AC2" s="64"/>
      <c r="AD2" s="64"/>
      <c r="AE2" s="64"/>
      <c r="AF2" s="64"/>
      <c r="AG2" s="64"/>
      <c r="AH2" s="64"/>
      <c r="AI2" s="64"/>
      <c r="AJ2" s="64"/>
      <c r="AK2" s="34"/>
      <c r="AL2" s="31"/>
      <c r="AM2" s="64"/>
      <c r="AN2" s="64"/>
      <c r="AO2" s="64"/>
      <c r="AP2" s="64"/>
      <c r="AQ2" s="64"/>
    </row>
    <row r="3" spans="1:43" x14ac:dyDescent="0.25">
      <c r="A3" s="64"/>
      <c r="B3" s="64"/>
      <c r="C3" s="64"/>
      <c r="D3" s="34"/>
      <c r="E3" s="64"/>
      <c r="F3" s="64"/>
      <c r="G3" s="64"/>
      <c r="H3" s="64"/>
      <c r="I3" s="64"/>
      <c r="J3" s="64"/>
      <c r="K3" s="31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39"/>
      <c r="AC3" s="64"/>
      <c r="AD3" s="64"/>
      <c r="AE3" s="64"/>
      <c r="AF3" s="64"/>
      <c r="AG3" s="64"/>
      <c r="AH3" s="64"/>
      <c r="AI3" s="64"/>
      <c r="AJ3" s="64"/>
      <c r="AK3" s="34"/>
      <c r="AL3" s="31"/>
      <c r="AM3" s="64"/>
      <c r="AN3" s="64"/>
      <c r="AO3" s="64"/>
      <c r="AP3" s="64"/>
      <c r="AQ3" s="64"/>
    </row>
    <row r="4" spans="1:43" x14ac:dyDescent="0.25">
      <c r="A4" s="166"/>
      <c r="B4" s="167"/>
      <c r="C4" s="42"/>
      <c r="D4" s="43"/>
      <c r="E4" s="43"/>
      <c r="F4" s="64"/>
      <c r="G4" s="43"/>
      <c r="H4" s="64"/>
      <c r="I4" s="64"/>
      <c r="J4" s="64"/>
      <c r="K4" s="64"/>
      <c r="L4" s="64"/>
      <c r="M4" s="44"/>
      <c r="N4" s="45"/>
      <c r="O4" s="64"/>
      <c r="P4" s="64"/>
      <c r="Q4" s="44"/>
      <c r="R4" s="45"/>
      <c r="S4" s="64"/>
      <c r="T4" s="46"/>
      <c r="U4" s="64"/>
      <c r="V4" s="64"/>
      <c r="W4" s="64"/>
      <c r="X4" s="64"/>
      <c r="Y4" s="64"/>
      <c r="Z4" s="64"/>
      <c r="AA4" s="168"/>
      <c r="AB4" s="39"/>
      <c r="AC4" s="64"/>
      <c r="AD4" s="64"/>
      <c r="AE4" s="64"/>
      <c r="AF4" s="64"/>
      <c r="AG4" s="43"/>
      <c r="AH4" s="64"/>
      <c r="AI4" s="64"/>
      <c r="AJ4" s="64"/>
      <c r="AK4" s="64"/>
      <c r="AL4" s="64"/>
      <c r="AM4" s="44"/>
      <c r="AN4" s="45"/>
      <c r="AO4" s="64"/>
      <c r="AP4" s="64"/>
      <c r="AQ4" s="64"/>
    </row>
    <row r="5" spans="1:43" x14ac:dyDescent="0.25">
      <c r="A5" s="35"/>
      <c r="B5" s="65"/>
      <c r="C5" s="64"/>
      <c r="D5" s="39"/>
      <c r="E5" s="39"/>
      <c r="F5" s="47"/>
      <c r="G5" s="47"/>
      <c r="H5" s="64"/>
      <c r="I5" s="64"/>
      <c r="J5" s="64"/>
      <c r="K5" s="64"/>
      <c r="L5" s="64"/>
      <c r="M5" s="44"/>
      <c r="N5" s="64"/>
      <c r="O5" s="47"/>
      <c r="P5" s="47"/>
      <c r="Q5" s="64"/>
      <c r="R5" s="35"/>
      <c r="S5" s="36"/>
      <c r="T5" s="64"/>
      <c r="U5" s="64"/>
      <c r="V5" s="64"/>
      <c r="W5" s="64"/>
      <c r="X5" s="64"/>
      <c r="Y5" s="64"/>
      <c r="Z5" s="64"/>
      <c r="AA5" s="64"/>
      <c r="AB5" s="109"/>
      <c r="AC5" s="64"/>
      <c r="AD5" s="64"/>
      <c r="AE5" s="64"/>
      <c r="AF5" s="47"/>
      <c r="AG5" s="47"/>
      <c r="AH5" s="64"/>
      <c r="AI5" s="64"/>
      <c r="AJ5" s="64"/>
      <c r="AK5" s="64"/>
      <c r="AL5" s="64"/>
      <c r="AM5" s="64"/>
      <c r="AN5" s="64"/>
      <c r="AO5" s="47"/>
      <c r="AP5" s="47"/>
      <c r="AQ5" s="64"/>
    </row>
    <row r="6" spans="1:43" x14ac:dyDescent="0.25">
      <c r="A6" s="64"/>
      <c r="B6" s="48"/>
      <c r="C6" s="64"/>
      <c r="D6" s="64"/>
      <c r="E6" s="64"/>
      <c r="F6" s="47"/>
      <c r="G6" s="47"/>
      <c r="H6" s="64"/>
      <c r="I6" s="64"/>
      <c r="J6" s="64"/>
      <c r="K6" s="64"/>
      <c r="L6" s="64"/>
      <c r="M6" s="44"/>
      <c r="N6" s="64"/>
      <c r="O6" s="47"/>
      <c r="P6" s="47"/>
      <c r="Q6" s="64"/>
      <c r="R6" s="35"/>
      <c r="S6" s="36"/>
      <c r="T6" s="64"/>
      <c r="U6" s="64"/>
      <c r="V6" s="64"/>
      <c r="W6" s="64"/>
      <c r="X6" s="64"/>
      <c r="Y6" s="64"/>
      <c r="Z6" s="64"/>
      <c r="AA6" s="64"/>
      <c r="AB6" s="169"/>
      <c r="AC6" s="64"/>
      <c r="AD6" s="64"/>
      <c r="AE6" s="64"/>
      <c r="AF6" s="47"/>
      <c r="AG6" s="47"/>
      <c r="AH6" s="64"/>
      <c r="AI6" s="64"/>
      <c r="AJ6" s="64"/>
      <c r="AK6" s="64"/>
      <c r="AL6" s="64"/>
      <c r="AM6" s="64"/>
      <c r="AN6" s="64"/>
      <c r="AO6" s="47"/>
      <c r="AP6" s="47"/>
      <c r="AQ6" s="64"/>
    </row>
    <row r="7" spans="1:43" x14ac:dyDescent="0.25">
      <c r="A7" s="64"/>
      <c r="B7" s="170"/>
      <c r="C7" s="64"/>
      <c r="D7" s="43"/>
      <c r="E7" s="43"/>
      <c r="F7" s="47"/>
      <c r="G7" s="47"/>
      <c r="H7" s="64"/>
      <c r="I7" s="64"/>
      <c r="J7" s="64"/>
      <c r="K7" s="64"/>
      <c r="L7" s="64"/>
      <c r="M7" s="44"/>
      <c r="N7" s="64"/>
      <c r="O7" s="47"/>
      <c r="P7" s="47"/>
      <c r="Q7" s="64"/>
      <c r="R7" s="35"/>
      <c r="S7" s="36"/>
      <c r="T7" s="64"/>
      <c r="U7" s="64"/>
      <c r="V7" s="64"/>
      <c r="W7" s="64"/>
      <c r="X7" s="64"/>
      <c r="Y7" s="64"/>
      <c r="Z7" s="64"/>
      <c r="AA7" s="64"/>
      <c r="AB7" s="109"/>
      <c r="AC7" s="64"/>
      <c r="AD7" s="64"/>
      <c r="AE7" s="43"/>
      <c r="AF7" s="47"/>
      <c r="AG7" s="47"/>
      <c r="AH7" s="64"/>
      <c r="AI7" s="64"/>
      <c r="AJ7" s="64"/>
      <c r="AK7" s="64"/>
      <c r="AL7" s="64"/>
      <c r="AM7" s="64"/>
      <c r="AN7" s="64"/>
      <c r="AO7" s="47"/>
      <c r="AP7" s="47"/>
      <c r="AQ7" s="64"/>
    </row>
    <row r="8" spans="1:43" x14ac:dyDescent="0.25">
      <c r="A8" s="166"/>
      <c r="B8" s="167"/>
      <c r="C8" s="64"/>
      <c r="D8" s="49"/>
      <c r="E8" s="64"/>
      <c r="F8" s="64"/>
      <c r="G8" s="47"/>
      <c r="H8" s="64"/>
      <c r="I8" s="64"/>
      <c r="J8" s="64"/>
      <c r="K8" s="64"/>
      <c r="L8" s="64"/>
      <c r="M8" s="44"/>
      <c r="N8" s="64"/>
      <c r="O8" s="47"/>
      <c r="P8" s="64"/>
      <c r="Q8" s="64"/>
      <c r="R8" s="35"/>
      <c r="S8" s="36"/>
      <c r="T8" s="64"/>
      <c r="U8" s="64"/>
      <c r="V8" s="64"/>
      <c r="W8" s="64"/>
      <c r="X8" s="64"/>
      <c r="Y8" s="64"/>
      <c r="Z8" s="64"/>
      <c r="AA8" s="64"/>
      <c r="AB8" s="109"/>
      <c r="AC8" s="64"/>
      <c r="AD8" s="64"/>
      <c r="AE8" s="64"/>
      <c r="AF8" s="64"/>
      <c r="AG8" s="47"/>
      <c r="AH8" s="64"/>
      <c r="AI8" s="64"/>
      <c r="AJ8" s="64"/>
      <c r="AK8" s="64"/>
      <c r="AL8" s="64"/>
      <c r="AM8" s="64"/>
      <c r="AN8" s="64"/>
      <c r="AO8" s="47"/>
      <c r="AP8" s="64"/>
      <c r="AQ8" s="64"/>
    </row>
    <row r="9" spans="1:43" x14ac:dyDescent="0.25">
      <c r="A9" s="35"/>
      <c r="B9" s="65"/>
      <c r="C9" s="65"/>
      <c r="D9" s="50"/>
      <c r="E9" s="64"/>
      <c r="F9" s="64"/>
      <c r="G9" s="47"/>
      <c r="H9" s="64"/>
      <c r="I9" s="64"/>
      <c r="J9" s="64"/>
      <c r="K9" s="64"/>
      <c r="L9" s="64"/>
      <c r="M9" s="44"/>
      <c r="N9" s="64"/>
      <c r="O9" s="47"/>
      <c r="P9" s="64"/>
      <c r="Q9" s="64"/>
      <c r="R9" s="51"/>
      <c r="S9" s="53"/>
      <c r="T9" s="64"/>
      <c r="U9" s="64"/>
      <c r="V9" s="64"/>
      <c r="W9" s="64"/>
      <c r="X9" s="64"/>
      <c r="Y9" s="64"/>
      <c r="Z9" s="64"/>
      <c r="AA9" s="64"/>
      <c r="AB9" s="39"/>
      <c r="AC9" s="64"/>
      <c r="AD9" s="64"/>
      <c r="AE9" s="64"/>
      <c r="AF9" s="64"/>
      <c r="AG9" s="47"/>
      <c r="AH9" s="64"/>
      <c r="AI9" s="64"/>
      <c r="AJ9" s="64"/>
      <c r="AK9" s="64"/>
      <c r="AL9" s="64"/>
      <c r="AM9" s="64"/>
      <c r="AN9" s="64"/>
      <c r="AO9" s="47"/>
      <c r="AP9" s="64"/>
      <c r="AQ9" s="64"/>
    </row>
    <row r="10" spans="1:43" x14ac:dyDescent="0.25">
      <c r="A10" s="64"/>
      <c r="B10" s="64"/>
      <c r="C10" s="64"/>
      <c r="D10" s="34"/>
      <c r="E10" s="266"/>
      <c r="F10" s="64"/>
      <c r="G10" s="47"/>
      <c r="H10" s="47"/>
      <c r="I10" s="64"/>
      <c r="J10" s="64"/>
      <c r="K10" s="64"/>
      <c r="L10" s="64"/>
      <c r="M10" s="44"/>
      <c r="N10" s="47"/>
      <c r="O10" s="47"/>
      <c r="P10" s="64"/>
      <c r="Q10" s="64"/>
      <c r="R10" s="52"/>
      <c r="S10" s="53"/>
      <c r="T10" s="64"/>
      <c r="U10" s="64"/>
      <c r="V10" s="64"/>
      <c r="W10" s="64"/>
      <c r="X10" s="64"/>
      <c r="Y10" s="64"/>
      <c r="Z10" s="64"/>
      <c r="AA10" s="64"/>
      <c r="AB10" s="39"/>
      <c r="AC10" s="64"/>
      <c r="AD10" s="64"/>
      <c r="AE10" s="64"/>
      <c r="AF10" s="64"/>
      <c r="AG10" s="47"/>
      <c r="AH10" s="64"/>
      <c r="AI10" s="64"/>
      <c r="AJ10" s="64"/>
      <c r="AK10" s="64"/>
      <c r="AL10" s="64"/>
      <c r="AM10" s="64"/>
      <c r="AN10" s="64"/>
      <c r="AO10" s="47"/>
      <c r="AP10" s="64"/>
      <c r="AQ10" s="64"/>
    </row>
    <row r="11" spans="1:43" x14ac:dyDescent="0.25">
      <c r="A11" s="64"/>
      <c r="B11" s="64"/>
      <c r="C11" s="54"/>
      <c r="D11" s="55"/>
      <c r="E11" s="64"/>
      <c r="F11" s="64"/>
      <c r="G11" s="47"/>
      <c r="H11" s="47"/>
      <c r="I11" s="64"/>
      <c r="J11" s="64"/>
      <c r="K11" s="64"/>
      <c r="L11" s="64"/>
      <c r="M11" s="44"/>
      <c r="N11" s="47"/>
      <c r="O11" s="47"/>
      <c r="P11" s="64"/>
      <c r="Q11" s="64"/>
      <c r="R11" s="51"/>
      <c r="S11" s="53"/>
      <c r="T11" s="64"/>
      <c r="U11" s="64"/>
      <c r="V11" s="64"/>
      <c r="W11" s="64"/>
      <c r="X11" s="64"/>
      <c r="Y11" s="64"/>
      <c r="Z11" s="64"/>
      <c r="AA11" s="64"/>
      <c r="AB11" s="39"/>
      <c r="AC11" s="64"/>
      <c r="AD11" s="64"/>
      <c r="AE11" s="64"/>
      <c r="AF11" s="64"/>
      <c r="AG11" s="47"/>
      <c r="AH11" s="64"/>
      <c r="AI11" s="64"/>
      <c r="AJ11" s="64"/>
      <c r="AK11" s="64"/>
      <c r="AL11" s="64"/>
      <c r="AM11" s="64"/>
      <c r="AN11" s="64"/>
      <c r="AO11" s="47"/>
      <c r="AP11" s="64"/>
      <c r="AQ11" s="64"/>
    </row>
    <row r="12" spans="1:43" x14ac:dyDescent="0.25">
      <c r="A12" s="64"/>
      <c r="B12" s="64"/>
      <c r="C12" s="64"/>
      <c r="D12" s="34"/>
      <c r="E12" s="64"/>
      <c r="F12" s="64"/>
      <c r="G12" s="47"/>
      <c r="H12" s="47"/>
      <c r="I12" s="64"/>
      <c r="J12" s="64"/>
      <c r="K12" s="32"/>
      <c r="L12" s="64"/>
      <c r="M12" s="44"/>
      <c r="N12" s="47"/>
      <c r="O12" s="47"/>
      <c r="P12" s="64"/>
      <c r="Q12" s="64"/>
      <c r="R12" s="56"/>
      <c r="S12" s="53"/>
      <c r="T12" s="64"/>
      <c r="U12" s="64"/>
      <c r="V12" s="64"/>
      <c r="W12" s="64"/>
      <c r="X12" s="64"/>
      <c r="Y12" s="64"/>
      <c r="Z12" s="64"/>
      <c r="AA12" s="64"/>
      <c r="AB12" s="39"/>
      <c r="AC12" s="64"/>
      <c r="AD12" s="64"/>
      <c r="AE12" s="64"/>
      <c r="AF12" s="64"/>
      <c r="AG12" s="47"/>
      <c r="AH12" s="64"/>
      <c r="AI12" s="64"/>
      <c r="AJ12" s="64"/>
      <c r="AK12" s="64"/>
      <c r="AL12" s="64"/>
      <c r="AM12" s="64"/>
      <c r="AN12" s="64"/>
      <c r="AO12" s="47"/>
      <c r="AP12" s="64"/>
      <c r="AQ12" s="64"/>
    </row>
    <row r="13" spans="1:43" x14ac:dyDescent="0.25">
      <c r="A13" s="64"/>
      <c r="B13" s="57"/>
      <c r="C13" s="64"/>
      <c r="D13" s="34"/>
      <c r="E13" s="268"/>
      <c r="F13" s="64"/>
      <c r="G13" s="47"/>
      <c r="H13" s="47"/>
      <c r="I13" s="64"/>
      <c r="J13" s="64"/>
      <c r="K13" s="32"/>
      <c r="L13" s="64"/>
      <c r="M13" s="44"/>
      <c r="N13" s="47"/>
      <c r="O13" s="47"/>
      <c r="P13" s="64"/>
      <c r="Q13" s="64"/>
      <c r="R13" s="51"/>
      <c r="S13" s="53"/>
      <c r="T13" s="64"/>
      <c r="U13" s="64"/>
      <c r="V13" s="64"/>
      <c r="W13" s="64"/>
      <c r="X13" s="64"/>
      <c r="Y13" s="64"/>
      <c r="Z13" s="64"/>
      <c r="AA13" s="64"/>
      <c r="AB13" s="39"/>
      <c r="AC13" s="64"/>
      <c r="AD13" s="64"/>
      <c r="AE13" s="64"/>
      <c r="AF13" s="64"/>
      <c r="AG13" s="47"/>
      <c r="AH13" s="64"/>
      <c r="AI13" s="64"/>
      <c r="AJ13" s="64"/>
      <c r="AK13" s="64"/>
      <c r="AL13" s="64"/>
      <c r="AM13" s="64"/>
      <c r="AN13" s="64"/>
      <c r="AO13" s="47"/>
      <c r="AP13" s="64"/>
      <c r="AQ13" s="64"/>
    </row>
    <row r="14" spans="1:43" x14ac:dyDescent="0.25">
      <c r="A14" s="64"/>
      <c r="B14" s="64"/>
      <c r="C14" s="64"/>
      <c r="D14" s="34"/>
      <c r="E14" s="266"/>
      <c r="F14" s="64"/>
      <c r="G14" s="47"/>
      <c r="H14" s="47"/>
      <c r="I14" s="64"/>
      <c r="J14" s="64"/>
      <c r="K14" s="64"/>
      <c r="L14" s="64"/>
      <c r="M14" s="44"/>
      <c r="N14" s="47"/>
      <c r="O14" s="47"/>
      <c r="P14" s="64"/>
      <c r="Q14" s="64"/>
      <c r="R14" s="82"/>
      <c r="S14" s="58"/>
      <c r="T14" s="64"/>
      <c r="U14" s="64"/>
      <c r="V14" s="64"/>
      <c r="W14" s="64"/>
      <c r="X14" s="64"/>
      <c r="Y14" s="64"/>
      <c r="Z14" s="64"/>
      <c r="AA14" s="64"/>
      <c r="AB14" s="39"/>
      <c r="AC14" s="64"/>
      <c r="AD14" s="64"/>
      <c r="AE14" s="64"/>
      <c r="AF14" s="64"/>
      <c r="AG14" s="47"/>
      <c r="AH14" s="64"/>
      <c r="AI14" s="64"/>
      <c r="AJ14" s="64"/>
      <c r="AK14" s="64"/>
      <c r="AL14" s="64"/>
      <c r="AM14" s="64"/>
      <c r="AN14" s="64"/>
      <c r="AO14" s="47"/>
      <c r="AP14" s="64"/>
      <c r="AQ14" s="64"/>
    </row>
    <row r="15" spans="1:43" x14ac:dyDescent="0.25">
      <c r="A15" s="64"/>
      <c r="B15" s="64"/>
      <c r="C15" s="64"/>
      <c r="D15" s="34"/>
      <c r="E15" s="64"/>
      <c r="F15" s="64"/>
      <c r="G15" s="47"/>
      <c r="H15" s="47"/>
      <c r="I15" s="64"/>
      <c r="J15" s="64"/>
      <c r="K15" s="64"/>
      <c r="L15" s="64"/>
      <c r="M15" s="44"/>
      <c r="N15" s="47"/>
      <c r="O15" s="47"/>
      <c r="P15" s="64"/>
      <c r="Q15" s="64"/>
      <c r="R15" s="82"/>
      <c r="S15" s="58"/>
      <c r="T15" s="64"/>
      <c r="U15" s="64"/>
      <c r="V15" s="64"/>
      <c r="W15" s="64"/>
      <c r="X15" s="64"/>
      <c r="Y15" s="64"/>
      <c r="Z15" s="64"/>
      <c r="AA15" s="64"/>
      <c r="AB15" s="39"/>
      <c r="AC15" s="64"/>
      <c r="AD15" s="64"/>
      <c r="AE15" s="64"/>
      <c r="AF15" s="64"/>
      <c r="AG15" s="47"/>
      <c r="AH15" s="64"/>
      <c r="AI15" s="64"/>
      <c r="AJ15" s="64"/>
      <c r="AK15" s="64"/>
      <c r="AL15" s="64"/>
      <c r="AM15" s="64"/>
      <c r="AN15" s="64"/>
      <c r="AO15" s="47"/>
      <c r="AP15" s="64"/>
      <c r="AQ15" s="64"/>
    </row>
    <row r="16" spans="1:43" x14ac:dyDescent="0.25">
      <c r="A16" s="64"/>
      <c r="B16" s="64"/>
      <c r="C16" s="64"/>
      <c r="D16" s="34"/>
      <c r="E16" s="39"/>
      <c r="F16" s="64"/>
      <c r="G16" s="61"/>
      <c r="H16" s="47"/>
      <c r="I16" s="64"/>
      <c r="J16" s="64"/>
      <c r="K16" s="64"/>
      <c r="L16" s="64"/>
      <c r="M16" s="44"/>
      <c r="N16" s="47"/>
      <c r="O16" s="61"/>
      <c r="P16" s="64"/>
      <c r="Q16" s="64"/>
      <c r="R16" s="33"/>
      <c r="S16" s="39"/>
      <c r="T16" s="64"/>
      <c r="U16" s="64"/>
      <c r="V16" s="64"/>
      <c r="W16" s="64"/>
      <c r="X16" s="64"/>
      <c r="Y16" s="64"/>
      <c r="Z16" s="59"/>
      <c r="AA16" s="64"/>
      <c r="AB16" s="39"/>
      <c r="AC16" s="64"/>
      <c r="AD16" s="64"/>
      <c r="AE16" s="64"/>
      <c r="AF16" s="64"/>
      <c r="AG16" s="47"/>
      <c r="AH16" s="64"/>
      <c r="AI16" s="64"/>
      <c r="AJ16" s="64"/>
      <c r="AK16" s="64"/>
      <c r="AL16" s="64"/>
      <c r="AM16" s="64"/>
      <c r="AN16" s="64"/>
      <c r="AO16" s="47"/>
      <c r="AP16" s="64"/>
      <c r="AQ16" s="64"/>
    </row>
    <row r="17" spans="1:43" x14ac:dyDescent="0.25">
      <c r="A17" s="177"/>
      <c r="B17" s="64"/>
      <c r="C17" s="64"/>
      <c r="D17" s="60"/>
      <c r="E17" s="266"/>
      <c r="F17" s="64"/>
      <c r="G17" s="61"/>
      <c r="H17" s="47"/>
      <c r="I17" s="64"/>
      <c r="J17" s="64"/>
      <c r="K17" s="64"/>
      <c r="L17" s="64"/>
      <c r="M17" s="44"/>
      <c r="N17" s="47"/>
      <c r="O17" s="61"/>
      <c r="P17" s="64"/>
      <c r="Q17" s="64"/>
      <c r="R17" s="64"/>
      <c r="S17" s="39"/>
      <c r="T17" s="64"/>
      <c r="U17" s="63"/>
      <c r="V17" s="63"/>
      <c r="W17" s="63"/>
      <c r="X17" s="63"/>
      <c r="Y17" s="63"/>
      <c r="Z17" s="63"/>
      <c r="AA17" s="64"/>
      <c r="AB17" s="39"/>
      <c r="AC17" s="64"/>
      <c r="AD17" s="64"/>
      <c r="AE17" s="64"/>
      <c r="AF17" s="64"/>
      <c r="AG17" s="61"/>
      <c r="AH17" s="64"/>
      <c r="AI17" s="64"/>
      <c r="AJ17" s="64"/>
      <c r="AK17" s="64"/>
      <c r="AL17" s="64"/>
      <c r="AM17" s="64"/>
      <c r="AN17" s="64"/>
      <c r="AO17" s="61"/>
      <c r="AP17" s="64"/>
      <c r="AQ17" s="64"/>
    </row>
    <row r="18" spans="1:43" x14ac:dyDescent="0.25">
      <c r="A18" s="177"/>
      <c r="B18" s="64"/>
      <c r="C18" s="64"/>
      <c r="D18" s="60"/>
      <c r="E18" s="64"/>
      <c r="F18" s="64"/>
      <c r="G18" s="61"/>
      <c r="H18" s="47"/>
      <c r="I18" s="64"/>
      <c r="J18" s="64"/>
      <c r="K18" s="64"/>
      <c r="L18" s="64"/>
      <c r="M18" s="44"/>
      <c r="N18" s="47"/>
      <c r="O18" s="61"/>
      <c r="P18" s="64"/>
      <c r="Q18" s="64"/>
      <c r="R18" s="64"/>
      <c r="S18" s="39"/>
      <c r="T18" s="64"/>
      <c r="U18" s="63"/>
      <c r="V18" s="63"/>
      <c r="W18" s="63"/>
      <c r="X18" s="63"/>
      <c r="Y18" s="63"/>
      <c r="Z18" s="63"/>
      <c r="AA18" s="64"/>
      <c r="AB18" s="39"/>
      <c r="AC18" s="64"/>
      <c r="AD18" s="64"/>
      <c r="AE18" s="64"/>
      <c r="AF18" s="64"/>
      <c r="AG18" s="61"/>
      <c r="AH18" s="64"/>
      <c r="AI18" s="64"/>
      <c r="AJ18" s="64"/>
      <c r="AK18" s="64"/>
      <c r="AL18" s="64"/>
      <c r="AM18" s="64"/>
      <c r="AN18" s="64"/>
      <c r="AO18" s="61"/>
      <c r="AP18" s="64"/>
      <c r="AQ18" s="64"/>
    </row>
    <row r="19" spans="1:43" x14ac:dyDescent="0.25">
      <c r="A19" s="64"/>
      <c r="B19" s="64"/>
      <c r="C19" s="64"/>
      <c r="D19" s="62"/>
      <c r="E19" s="266"/>
      <c r="F19" s="64"/>
      <c r="G19" s="61"/>
      <c r="H19" s="47"/>
      <c r="I19" s="64"/>
      <c r="J19" s="64"/>
      <c r="K19" s="64"/>
      <c r="L19" s="64"/>
      <c r="M19" s="44"/>
      <c r="N19" s="47"/>
      <c r="O19" s="61"/>
      <c r="P19" s="64"/>
      <c r="Q19" s="64"/>
      <c r="R19" s="64"/>
      <c r="S19" s="39"/>
      <c r="T19" s="64"/>
      <c r="U19" s="63"/>
      <c r="V19" s="63"/>
      <c r="W19" s="63"/>
      <c r="X19" s="63"/>
      <c r="Y19" s="63"/>
      <c r="Z19" s="63"/>
      <c r="AA19" s="64"/>
      <c r="AB19" s="39"/>
      <c r="AC19" s="64"/>
      <c r="AD19" s="64"/>
      <c r="AE19" s="64"/>
      <c r="AF19" s="64"/>
      <c r="AG19" s="61"/>
      <c r="AH19" s="64"/>
      <c r="AI19" s="64"/>
      <c r="AJ19" s="64"/>
      <c r="AK19" s="64"/>
      <c r="AL19" s="64"/>
      <c r="AM19" s="64"/>
      <c r="AN19" s="64"/>
      <c r="AO19" s="61"/>
      <c r="AP19" s="64"/>
      <c r="AQ19" s="64"/>
    </row>
    <row r="20" spans="1:43" x14ac:dyDescent="0.25">
      <c r="A20" s="64"/>
      <c r="B20" s="64"/>
      <c r="C20" s="171"/>
      <c r="D20" s="172"/>
      <c r="E20" s="172"/>
      <c r="F20" s="64"/>
      <c r="G20" s="61"/>
      <c r="H20" s="47"/>
      <c r="I20" s="64"/>
      <c r="J20" s="64"/>
      <c r="K20" s="64"/>
      <c r="L20" s="64"/>
      <c r="M20" s="44"/>
      <c r="N20" s="47"/>
      <c r="O20" s="61"/>
      <c r="P20" s="64"/>
      <c r="Q20" s="64"/>
      <c r="R20" s="173"/>
      <c r="S20" s="174"/>
      <c r="T20" s="63"/>
      <c r="U20" s="63"/>
      <c r="V20" s="63"/>
      <c r="W20" s="63"/>
      <c r="X20" s="63"/>
      <c r="Y20" s="63"/>
      <c r="Z20" s="63"/>
      <c r="AA20" s="64"/>
      <c r="AB20" s="39"/>
      <c r="AC20" s="64"/>
      <c r="AD20" s="64"/>
      <c r="AE20" s="175"/>
      <c r="AF20" s="64"/>
      <c r="AG20" s="61"/>
      <c r="AH20" s="64"/>
      <c r="AI20" s="64"/>
      <c r="AJ20" s="64"/>
      <c r="AK20" s="64"/>
      <c r="AL20" s="64"/>
      <c r="AM20" s="64"/>
      <c r="AN20" s="64"/>
      <c r="AO20" s="61"/>
      <c r="AP20" s="64"/>
      <c r="AQ20" s="64"/>
    </row>
    <row r="21" spans="1:43" x14ac:dyDescent="0.25">
      <c r="A21" s="166"/>
      <c r="B21" s="167"/>
      <c r="C21" s="64"/>
      <c r="D21" s="34"/>
      <c r="E21" s="39"/>
      <c r="F21" s="64"/>
      <c r="G21" s="64"/>
      <c r="H21" s="47"/>
      <c r="I21" s="64"/>
      <c r="J21" s="64"/>
      <c r="K21" s="64"/>
      <c r="L21" s="64"/>
      <c r="M21" s="44"/>
      <c r="N21" s="47"/>
      <c r="O21" s="64"/>
      <c r="P21" s="64"/>
      <c r="Q21" s="64"/>
      <c r="R21" s="35"/>
      <c r="S21" s="36"/>
      <c r="T21" s="63"/>
      <c r="U21" s="63"/>
      <c r="V21" s="63"/>
      <c r="W21" s="63"/>
      <c r="X21" s="63"/>
      <c r="Y21" s="63"/>
      <c r="Z21" s="63"/>
      <c r="AA21" s="64"/>
      <c r="AB21" s="35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</row>
    <row r="22" spans="1:43" x14ac:dyDescent="0.25">
      <c r="A22" s="35"/>
      <c r="B22" s="65"/>
      <c r="C22" s="64"/>
      <c r="D22" s="34"/>
      <c r="E22" s="64"/>
      <c r="F22" s="64"/>
      <c r="G22" s="64"/>
      <c r="H22" s="47"/>
      <c r="I22" s="64"/>
      <c r="J22" s="64"/>
      <c r="K22" s="64"/>
      <c r="L22" s="64"/>
      <c r="M22" s="44"/>
      <c r="N22" s="47"/>
      <c r="O22" s="64"/>
      <c r="P22" s="64"/>
      <c r="Q22" s="64"/>
      <c r="R22" s="51"/>
      <c r="S22" s="53"/>
      <c r="T22" s="64"/>
      <c r="U22" s="64"/>
      <c r="V22" s="64"/>
      <c r="W22" s="64"/>
      <c r="X22" s="64"/>
      <c r="Y22" s="64"/>
      <c r="Z22" s="64"/>
      <c r="AA22" s="64"/>
      <c r="AB22" s="39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</row>
    <row r="23" spans="1:43" x14ac:dyDescent="0.25">
      <c r="A23" s="64"/>
      <c r="B23" s="64"/>
      <c r="C23" s="64"/>
      <c r="D23" s="34"/>
      <c r="E23" s="64"/>
      <c r="F23" s="64"/>
      <c r="G23" s="64"/>
      <c r="H23" s="47"/>
      <c r="I23" s="47"/>
      <c r="J23" s="47"/>
      <c r="K23" s="47"/>
      <c r="L23" s="47"/>
      <c r="M23" s="47"/>
      <c r="N23" s="47"/>
      <c r="O23" s="64"/>
      <c r="P23" s="64"/>
      <c r="Q23" s="64"/>
      <c r="R23" s="53"/>
      <c r="S23" s="53"/>
      <c r="T23" s="64"/>
      <c r="U23" s="64"/>
      <c r="V23" s="64"/>
      <c r="W23" s="64"/>
      <c r="X23" s="64"/>
      <c r="Y23" s="64"/>
      <c r="Z23" s="64"/>
      <c r="AA23" s="64"/>
      <c r="AB23" s="39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</row>
    <row r="24" spans="1:43" x14ac:dyDescent="0.25">
      <c r="A24" s="64"/>
      <c r="B24" s="64"/>
      <c r="C24" s="64"/>
      <c r="D24" s="34"/>
      <c r="E24" s="64"/>
      <c r="F24" s="64"/>
      <c r="G24" s="64"/>
      <c r="H24" s="47"/>
      <c r="I24" s="47"/>
      <c r="J24" s="47"/>
      <c r="K24" s="47"/>
      <c r="L24" s="47"/>
      <c r="M24" s="47"/>
      <c r="N24" s="47"/>
      <c r="O24" s="64"/>
      <c r="P24" s="64"/>
      <c r="Q24" s="64"/>
      <c r="R24" s="51"/>
      <c r="S24" s="53"/>
      <c r="T24" s="64"/>
      <c r="U24" s="64"/>
      <c r="V24" s="64"/>
      <c r="W24" s="64"/>
      <c r="X24" s="64"/>
      <c r="Y24" s="64"/>
      <c r="Z24" s="64"/>
      <c r="AA24" s="64"/>
      <c r="AB24" s="39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</row>
    <row r="25" spans="1:43" x14ac:dyDescent="0.25">
      <c r="A25" s="64"/>
      <c r="B25" s="64"/>
      <c r="C25" s="64"/>
      <c r="D25" s="34"/>
      <c r="E25" s="64"/>
      <c r="F25" s="64"/>
      <c r="G25" s="64"/>
      <c r="H25" s="47"/>
      <c r="I25" s="47"/>
      <c r="J25" s="47"/>
      <c r="K25" s="47"/>
      <c r="L25" s="47"/>
      <c r="M25" s="47"/>
      <c r="N25" s="47"/>
      <c r="O25" s="64"/>
      <c r="P25" s="64"/>
      <c r="Q25" s="64"/>
      <c r="R25" s="51"/>
      <c r="S25" s="53"/>
      <c r="T25" s="64"/>
      <c r="U25" s="64"/>
      <c r="V25" s="64"/>
      <c r="W25" s="64"/>
      <c r="X25" s="64"/>
      <c r="Y25" s="64"/>
      <c r="Z25" s="64"/>
      <c r="AA25" s="64"/>
      <c r="AB25" s="39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</row>
    <row r="26" spans="1:43" x14ac:dyDescent="0.25">
      <c r="A26" s="64"/>
      <c r="B26" s="64"/>
      <c r="C26" s="64"/>
      <c r="D26" s="34"/>
      <c r="E26" s="64"/>
      <c r="F26" s="64"/>
      <c r="G26" s="64"/>
      <c r="H26" s="47"/>
      <c r="I26" s="47"/>
      <c r="J26" s="47"/>
      <c r="K26" s="47"/>
      <c r="L26" s="47"/>
      <c r="M26" s="47"/>
      <c r="N26" s="47"/>
      <c r="O26" s="64"/>
      <c r="P26" s="64"/>
      <c r="Q26" s="64"/>
      <c r="R26" s="51"/>
      <c r="S26" s="53"/>
      <c r="T26" s="64"/>
      <c r="U26" s="64"/>
      <c r="V26" s="64"/>
      <c r="W26" s="64"/>
      <c r="X26" s="64"/>
      <c r="Y26" s="64"/>
      <c r="Z26" s="64"/>
      <c r="AA26" s="64"/>
      <c r="AB26" s="39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</row>
    <row r="27" spans="1:43" x14ac:dyDescent="0.25">
      <c r="A27" s="64"/>
      <c r="B27" s="64"/>
      <c r="C27" s="64"/>
      <c r="D27" s="34"/>
      <c r="E27" s="64"/>
      <c r="F27" s="64"/>
      <c r="G27" s="64"/>
      <c r="H27" s="47"/>
      <c r="I27" s="64"/>
      <c r="J27" s="64"/>
      <c r="K27" s="32"/>
      <c r="L27" s="64"/>
      <c r="M27" s="64"/>
      <c r="N27" s="47"/>
      <c r="O27" s="64"/>
      <c r="P27" s="64"/>
      <c r="Q27" s="64"/>
      <c r="R27" s="82"/>
      <c r="S27" s="64"/>
      <c r="T27" s="64"/>
      <c r="U27" s="64"/>
      <c r="V27" s="64"/>
      <c r="W27" s="64"/>
      <c r="X27" s="64"/>
      <c r="Y27" s="64"/>
      <c r="Z27" s="64"/>
      <c r="AA27" s="64"/>
      <c r="AB27" s="39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</row>
    <row r="28" spans="1:43" x14ac:dyDescent="0.25">
      <c r="A28" s="64"/>
      <c r="B28" s="64"/>
      <c r="C28" s="64"/>
      <c r="D28" s="34"/>
      <c r="E28" s="64"/>
      <c r="F28" s="64"/>
      <c r="G28" s="64"/>
      <c r="H28" s="47"/>
      <c r="I28" s="64"/>
      <c r="J28" s="64"/>
      <c r="K28" s="64"/>
      <c r="L28" s="64"/>
      <c r="M28" s="64"/>
      <c r="N28" s="47"/>
      <c r="O28" s="64"/>
      <c r="P28" s="64"/>
      <c r="Q28" s="64"/>
      <c r="R28" s="82"/>
      <c r="S28" s="58"/>
      <c r="T28" s="64"/>
      <c r="U28" s="64"/>
      <c r="V28" s="64"/>
      <c r="W28" s="64"/>
      <c r="X28" s="64"/>
      <c r="Y28" s="64"/>
      <c r="Z28" s="64"/>
      <c r="AA28" s="64"/>
      <c r="AB28" s="39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</row>
    <row r="29" spans="1:43" x14ac:dyDescent="0.25">
      <c r="A29" s="64"/>
      <c r="B29" s="64"/>
      <c r="C29" s="64"/>
      <c r="D29" s="34"/>
      <c r="E29" s="64"/>
      <c r="F29" s="64"/>
      <c r="G29" s="64"/>
      <c r="H29" s="47"/>
      <c r="I29" s="66"/>
      <c r="J29" s="66"/>
      <c r="K29" s="66"/>
      <c r="L29" s="66"/>
      <c r="M29" s="66"/>
      <c r="N29" s="47"/>
      <c r="O29" s="64"/>
      <c r="P29" s="64"/>
      <c r="Q29" s="64"/>
      <c r="R29" s="33"/>
      <c r="S29" s="39"/>
      <c r="T29" s="64"/>
      <c r="U29" s="64"/>
      <c r="V29" s="64"/>
      <c r="W29" s="64"/>
      <c r="X29" s="64"/>
      <c r="Y29" s="64"/>
      <c r="Z29" s="64"/>
      <c r="AA29" s="64"/>
      <c r="AB29" s="39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</row>
    <row r="30" spans="1:43" x14ac:dyDescent="0.25">
      <c r="A30" s="64"/>
      <c r="B30" s="64"/>
      <c r="C30" s="64"/>
      <c r="D30" s="34"/>
      <c r="E30" s="266"/>
      <c r="F30" s="64"/>
      <c r="G30" s="64"/>
      <c r="H30" s="61"/>
      <c r="I30" s="66"/>
      <c r="J30" s="66"/>
      <c r="K30" s="66"/>
      <c r="L30" s="66"/>
      <c r="M30" s="66"/>
      <c r="N30" s="176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39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</row>
    <row r="31" spans="1:43" x14ac:dyDescent="0.25">
      <c r="A31" s="64"/>
      <c r="B31" s="64"/>
      <c r="C31" s="64"/>
      <c r="D31" s="34"/>
      <c r="E31" s="64"/>
      <c r="F31" s="64"/>
      <c r="G31" s="64"/>
      <c r="H31" s="61"/>
      <c r="I31" s="66"/>
      <c r="J31" s="66"/>
      <c r="K31" s="66"/>
      <c r="L31" s="66"/>
      <c r="M31" s="66"/>
      <c r="N31" s="176"/>
      <c r="O31" s="64"/>
      <c r="P31" s="64"/>
      <c r="Q31" s="64"/>
      <c r="R31" s="64"/>
      <c r="S31" s="39"/>
      <c r="T31" s="64"/>
      <c r="U31" s="64"/>
      <c r="V31" s="64"/>
      <c r="W31" s="64"/>
      <c r="X31" s="64"/>
      <c r="Y31" s="64"/>
      <c r="Z31" s="64"/>
      <c r="AA31" s="64"/>
      <c r="AB31" s="39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</row>
    <row r="32" spans="1:43" x14ac:dyDescent="0.25">
      <c r="A32" s="64"/>
      <c r="B32" s="64"/>
      <c r="C32" s="64"/>
      <c r="D32" s="34"/>
      <c r="E32" s="266"/>
      <c r="F32" s="64"/>
      <c r="G32" s="64"/>
      <c r="H32" s="61"/>
      <c r="I32" s="66"/>
      <c r="J32" s="66"/>
      <c r="K32" s="66"/>
      <c r="L32" s="66"/>
      <c r="M32" s="66"/>
      <c r="N32" s="176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39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</row>
    <row r="33" spans="1:43" x14ac:dyDescent="0.25">
      <c r="A33" s="177"/>
      <c r="B33" s="64"/>
      <c r="C33" s="64"/>
      <c r="D33" s="34"/>
      <c r="E33" s="64"/>
      <c r="F33" s="64"/>
      <c r="G33" s="64"/>
      <c r="H33" s="61"/>
      <c r="I33" s="66"/>
      <c r="J33" s="66"/>
      <c r="K33" s="66"/>
      <c r="L33" s="66"/>
      <c r="M33" s="66"/>
      <c r="N33" s="176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39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</row>
    <row r="34" spans="1:43" x14ac:dyDescent="0.25">
      <c r="A34" s="178"/>
      <c r="B34" s="64"/>
      <c r="C34" s="64"/>
      <c r="D34" s="172"/>
      <c r="E34" s="172"/>
      <c r="F34" s="64"/>
      <c r="G34" s="64"/>
      <c r="H34" s="61"/>
      <c r="I34" s="66"/>
      <c r="J34" s="66"/>
      <c r="K34" s="66"/>
      <c r="L34" s="66"/>
      <c r="M34" s="66"/>
      <c r="N34" s="61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39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</row>
    <row r="35" spans="1:43" x14ac:dyDescent="0.25">
      <c r="A35" s="179"/>
      <c r="B35" s="180"/>
      <c r="C35" s="64"/>
      <c r="D35" s="34"/>
      <c r="E35" s="64"/>
      <c r="F35" s="64"/>
      <c r="G35" s="64"/>
      <c r="H35" s="64"/>
      <c r="I35" s="61"/>
      <c r="J35" s="61"/>
      <c r="K35" s="61"/>
      <c r="L35" s="61"/>
      <c r="M35" s="61"/>
      <c r="N35" s="64"/>
      <c r="O35" s="64"/>
      <c r="P35" s="64"/>
      <c r="Q35" s="64"/>
      <c r="R35" s="68"/>
      <c r="S35" s="181"/>
      <c r="T35" s="64"/>
      <c r="U35" s="64"/>
      <c r="V35" s="64"/>
      <c r="W35" s="64"/>
      <c r="X35" s="64"/>
      <c r="Y35" s="64"/>
      <c r="Z35" s="64"/>
      <c r="AA35" s="64"/>
      <c r="AB35" s="39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</row>
    <row r="36" spans="1:43" x14ac:dyDescent="0.25">
      <c r="A36" s="182"/>
      <c r="B36" s="67"/>
      <c r="C36" s="64"/>
      <c r="D36" s="34"/>
      <c r="E36" s="64"/>
      <c r="F36" s="64"/>
      <c r="G36" s="64"/>
      <c r="H36" s="64"/>
      <c r="I36" s="61"/>
      <c r="J36" s="61"/>
      <c r="K36" s="61"/>
      <c r="L36" s="61"/>
      <c r="M36" s="61"/>
      <c r="N36" s="64"/>
      <c r="O36" s="64"/>
      <c r="P36" s="64"/>
      <c r="Q36" s="64"/>
      <c r="R36" s="68"/>
      <c r="S36" s="53"/>
      <c r="T36" s="64"/>
      <c r="U36" s="64"/>
      <c r="V36" s="64"/>
      <c r="W36" s="64"/>
      <c r="X36" s="64"/>
      <c r="Y36" s="64"/>
      <c r="Z36" s="64"/>
      <c r="AA36" s="64"/>
      <c r="AB36" s="39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</row>
    <row r="37" spans="1:43" x14ac:dyDescent="0.25">
      <c r="A37" s="178"/>
      <c r="B37" s="64"/>
      <c r="C37" s="64"/>
      <c r="D37" s="34"/>
      <c r="E37" s="64"/>
      <c r="F37" s="64"/>
      <c r="G37" s="64"/>
      <c r="H37" s="64"/>
      <c r="I37" s="61"/>
      <c r="J37" s="61"/>
      <c r="K37" s="61"/>
      <c r="L37" s="61"/>
      <c r="M37" s="176"/>
      <c r="N37" s="64"/>
      <c r="O37" s="64"/>
      <c r="P37" s="64"/>
      <c r="Q37" s="64"/>
      <c r="R37" s="68"/>
      <c r="S37" s="53"/>
      <c r="T37" s="64"/>
      <c r="U37" s="64"/>
      <c r="V37" s="64"/>
      <c r="W37" s="64"/>
      <c r="X37" s="64"/>
      <c r="Y37" s="64"/>
      <c r="Z37" s="64"/>
      <c r="AA37" s="64"/>
      <c r="AB37" s="39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</row>
    <row r="38" spans="1:43" x14ac:dyDescent="0.25">
      <c r="A38" s="178"/>
      <c r="B38" s="64"/>
      <c r="C38" s="64"/>
      <c r="D38" s="34"/>
      <c r="E38" s="64"/>
      <c r="F38" s="64"/>
      <c r="G38" s="64"/>
      <c r="H38" s="64"/>
      <c r="I38" s="61"/>
      <c r="J38" s="61"/>
      <c r="K38" s="61"/>
      <c r="L38" s="61"/>
      <c r="M38" s="176"/>
      <c r="N38" s="64"/>
      <c r="O38" s="64"/>
      <c r="P38" s="64"/>
      <c r="Q38" s="64"/>
      <c r="R38" s="68"/>
      <c r="S38" s="53"/>
      <c r="T38" s="64"/>
      <c r="U38" s="64"/>
      <c r="V38" s="64"/>
      <c r="W38" s="64"/>
      <c r="X38" s="64"/>
      <c r="Y38" s="64"/>
      <c r="Z38" s="64"/>
      <c r="AA38" s="64"/>
      <c r="AB38" s="39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</row>
    <row r="39" spans="1:43" x14ac:dyDescent="0.25">
      <c r="A39" s="177"/>
      <c r="B39" s="69"/>
      <c r="C39" s="64"/>
      <c r="D39" s="34"/>
      <c r="E39" s="64"/>
      <c r="F39" s="64"/>
      <c r="G39" s="64"/>
      <c r="H39" s="64"/>
      <c r="I39" s="61"/>
      <c r="J39" s="61"/>
      <c r="K39" s="61"/>
      <c r="L39" s="61"/>
      <c r="M39" s="176"/>
      <c r="N39" s="64"/>
      <c r="O39" s="64"/>
      <c r="P39" s="64"/>
      <c r="Q39" s="64"/>
      <c r="R39" s="68"/>
      <c r="S39" s="53"/>
      <c r="T39" s="64"/>
      <c r="U39" s="64"/>
      <c r="V39" s="64"/>
      <c r="W39" s="64"/>
      <c r="X39" s="64"/>
      <c r="Y39" s="64"/>
      <c r="Z39" s="64"/>
      <c r="AA39" s="64"/>
      <c r="AB39" s="39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</row>
    <row r="40" spans="1:43" x14ac:dyDescent="0.25">
      <c r="A40" s="70"/>
      <c r="B40" s="70"/>
      <c r="C40" s="70"/>
      <c r="D40" s="71"/>
      <c r="E40" s="70"/>
      <c r="F40" s="70"/>
      <c r="G40" s="70"/>
      <c r="H40" s="70"/>
      <c r="I40" s="61"/>
      <c r="J40" s="61"/>
      <c r="K40" s="61"/>
      <c r="L40" s="61"/>
      <c r="M40" s="176"/>
      <c r="N40" s="70"/>
      <c r="O40" s="70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39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</row>
    <row r="41" spans="1:43" x14ac:dyDescent="0.25">
      <c r="A41" s="183"/>
      <c r="B41" s="70"/>
      <c r="C41" s="70"/>
      <c r="D41" s="71"/>
      <c r="E41" s="184"/>
      <c r="F41" s="70"/>
      <c r="G41" s="70"/>
      <c r="H41" s="70"/>
      <c r="I41" s="61"/>
      <c r="J41" s="61"/>
      <c r="K41" s="61"/>
      <c r="L41" s="61"/>
      <c r="M41" s="61"/>
      <c r="N41" s="70"/>
      <c r="O41" s="70"/>
      <c r="P41" s="64"/>
      <c r="Q41" s="64"/>
      <c r="R41" s="35"/>
      <c r="S41" s="36"/>
      <c r="T41" s="64"/>
      <c r="U41" s="64"/>
      <c r="V41" s="64"/>
      <c r="W41" s="64"/>
      <c r="X41" s="64"/>
      <c r="Y41" s="64"/>
      <c r="Z41" s="64"/>
      <c r="AA41" s="64"/>
      <c r="AB41" s="39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</row>
    <row r="42" spans="1:43" x14ac:dyDescent="0.25">
      <c r="A42" s="64"/>
      <c r="B42" s="64"/>
      <c r="C42" s="64"/>
      <c r="D42" s="3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39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</row>
    <row r="43" spans="1:43" x14ac:dyDescent="0.25">
      <c r="A43" s="64"/>
      <c r="B43" s="64"/>
      <c r="C43" s="64"/>
      <c r="D43" s="3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39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</row>
    <row r="44" spans="1:43" x14ac:dyDescent="0.25">
      <c r="A44" s="64"/>
      <c r="B44" s="64"/>
      <c r="C44" s="64"/>
      <c r="D44" s="3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39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</row>
    <row r="45" spans="1:43" x14ac:dyDescent="0.25">
      <c r="A45" s="64"/>
      <c r="B45" s="64"/>
      <c r="C45" s="64"/>
      <c r="D45" s="3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39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</row>
    <row r="46" spans="1:43" x14ac:dyDescent="0.25">
      <c r="A46" s="64"/>
      <c r="B46" s="64"/>
      <c r="C46" s="64"/>
      <c r="D46" s="3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39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</row>
    <row r="47" spans="1:43" x14ac:dyDescent="0.25">
      <c r="A47" s="64"/>
      <c r="B47" s="64"/>
      <c r="C47" s="64"/>
      <c r="D47" s="3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39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</row>
    <row r="48" spans="1:43" x14ac:dyDescent="0.25">
      <c r="A48" s="64"/>
      <c r="B48" s="64"/>
      <c r="C48" s="64"/>
      <c r="D48" s="3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39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</row>
    <row r="49" spans="1:43" x14ac:dyDescent="0.25">
      <c r="A49" s="64"/>
      <c r="B49" s="64"/>
      <c r="C49" s="64"/>
      <c r="D49" s="3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39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</row>
    <row r="50" spans="1:43" x14ac:dyDescent="0.25">
      <c r="A50" s="64"/>
      <c r="B50" s="64"/>
      <c r="C50" s="64"/>
      <c r="D50" s="3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39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</row>
    <row r="51" spans="1:43" x14ac:dyDescent="0.25">
      <c r="A51" s="64"/>
      <c r="B51" s="64"/>
      <c r="C51" s="64"/>
      <c r="D51" s="34"/>
      <c r="E51" s="64"/>
      <c r="F51" s="64"/>
      <c r="G51" s="64"/>
      <c r="H51" s="64"/>
      <c r="I51" s="64"/>
      <c r="J51" s="64"/>
      <c r="K51" s="185"/>
      <c r="L51" s="64"/>
      <c r="M51" s="64"/>
      <c r="N51" s="64"/>
      <c r="O51" s="185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39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</row>
    <row r="52" spans="1:43" x14ac:dyDescent="0.25">
      <c r="A52" s="64"/>
      <c r="B52" s="64"/>
      <c r="C52" s="64"/>
      <c r="D52" s="34"/>
      <c r="E52" s="64"/>
      <c r="F52" s="64"/>
      <c r="G52" s="64"/>
      <c r="H52" s="64"/>
      <c r="I52" s="64"/>
      <c r="J52" s="64"/>
      <c r="K52" s="185"/>
      <c r="L52" s="64"/>
      <c r="M52" s="64"/>
      <c r="N52" s="64"/>
      <c r="O52" s="185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39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</row>
    <row r="53" spans="1:43" x14ac:dyDescent="0.25">
      <c r="A53" s="64"/>
      <c r="B53" s="64"/>
      <c r="C53" s="64"/>
      <c r="D53" s="34"/>
      <c r="E53" s="64"/>
      <c r="F53" s="64"/>
      <c r="G53" s="64"/>
      <c r="H53" s="64"/>
      <c r="I53" s="64"/>
      <c r="J53" s="64"/>
      <c r="K53" s="185"/>
      <c r="L53" s="64"/>
      <c r="M53" s="64"/>
      <c r="N53" s="64"/>
      <c r="O53" s="185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39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</row>
    <row r="54" spans="1:43" x14ac:dyDescent="0.25">
      <c r="A54" s="64"/>
      <c r="B54" s="64"/>
      <c r="C54" s="64"/>
      <c r="D54" s="34"/>
      <c r="E54" s="64"/>
      <c r="F54" s="64"/>
      <c r="G54" s="64"/>
      <c r="H54" s="64"/>
      <c r="I54" s="64"/>
      <c r="J54" s="64"/>
      <c r="K54" s="185"/>
      <c r="L54" s="64"/>
      <c r="M54" s="64"/>
      <c r="N54" s="64"/>
      <c r="O54" s="185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39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</row>
    <row r="55" spans="1:43" x14ac:dyDescent="0.25">
      <c r="A55" s="64"/>
      <c r="B55" s="64"/>
      <c r="C55" s="64"/>
      <c r="D55" s="34"/>
      <c r="E55" s="64"/>
      <c r="F55" s="64"/>
      <c r="G55" s="64"/>
      <c r="H55" s="64"/>
      <c r="I55" s="64"/>
      <c r="J55" s="64"/>
      <c r="K55" s="185"/>
      <c r="L55" s="64"/>
      <c r="M55" s="64"/>
      <c r="N55" s="64"/>
      <c r="O55" s="185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39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</row>
    <row r="56" spans="1:43" x14ac:dyDescent="0.25">
      <c r="A56" s="64"/>
      <c r="B56" s="64"/>
      <c r="C56" s="64"/>
      <c r="D56" s="34"/>
      <c r="E56" s="64"/>
      <c r="F56" s="64"/>
      <c r="G56" s="64"/>
      <c r="H56" s="64"/>
      <c r="I56" s="64"/>
      <c r="J56" s="64"/>
      <c r="K56" s="185"/>
      <c r="L56" s="64"/>
      <c r="M56" s="64"/>
      <c r="N56" s="64"/>
      <c r="O56" s="185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39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</row>
    <row r="57" spans="1:43" x14ac:dyDescent="0.25">
      <c r="A57" s="64"/>
      <c r="B57" s="64"/>
      <c r="C57" s="64"/>
      <c r="D57" s="34"/>
      <c r="E57" s="64"/>
      <c r="F57" s="64"/>
      <c r="G57" s="64"/>
      <c r="H57" s="64"/>
      <c r="I57" s="64"/>
      <c r="J57" s="64"/>
      <c r="K57" s="36"/>
      <c r="L57" s="64"/>
      <c r="M57" s="64"/>
      <c r="N57" s="64"/>
      <c r="O57" s="36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39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</row>
    <row r="58" spans="1:43" x14ac:dyDescent="0.25">
      <c r="A58" s="64"/>
      <c r="B58" s="64"/>
      <c r="C58" s="64"/>
      <c r="D58" s="34"/>
      <c r="E58" s="64"/>
      <c r="F58" s="64"/>
      <c r="G58" s="64"/>
      <c r="H58" s="64"/>
      <c r="I58" s="64"/>
      <c r="J58" s="64"/>
      <c r="K58" s="47"/>
      <c r="L58" s="64"/>
      <c r="M58" s="64"/>
      <c r="N58" s="64"/>
      <c r="O58" s="47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39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</row>
    <row r="59" spans="1:43" x14ac:dyDescent="0.25">
      <c r="A59" s="64"/>
      <c r="B59" s="64"/>
      <c r="C59" s="64"/>
      <c r="D59" s="34"/>
      <c r="E59" s="64"/>
      <c r="F59" s="64"/>
      <c r="G59" s="64"/>
      <c r="H59" s="64"/>
      <c r="I59" s="64"/>
      <c r="J59" s="64"/>
      <c r="K59" s="47"/>
      <c r="L59" s="64"/>
      <c r="M59" s="64"/>
      <c r="N59" s="64"/>
      <c r="O59" s="47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39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</row>
    <row r="60" spans="1:43" x14ac:dyDescent="0.25">
      <c r="A60" s="64"/>
      <c r="B60" s="64"/>
      <c r="C60" s="64"/>
      <c r="D60" s="34"/>
      <c r="E60" s="64"/>
      <c r="F60" s="64"/>
      <c r="G60" s="64"/>
      <c r="H60" s="64"/>
      <c r="I60" s="64"/>
      <c r="J60" s="64"/>
      <c r="K60" s="47"/>
      <c r="L60" s="64"/>
      <c r="M60" s="64"/>
      <c r="N60" s="64"/>
      <c r="O60" s="47"/>
      <c r="P60" s="64"/>
      <c r="Q60" s="37"/>
      <c r="R60" s="64"/>
      <c r="S60" s="37"/>
      <c r="T60" s="37"/>
      <c r="U60" s="37"/>
      <c r="V60" s="37"/>
      <c r="W60" s="37"/>
      <c r="X60" s="37"/>
      <c r="Y60" s="37"/>
      <c r="Z60" s="37"/>
      <c r="AA60" s="37"/>
      <c r="AB60" s="38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</row>
    <row r="61" spans="1:43" x14ac:dyDescent="0.25">
      <c r="A61" s="64"/>
      <c r="B61" s="64"/>
      <c r="C61" s="64"/>
      <c r="D61" s="34"/>
      <c r="E61" s="64"/>
      <c r="F61" s="64"/>
      <c r="G61" s="64"/>
      <c r="H61" s="64"/>
      <c r="I61" s="64"/>
      <c r="J61" s="64"/>
      <c r="K61" s="47"/>
      <c r="L61" s="64"/>
      <c r="M61" s="64"/>
      <c r="N61" s="64"/>
      <c r="O61" s="47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39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</row>
    <row r="62" spans="1:43" x14ac:dyDescent="0.25">
      <c r="A62" s="64"/>
      <c r="B62" s="64"/>
      <c r="C62" s="64"/>
      <c r="D62" s="34"/>
      <c r="E62" s="64"/>
      <c r="F62" s="64"/>
      <c r="G62" s="64"/>
      <c r="H62" s="64"/>
      <c r="I62" s="64"/>
      <c r="J62" s="64"/>
      <c r="K62" s="47"/>
      <c r="L62" s="64"/>
      <c r="M62" s="64"/>
      <c r="N62" s="64"/>
      <c r="O62" s="47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39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</row>
    <row r="63" spans="1:43" x14ac:dyDescent="0.25">
      <c r="A63" s="64"/>
      <c r="B63" s="64"/>
      <c r="C63" s="64"/>
      <c r="D63" s="34"/>
      <c r="E63" s="64"/>
      <c r="F63" s="64"/>
      <c r="G63" s="64"/>
      <c r="H63" s="64"/>
      <c r="I63" s="64"/>
      <c r="J63" s="64"/>
      <c r="K63" s="47"/>
      <c r="L63" s="64"/>
      <c r="M63" s="64"/>
      <c r="N63" s="64"/>
      <c r="O63" s="47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39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</row>
    <row r="64" spans="1:43" x14ac:dyDescent="0.25">
      <c r="A64" s="64"/>
      <c r="B64" s="64"/>
      <c r="C64" s="64"/>
      <c r="D64" s="34"/>
      <c r="E64" s="64"/>
      <c r="F64" s="64"/>
      <c r="G64" s="64"/>
      <c r="H64" s="64"/>
      <c r="I64" s="64"/>
      <c r="J64" s="64"/>
      <c r="K64" s="47"/>
      <c r="L64" s="64"/>
      <c r="M64" s="64"/>
      <c r="N64" s="64"/>
      <c r="O64" s="47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39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</row>
    <row r="65" spans="1:43" x14ac:dyDescent="0.25">
      <c r="A65" s="64"/>
      <c r="B65" s="64"/>
      <c r="C65" s="64"/>
      <c r="D65" s="34"/>
      <c r="E65" s="64"/>
      <c r="F65" s="64"/>
      <c r="G65" s="64"/>
      <c r="H65" s="64"/>
      <c r="I65" s="64"/>
      <c r="J65" s="64"/>
      <c r="K65" s="47"/>
      <c r="L65" s="64"/>
      <c r="M65" s="64"/>
      <c r="N65" s="64"/>
      <c r="O65" s="47"/>
      <c r="P65" s="64"/>
      <c r="Q65" s="64"/>
      <c r="R65" s="72"/>
      <c r="S65" s="73"/>
      <c r="T65" s="64"/>
      <c r="U65" s="64"/>
      <c r="V65" s="64"/>
      <c r="W65" s="64"/>
      <c r="X65" s="64"/>
      <c r="Y65" s="64"/>
      <c r="Z65" s="64"/>
      <c r="AA65" s="64"/>
      <c r="AB65" s="39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</row>
    <row r="66" spans="1:43" x14ac:dyDescent="0.25">
      <c r="A66" s="64"/>
      <c r="B66" s="64"/>
      <c r="C66" s="64"/>
      <c r="D66" s="34"/>
      <c r="E66" s="64"/>
      <c r="F66" s="64"/>
      <c r="G66" s="64"/>
      <c r="H66" s="64"/>
      <c r="I66" s="64"/>
      <c r="J66" s="64"/>
      <c r="K66" s="47"/>
      <c r="L66" s="64"/>
      <c r="M66" s="64"/>
      <c r="N66" s="64"/>
      <c r="O66" s="47"/>
      <c r="P66" s="64"/>
      <c r="Q66" s="64"/>
      <c r="R66" s="72"/>
      <c r="S66" s="74"/>
      <c r="T66" s="64"/>
      <c r="U66" s="64"/>
      <c r="V66" s="64"/>
      <c r="W66" s="64"/>
      <c r="X66" s="64"/>
      <c r="Y66" s="64"/>
      <c r="Z66" s="64"/>
      <c r="AA66" s="64"/>
      <c r="AB66" s="39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</row>
    <row r="67" spans="1:43" x14ac:dyDescent="0.25">
      <c r="A67" s="64"/>
      <c r="B67" s="64"/>
      <c r="C67" s="64"/>
      <c r="D67" s="34"/>
      <c r="E67" s="64"/>
      <c r="F67" s="64"/>
      <c r="G67" s="64"/>
      <c r="H67" s="64"/>
      <c r="I67" s="64"/>
      <c r="J67" s="64"/>
      <c r="K67" s="47"/>
      <c r="L67" s="64"/>
      <c r="M67" s="64"/>
      <c r="N67" s="64"/>
      <c r="O67" s="47"/>
      <c r="P67" s="64"/>
      <c r="Q67" s="64"/>
      <c r="R67" s="72"/>
      <c r="S67" s="75"/>
      <c r="T67" s="64"/>
      <c r="U67" s="64"/>
      <c r="V67" s="64"/>
      <c r="W67" s="64"/>
      <c r="X67" s="64"/>
      <c r="Y67" s="64"/>
      <c r="Z67" s="64"/>
      <c r="AA67" s="64"/>
      <c r="AB67" s="39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</row>
    <row r="68" spans="1:43" x14ac:dyDescent="0.25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76"/>
      <c r="S68" s="75"/>
      <c r="T68" s="64"/>
      <c r="U68" s="64"/>
      <c r="V68" s="64"/>
      <c r="W68" s="64"/>
      <c r="X68" s="64"/>
      <c r="Y68" s="64"/>
      <c r="Z68" s="64"/>
      <c r="AA68" s="64"/>
      <c r="AB68" s="39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</row>
    <row r="69" spans="1:43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76"/>
      <c r="S69" s="76"/>
      <c r="T69" s="64"/>
      <c r="U69" s="64"/>
      <c r="V69" s="64"/>
      <c r="W69" s="64"/>
      <c r="X69" s="64"/>
      <c r="Y69" s="64"/>
      <c r="Z69" s="64"/>
      <c r="AA69" s="64"/>
      <c r="AB69" s="39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</row>
    <row r="70" spans="1:43" x14ac:dyDescent="0.25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76"/>
      <c r="S70" s="75"/>
      <c r="T70" s="64"/>
      <c r="U70" s="64"/>
      <c r="V70" s="64"/>
      <c r="W70" s="64"/>
      <c r="X70" s="64"/>
      <c r="Y70" s="64"/>
      <c r="Z70" s="64"/>
      <c r="AA70" s="64"/>
      <c r="AB70" s="39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</row>
    <row r="71" spans="1:43" x14ac:dyDescent="0.25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39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</row>
    <row r="72" spans="1:43" x14ac:dyDescent="0.25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39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</row>
    <row r="73" spans="1:43" x14ac:dyDescent="0.25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39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</row>
    <row r="74" spans="1:43" x14ac:dyDescent="0.25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39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</row>
    <row r="75" spans="1:43" x14ac:dyDescent="0.2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39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</row>
    <row r="76" spans="1:43" x14ac:dyDescent="0.25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39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</row>
    <row r="77" spans="1:43" x14ac:dyDescent="0.25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39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</row>
    <row r="78" spans="1:43" x14ac:dyDescent="0.25">
      <c r="A78" s="64"/>
      <c r="B78" s="64"/>
      <c r="C78" s="64"/>
      <c r="D78" s="3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39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</row>
    <row r="79" spans="1:43" x14ac:dyDescent="0.25">
      <c r="A79" s="64"/>
      <c r="B79" s="64"/>
      <c r="C79" s="64"/>
      <c r="D79" s="3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39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</row>
    <row r="80" spans="1:43" x14ac:dyDescent="0.25">
      <c r="A80" s="64"/>
      <c r="B80" s="64"/>
      <c r="C80" s="64"/>
      <c r="D80" s="3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39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</row>
    <row r="81" spans="1:94" x14ac:dyDescent="0.25">
      <c r="A81" s="64"/>
      <c r="B81" s="64"/>
      <c r="C81" s="64"/>
      <c r="D81" s="3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39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</row>
    <row r="82" spans="1:94" x14ac:dyDescent="0.25">
      <c r="A82" s="64"/>
      <c r="B82" s="64"/>
      <c r="C82" s="64"/>
      <c r="D82" s="34"/>
      <c r="E82" s="64"/>
      <c r="F82" s="64"/>
      <c r="G82" s="64"/>
      <c r="H82" s="64"/>
      <c r="I82" s="64"/>
      <c r="J82" s="186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39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</row>
    <row r="83" spans="1:94" x14ac:dyDescent="0.25">
      <c r="A83" s="64"/>
      <c r="B83" s="64"/>
      <c r="C83" s="64"/>
      <c r="D83" s="34"/>
      <c r="E83" s="64"/>
      <c r="F83" s="64"/>
      <c r="G83" s="64"/>
      <c r="H83" s="64"/>
      <c r="I83" s="64"/>
      <c r="J83" s="186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39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</row>
    <row r="84" spans="1:94" x14ac:dyDescent="0.25">
      <c r="A84" s="64"/>
      <c r="B84" s="64"/>
      <c r="C84" s="64"/>
      <c r="D84" s="34"/>
      <c r="E84" s="64"/>
      <c r="F84" s="64"/>
      <c r="G84" s="64"/>
      <c r="H84" s="64"/>
      <c r="I84" s="64"/>
      <c r="J84" s="186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39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</row>
    <row r="85" spans="1:94" x14ac:dyDescent="0.25">
      <c r="A85" s="64"/>
      <c r="B85" s="64"/>
      <c r="C85" s="64"/>
      <c r="D85" s="34"/>
      <c r="E85" s="64"/>
      <c r="F85" s="64"/>
      <c r="G85" s="64"/>
      <c r="H85" s="64"/>
      <c r="I85" s="64"/>
      <c r="J85" s="186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39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</row>
    <row r="86" spans="1:94" x14ac:dyDescent="0.25">
      <c r="A86" s="64"/>
      <c r="B86" s="64"/>
      <c r="C86" s="64"/>
      <c r="D86" s="34"/>
      <c r="E86" s="64"/>
      <c r="F86" s="64"/>
      <c r="G86" s="64"/>
      <c r="H86" s="64"/>
      <c r="I86" s="64"/>
      <c r="J86" s="186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39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</row>
    <row r="87" spans="1:94" ht="18" customHeight="1" x14ac:dyDescent="0.25">
      <c r="A87" s="64"/>
      <c r="B87" s="64"/>
      <c r="C87" s="64"/>
      <c r="D87" s="34"/>
      <c r="E87" s="64"/>
      <c r="F87" s="64"/>
      <c r="G87" s="64"/>
      <c r="H87" s="64"/>
      <c r="I87" s="64"/>
      <c r="J87" s="186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39"/>
      <c r="AC87" s="64"/>
      <c r="AD87" s="687">
        <f>'Casing Review'!$B$4</f>
        <v>0</v>
      </c>
      <c r="AE87" s="679"/>
      <c r="AF87" s="679"/>
      <c r="AG87" s="679"/>
      <c r="AH87" s="679"/>
      <c r="AI87" s="679"/>
      <c r="AJ87" s="679"/>
      <c r="AK87" s="679"/>
      <c r="AL87" s="679"/>
      <c r="AM87" s="679"/>
      <c r="AN87" s="679"/>
      <c r="AO87" s="679"/>
      <c r="AP87" s="679"/>
      <c r="AQ87" s="679"/>
      <c r="AR87" s="679"/>
      <c r="AU87" s="687">
        <f>'Casing Review'!$B$4</f>
        <v>0</v>
      </c>
      <c r="AV87" s="679"/>
      <c r="AW87" s="679"/>
      <c r="AX87" s="679"/>
      <c r="AY87" s="679"/>
      <c r="AZ87" s="679"/>
      <c r="BA87" s="679"/>
      <c r="BB87" s="679"/>
      <c r="BC87" s="679"/>
      <c r="BD87" s="679"/>
      <c r="BE87" s="679"/>
      <c r="BF87" s="679"/>
      <c r="BG87" s="679"/>
      <c r="BH87" s="679"/>
      <c r="BL87" s="687">
        <f>'Casing Review'!$B$4</f>
        <v>0</v>
      </c>
      <c r="BM87" s="679"/>
      <c r="BN87" s="679"/>
      <c r="BO87" s="679"/>
      <c r="BP87" s="679"/>
      <c r="BQ87" s="679"/>
      <c r="BR87" s="679"/>
      <c r="BS87" s="679"/>
      <c r="BT87" s="679"/>
      <c r="BU87" s="679"/>
      <c r="BV87" s="679"/>
      <c r="BW87" s="679"/>
      <c r="BX87" s="679"/>
      <c r="BY87" s="679"/>
      <c r="CC87" s="687">
        <f>'Casing Review'!$B$4</f>
        <v>0</v>
      </c>
      <c r="CD87" s="679"/>
      <c r="CE87" s="679"/>
      <c r="CF87" s="679"/>
      <c r="CG87" s="679"/>
      <c r="CH87" s="679"/>
      <c r="CI87" s="679"/>
      <c r="CJ87" s="679"/>
      <c r="CK87" s="679"/>
      <c r="CL87" s="679"/>
      <c r="CM87" s="679"/>
      <c r="CN87" s="679"/>
      <c r="CO87" s="679"/>
      <c r="CP87" s="679"/>
    </row>
    <row r="88" spans="1:94" ht="18" customHeight="1" x14ac:dyDescent="0.25">
      <c r="A88" s="64"/>
      <c r="B88" s="64"/>
      <c r="C88" s="64"/>
      <c r="D88" s="34"/>
      <c r="E88" s="64"/>
      <c r="F88" s="64"/>
      <c r="G88" s="64"/>
      <c r="H88" s="64"/>
      <c r="I88" s="64"/>
      <c r="J88" s="186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39"/>
      <c r="AC88" s="64"/>
      <c r="AD88" s="687">
        <f>'Casing Review'!$B$5</f>
        <v>0</v>
      </c>
      <c r="AE88" s="679"/>
      <c r="AF88" s="679"/>
      <c r="AG88" s="679"/>
      <c r="AH88" s="679"/>
      <c r="AI88" s="679"/>
      <c r="AJ88" s="679"/>
      <c r="AK88" s="679"/>
      <c r="AL88" s="679"/>
      <c r="AM88" s="679"/>
      <c r="AN88" s="679"/>
      <c r="AO88" s="679"/>
      <c r="AP88" s="679"/>
      <c r="AQ88" s="679"/>
      <c r="AR88" s="679"/>
      <c r="AU88" s="687">
        <f>'Casing Review'!$B$5</f>
        <v>0</v>
      </c>
      <c r="AV88" s="679"/>
      <c r="AW88" s="679"/>
      <c r="AX88" s="679"/>
      <c r="AY88" s="679"/>
      <c r="AZ88" s="679"/>
      <c r="BA88" s="679"/>
      <c r="BB88" s="679"/>
      <c r="BC88" s="679"/>
      <c r="BD88" s="679"/>
      <c r="BE88" s="679"/>
      <c r="BF88" s="679"/>
      <c r="BG88" s="679"/>
      <c r="BH88" s="679"/>
      <c r="BL88" s="687">
        <f>'Casing Review'!$B$5</f>
        <v>0</v>
      </c>
      <c r="BM88" s="679"/>
      <c r="BN88" s="679"/>
      <c r="BO88" s="679"/>
      <c r="BP88" s="679"/>
      <c r="BQ88" s="679"/>
      <c r="BR88" s="679"/>
      <c r="BS88" s="679"/>
      <c r="BT88" s="679"/>
      <c r="BU88" s="679"/>
      <c r="BV88" s="679"/>
      <c r="BW88" s="679"/>
      <c r="BX88" s="679"/>
      <c r="BY88" s="679"/>
      <c r="CC88" s="687">
        <f>'Casing Review'!$B$5</f>
        <v>0</v>
      </c>
      <c r="CD88" s="679"/>
      <c r="CE88" s="679"/>
      <c r="CF88" s="679"/>
      <c r="CG88" s="679"/>
      <c r="CH88" s="679"/>
      <c r="CI88" s="679"/>
      <c r="CJ88" s="679"/>
      <c r="CK88" s="679"/>
      <c r="CL88" s="679"/>
      <c r="CM88" s="679"/>
      <c r="CN88" s="679"/>
      <c r="CO88" s="679"/>
      <c r="CP88" s="679"/>
    </row>
    <row r="89" spans="1:94" ht="18" customHeight="1" x14ac:dyDescent="0.25">
      <c r="A89" s="64"/>
      <c r="B89" s="64"/>
      <c r="C89" s="64"/>
      <c r="D89" s="34"/>
      <c r="E89" s="64"/>
      <c r="F89" s="64"/>
      <c r="G89" s="64"/>
      <c r="H89" s="64"/>
      <c r="I89" s="64"/>
      <c r="J89" s="270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39"/>
      <c r="AC89" s="64"/>
      <c r="AD89" s="688">
        <f>'Casing Review'!$B$6</f>
        <v>0</v>
      </c>
      <c r="AE89" s="679"/>
      <c r="AF89" s="679"/>
      <c r="AG89" s="679"/>
      <c r="AH89" s="679"/>
      <c r="AI89" s="679"/>
      <c r="AJ89" s="679"/>
      <c r="AK89" s="679"/>
      <c r="AL89" s="679"/>
      <c r="AM89" s="679"/>
      <c r="AN89" s="679"/>
      <c r="AO89" s="679"/>
      <c r="AP89" s="679"/>
      <c r="AQ89" s="679"/>
      <c r="AR89" s="679"/>
      <c r="AU89" s="688">
        <f>'Casing Review'!$B$6</f>
        <v>0</v>
      </c>
      <c r="AV89" s="679"/>
      <c r="AW89" s="679"/>
      <c r="AX89" s="679"/>
      <c r="AY89" s="679"/>
      <c r="AZ89" s="679"/>
      <c r="BA89" s="679"/>
      <c r="BB89" s="679"/>
      <c r="BC89" s="679"/>
      <c r="BD89" s="679"/>
      <c r="BE89" s="679"/>
      <c r="BF89" s="679"/>
      <c r="BG89" s="679"/>
      <c r="BH89" s="679"/>
      <c r="BL89" s="688">
        <f>'Casing Review'!$B$6</f>
        <v>0</v>
      </c>
      <c r="BM89" s="679"/>
      <c r="BN89" s="679"/>
      <c r="BO89" s="679"/>
      <c r="BP89" s="679"/>
      <c r="BQ89" s="679"/>
      <c r="BR89" s="679"/>
      <c r="BS89" s="679"/>
      <c r="BT89" s="679"/>
      <c r="BU89" s="679"/>
      <c r="BV89" s="679"/>
      <c r="BW89" s="679"/>
      <c r="BX89" s="679"/>
      <c r="BY89" s="679"/>
      <c r="CC89" s="688">
        <f>'Casing Review'!$B$6</f>
        <v>0</v>
      </c>
      <c r="CD89" s="679"/>
      <c r="CE89" s="679"/>
      <c r="CF89" s="679"/>
      <c r="CG89" s="679"/>
      <c r="CH89" s="679"/>
      <c r="CI89" s="679"/>
      <c r="CJ89" s="679"/>
      <c r="CK89" s="679"/>
      <c r="CL89" s="679"/>
      <c r="CM89" s="679"/>
      <c r="CN89" s="679"/>
      <c r="CO89" s="679"/>
      <c r="CP89" s="679"/>
    </row>
    <row r="90" spans="1:94" x14ac:dyDescent="0.25">
      <c r="A90" s="64"/>
      <c r="B90" s="64"/>
      <c r="C90" s="64"/>
      <c r="D90" s="3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39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113" t="s">
        <v>130</v>
      </c>
      <c r="AR90" t="s">
        <v>131</v>
      </c>
      <c r="BG90" s="113" t="s">
        <v>130</v>
      </c>
      <c r="BH90" t="s">
        <v>131</v>
      </c>
      <c r="BX90" s="113" t="s">
        <v>130</v>
      </c>
      <c r="BY90" t="s">
        <v>131</v>
      </c>
      <c r="CO90" s="113" t="s">
        <v>130</v>
      </c>
      <c r="CP90" t="s">
        <v>131</v>
      </c>
    </row>
    <row r="91" spans="1:94" x14ac:dyDescent="0.25">
      <c r="A91" s="64"/>
      <c r="B91" s="64"/>
      <c r="C91" s="64"/>
      <c r="D91" s="77"/>
      <c r="E91" s="39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51"/>
      <c r="S91" s="53"/>
      <c r="T91" s="63"/>
      <c r="U91" s="63"/>
      <c r="V91" s="63"/>
      <c r="W91" s="63"/>
      <c r="X91" s="63"/>
      <c r="Y91" s="63"/>
      <c r="Z91" s="63"/>
      <c r="AA91" s="64"/>
      <c r="AB91" s="35"/>
      <c r="AC91" s="64"/>
      <c r="AD91" s="64">
        <f>'Casing Review'!C12</f>
        <v>0</v>
      </c>
      <c r="AE91" s="113" t="s">
        <v>222</v>
      </c>
      <c r="AF91" s="64"/>
      <c r="AG91" s="64"/>
      <c r="AH91" s="163" t="str">
        <f>IF($AE$141=0,"&lt;","")</f>
        <v>&lt;</v>
      </c>
      <c r="AI91" s="164"/>
      <c r="AJ91" s="64"/>
      <c r="AK91" s="197"/>
      <c r="AL91" s="64"/>
      <c r="AM91" s="197"/>
      <c r="AN91" s="195" t="str">
        <f>IF($AE$141=0,"&gt;","")</f>
        <v>&gt;</v>
      </c>
      <c r="AO91" s="64"/>
      <c r="AP91" s="64"/>
      <c r="AQ91" s="460" t="e">
        <f>IF(VLOOKUP(0,Formations!$A3:$C$25,1)=0,VLOOKUP(0,Formations!$A$3:$C$25,2)," ")</f>
        <v>#N/A</v>
      </c>
      <c r="AR91" t="e">
        <f>IF(VLOOKUP(0,Formations!$A3:$C$25,1)=0,VLOOKUP(0,Formations!$A$3:$C$25,3)," ")</f>
        <v>#N/A</v>
      </c>
      <c r="AU91" s="64">
        <f>'Casing Review'!C12</f>
        <v>0</v>
      </c>
      <c r="AV91" s="113" t="s">
        <v>222</v>
      </c>
      <c r="AW91" s="64"/>
      <c r="AX91" s="64"/>
      <c r="AY91" s="163" t="str">
        <f>IF(AV141=0,"&lt;","")</f>
        <v>&lt;</v>
      </c>
      <c r="AZ91" s="197"/>
      <c r="BA91" s="163"/>
      <c r="BB91" s="64"/>
      <c r="BC91" s="237"/>
      <c r="BD91" s="197"/>
      <c r="BE91" s="195" t="str">
        <f>IF(AV141=0,"&gt;","")</f>
        <v>&gt;</v>
      </c>
      <c r="BF91" s="64"/>
      <c r="BG91" s="460" t="e">
        <f>IF(VLOOKUP(0,Formations!$A3:$C$25,1)=0,VLOOKUP(0,Formations!$A$3:$C$25,2)," ")</f>
        <v>#N/A</v>
      </c>
      <c r="BH91" t="e">
        <f>IF(VLOOKUP(0,Formations!$A3:$C$25,1)=0,VLOOKUP(0,Formations!$A$3:$C$25,3)," ")</f>
        <v>#N/A</v>
      </c>
      <c r="BL91" s="64">
        <f>'Casing Review'!C12</f>
        <v>0</v>
      </c>
      <c r="BM91" s="113" t="s">
        <v>222</v>
      </c>
      <c r="BN91" s="64"/>
      <c r="BO91" s="163" t="str">
        <f>IF($BY187=0,"&lt;","")</f>
        <v>&lt;</v>
      </c>
      <c r="BP91" s="197"/>
      <c r="BQ91" s="197"/>
      <c r="BR91" s="160"/>
      <c r="BS91" s="64"/>
      <c r="BT91" s="237"/>
      <c r="BU91" s="197"/>
      <c r="BV91" s="197"/>
      <c r="BW91" s="195" t="str">
        <f>IF($BY187=0,"&gt;","")</f>
        <v>&gt;</v>
      </c>
      <c r="BX91" s="460" t="e">
        <f>IF(VLOOKUP(0,Formations!$A3:$C$25,1)=0,VLOOKUP(0,Formations!$A$3:$C$25,2)," ")</f>
        <v>#N/A</v>
      </c>
      <c r="BY91" t="e">
        <f>IF(VLOOKUP(0,Formations!$A3:$C$25,1)=0,VLOOKUP(0,Formations!$A$3:$C$25,3)," ")</f>
        <v>#N/A</v>
      </c>
      <c r="CD91" s="64"/>
      <c r="CE91" s="64"/>
      <c r="CF91" s="64"/>
      <c r="CG91" s="163" t="str">
        <f>IF($CD$141=0,"&lt;","")</f>
        <v>&lt;</v>
      </c>
      <c r="CH91" s="197"/>
      <c r="CI91" s="193"/>
      <c r="CJ91" s="64"/>
      <c r="CK91" s="194"/>
      <c r="CL91" s="197"/>
      <c r="CM91" s="195" t="str">
        <f>IF($CD$141=0,"&gt;","")</f>
        <v>&gt;</v>
      </c>
      <c r="CN91" s="64"/>
      <c r="CO91" s="460" t="e">
        <f>IF(VLOOKUP(0,Formations!$A3:$C$25,1)=0,VLOOKUP(0,Formations!$A$3:$C$25,2)," ")</f>
        <v>#N/A</v>
      </c>
      <c r="CP91" t="e">
        <f>IF(VLOOKUP(0,Formations!$A3:$C$25,1)=0,VLOOKUP(0,Formations!$A$3:$C$25,3)," ")</f>
        <v>#N/A</v>
      </c>
    </row>
    <row r="92" spans="1:94" x14ac:dyDescent="0.25">
      <c r="A92" s="64"/>
      <c r="B92" s="78"/>
      <c r="C92" s="64"/>
      <c r="D92" s="79"/>
      <c r="E92" s="266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53"/>
      <c r="S92" s="53"/>
      <c r="T92" s="63"/>
      <c r="U92" s="63"/>
      <c r="V92" s="63"/>
      <c r="W92" s="63"/>
      <c r="X92" s="63"/>
      <c r="Y92" s="63"/>
      <c r="Z92" s="63"/>
      <c r="AA92" s="64"/>
      <c r="AB92" s="36"/>
      <c r="AC92" s="64"/>
      <c r="AD92" s="110">
        <f>MAX('Casing Review'!$D$12:$D$16)</f>
        <v>0</v>
      </c>
      <c r="AE92" s="111" t="s">
        <v>223</v>
      </c>
      <c r="AF92" s="64"/>
      <c r="AG92" s="64"/>
      <c r="AH92" s="163" t="str">
        <f t="shared" ref="AH92:AH101" si="0">IF($AE141&lt;$AD$135,IF($AE141&gt;$AE142,"&lt;",""),"")</f>
        <v/>
      </c>
      <c r="AI92" s="163" t="str">
        <f t="shared" ref="AI92:AI116" si="1">IF($AR141&lt;$AQ$135,IF($AR141&gt;$AR142,"&lt;",""),"")</f>
        <v/>
      </c>
      <c r="AJ92" s="64"/>
      <c r="AK92" s="197"/>
      <c r="AL92" s="64"/>
      <c r="AM92" s="160" t="str">
        <f t="shared" ref="AM92:AM116" si="2">IF($AR141&lt;$AQ$135,IF($AR141&gt;$AR142,"&gt;",""),"")</f>
        <v/>
      </c>
      <c r="AN92" s="195" t="str">
        <f t="shared" ref="AN92:AN101" si="3">IF($AE141&lt;$AD$135,IF($AE141&gt;$AE142,"&gt;",""),"")</f>
        <v/>
      </c>
      <c r="AO92" s="64"/>
      <c r="AP92" s="64"/>
      <c r="AQ92" s="460" t="e">
        <f>IF(VLOOKUP(1,Formations!$A$3:$C$25,1)=1,VLOOKUP(1,Formations!$A$3:$C$25,2)," ")</f>
        <v>#N/A</v>
      </c>
      <c r="AR92" t="e">
        <f>IF(VLOOKUP(1,Formations!$A$3:$C$25,1)=1,VLOOKUP(1,Formations!$A$3:$C$25,3)," ")</f>
        <v>#N/A</v>
      </c>
      <c r="AU92" s="110">
        <f>MAX('Casing Review'!$D$12:$D$16)</f>
        <v>0</v>
      </c>
      <c r="AV92" s="111" t="s">
        <v>223</v>
      </c>
      <c r="AW92" s="64"/>
      <c r="AX92" s="64"/>
      <c r="AY92" s="163" t="str">
        <f t="shared" ref="AY92:AY103" si="4">IF($AV141&lt;$AU$135,IF($AV141&gt;$AV142,"&lt;",""),"")</f>
        <v/>
      </c>
      <c r="AZ92" s="196" t="str">
        <f t="shared" ref="AZ92:AZ127" si="5">IF($BH141&lt;$BG$135,IF($BH141&gt;$BH142,"&lt;",""),"")</f>
        <v/>
      </c>
      <c r="BA92" s="237" t="str">
        <f t="shared" ref="BA92:BA127" si="6">IF($BZ$115&gt;$AV161,IF($BZ$115&lt;$AV162+0.1,"X",""),"")</f>
        <v/>
      </c>
      <c r="BB92" s="64"/>
      <c r="BC92" s="237" t="str">
        <f t="shared" ref="BC92:BC127" si="7">IF($BZ$115&gt;$AV161,IF($BZ$115&lt;$AV162+0.1,"X",""),"")</f>
        <v/>
      </c>
      <c r="BD92" s="196" t="str">
        <f t="shared" ref="BD92:BD127" si="8">IF($BH141&lt;$BG$135,IF($BH141&gt;$BH142,"&gt;",""),"")</f>
        <v/>
      </c>
      <c r="BE92" s="195" t="str">
        <f t="shared" ref="BE92:BE103" si="9">IF($AV141&lt;$AU$135,IF($AV141&gt;$AV142,"&gt;",""),"")</f>
        <v/>
      </c>
      <c r="BF92" s="64"/>
      <c r="BG92" s="460" t="e">
        <f>IF(VLOOKUP(1,Formations!$A$3:$C$25,1)=1,VLOOKUP(1,Formations!$A$3:$C$25,2)," ")</f>
        <v>#N/A</v>
      </c>
      <c r="BH92" t="e">
        <f>IF(VLOOKUP(1,Formations!$A$3:$C$25,1)=1,VLOOKUP(1,Formations!$A$3:$C$25,3)," ")</f>
        <v>#N/A</v>
      </c>
      <c r="BL92" s="110">
        <f>MAX('Casing Review'!$D$12:$D$16)</f>
        <v>0</v>
      </c>
      <c r="BM92" s="111" t="s">
        <v>223</v>
      </c>
      <c r="BN92" s="64"/>
      <c r="BO92" s="163" t="str">
        <f t="shared" ref="BO92:BO102" si="10">IF($BY187&lt;$BX$181,IF($BY187&gt;$BY188,"&lt;",""),"")</f>
        <v/>
      </c>
      <c r="BP92" s="163" t="str">
        <f t="shared" ref="BP92:BP124" si="11">IF($BM141&lt;$BL$135,IF($BM141&gt;$BM142,"&lt;",""),"")</f>
        <v/>
      </c>
      <c r="BQ92" s="163" t="str">
        <f t="shared" ref="BQ92:BQ127" si="12">IF($BY141&lt;$BX$135,IF($BY141&gt;$BY142,"&lt;",""),"")</f>
        <v/>
      </c>
      <c r="BR92" s="237" t="str">
        <f t="shared" ref="BR92:BR127" si="13">IF($BZ$115&gt;$BM183,IF($BZ$115&lt;$BM184+0.1,"X",""),"")</f>
        <v/>
      </c>
      <c r="BS92" s="64"/>
      <c r="BT92" s="237" t="str">
        <f t="shared" ref="BT92:BT127" si="14">IF($BZ$115&gt;$BM183,IF($BZ$115&lt;$BM184+0.1,"X",""),"")</f>
        <v/>
      </c>
      <c r="BU92" s="195" t="str">
        <f t="shared" ref="BU92:BU127" si="15">IF($BY141&lt;$BX$135,IF($BY141&gt;$BY142,"&gt;",""),"")</f>
        <v/>
      </c>
      <c r="BV92" s="195" t="str">
        <f t="shared" ref="BV92:BV124" si="16">IF($BM141&lt;$BL$135,IF($BM141&gt;$BM142,"&gt;",""),"")</f>
        <v/>
      </c>
      <c r="BW92" s="195" t="str">
        <f t="shared" ref="BW92:BW102" si="17">IF($BY187&lt;$BX$181,IF($BY187&gt;$BY188,"&gt;",""),"")</f>
        <v/>
      </c>
      <c r="BX92" s="460" t="e">
        <f>IF(VLOOKUP(1,Formations!$A$3:$C$25,1)=1,VLOOKUP(1,Formations!$A$3:$C$25,2)," ")</f>
        <v>#N/A</v>
      </c>
      <c r="BY92" t="e">
        <f>IF(VLOOKUP(1,Formations!$A$3:$C$25,1)=1,VLOOKUP(1,Formations!$A$3:$C$25,3)," ")</f>
        <v>#N/A</v>
      </c>
      <c r="CD92" s="64"/>
      <c r="CE92" s="64"/>
      <c r="CF92" s="64"/>
      <c r="CG92" s="163" t="str">
        <f t="shared" ref="CG92:CG114" si="18">IF($CD141&lt;$CC$135,IF($CD141&gt;$CD142,"&lt;",""),"")</f>
        <v/>
      </c>
      <c r="CH92" s="64"/>
      <c r="CI92" s="193"/>
      <c r="CJ92" s="64"/>
      <c r="CK92" s="194"/>
      <c r="CL92" s="64"/>
      <c r="CM92" s="195" t="str">
        <f t="shared" ref="CM92:CM114" si="19">IF($CD141&lt;$CC$135,IF($CD141&gt;$CD142,"&gt;",""),"")</f>
        <v/>
      </c>
      <c r="CN92" s="64"/>
      <c r="CO92" s="460" t="e">
        <f>IF(VLOOKUP(1,Formations!$A$3:$C$25,1)=1,VLOOKUP(1,Formations!$A$3:$C$25,2)," ")</f>
        <v>#N/A</v>
      </c>
      <c r="CP92" t="e">
        <f>IF(VLOOKUP(1,Formations!$A$3:$C$25,1)=1,VLOOKUP(1,Formations!$A$3:$C$25,3)," ")</f>
        <v>#N/A</v>
      </c>
    </row>
    <row r="93" spans="1:94" x14ac:dyDescent="0.25">
      <c r="A93" s="64"/>
      <c r="B93" s="64"/>
      <c r="C93" s="64"/>
      <c r="D93" s="34"/>
      <c r="E93" s="39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51"/>
      <c r="S93" s="53"/>
      <c r="T93" s="63"/>
      <c r="U93" s="63"/>
      <c r="V93" s="63"/>
      <c r="W93" s="63"/>
      <c r="X93" s="63"/>
      <c r="Y93" s="63"/>
      <c r="Z93" s="63"/>
      <c r="AA93" s="64"/>
      <c r="AB93" s="35"/>
      <c r="AC93" s="64"/>
      <c r="AD93" s="112" t="e">
        <f>'Casing Review'!$B$19</f>
        <v>#N/A</v>
      </c>
      <c r="AE93" s="111" t="s">
        <v>224</v>
      </c>
      <c r="AF93" s="64"/>
      <c r="AG93" s="64"/>
      <c r="AH93" s="163" t="str">
        <f t="shared" si="0"/>
        <v/>
      </c>
      <c r="AI93" s="163" t="str">
        <f t="shared" si="1"/>
        <v/>
      </c>
      <c r="AJ93" s="64"/>
      <c r="AK93" s="197"/>
      <c r="AL93" s="64"/>
      <c r="AM93" s="160" t="str">
        <f t="shared" si="2"/>
        <v/>
      </c>
      <c r="AN93" s="195" t="str">
        <f t="shared" si="3"/>
        <v/>
      </c>
      <c r="AO93" s="64"/>
      <c r="AP93" s="64"/>
      <c r="AQ93" s="460" t="e">
        <f>IF(VLOOKUP(2,Formations!$A$3:$C$25,1)=2,VLOOKUP(2,Formations!$A$3:$C$25,2)," ")</f>
        <v>#N/A</v>
      </c>
      <c r="AR93" t="e">
        <f>IF(VLOOKUP(2,Formations!$A$3:$C$25,1)=2,VLOOKUP(2,Formations!$A$3:$C$25,3)," ")</f>
        <v>#N/A</v>
      </c>
      <c r="AU93" s="112" t="e">
        <f>'Casing Review'!$B$19</f>
        <v>#N/A</v>
      </c>
      <c r="AV93" s="111" t="s">
        <v>224</v>
      </c>
      <c r="AW93" s="64"/>
      <c r="AX93" s="64"/>
      <c r="AY93" s="163" t="str">
        <f t="shared" si="4"/>
        <v/>
      </c>
      <c r="AZ93" s="196" t="str">
        <f t="shared" si="5"/>
        <v/>
      </c>
      <c r="BA93" s="237" t="str">
        <f t="shared" si="6"/>
        <v/>
      </c>
      <c r="BB93" s="64"/>
      <c r="BC93" s="237" t="str">
        <f t="shared" si="7"/>
        <v/>
      </c>
      <c r="BD93" s="196" t="str">
        <f t="shared" si="8"/>
        <v/>
      </c>
      <c r="BE93" s="195" t="str">
        <f t="shared" si="9"/>
        <v/>
      </c>
      <c r="BF93" s="64"/>
      <c r="BG93" s="460" t="e">
        <f>IF(VLOOKUP(2,Formations!$A$3:$C$25,1)=2,VLOOKUP(2,Formations!$A$3:$C$25,2)," ")</f>
        <v>#N/A</v>
      </c>
      <c r="BH93" t="e">
        <f>IF(VLOOKUP(2,Formations!$A$3:$C$25,1)=2,VLOOKUP(2,Formations!$A$3:$C$25,3)," ")</f>
        <v>#N/A</v>
      </c>
      <c r="BL93" s="112" t="e">
        <f>'Casing Review'!$B$19</f>
        <v>#N/A</v>
      </c>
      <c r="BM93" s="111" t="s">
        <v>224</v>
      </c>
      <c r="BN93" s="64"/>
      <c r="BO93" s="163" t="str">
        <f t="shared" si="10"/>
        <v/>
      </c>
      <c r="BP93" s="163" t="str">
        <f t="shared" si="11"/>
        <v/>
      </c>
      <c r="BQ93" s="163" t="str">
        <f t="shared" si="12"/>
        <v/>
      </c>
      <c r="BR93" s="237" t="str">
        <f t="shared" si="13"/>
        <v/>
      </c>
      <c r="BS93" s="64"/>
      <c r="BT93" s="237" t="str">
        <f t="shared" si="14"/>
        <v/>
      </c>
      <c r="BU93" s="195" t="str">
        <f t="shared" si="15"/>
        <v/>
      </c>
      <c r="BV93" s="195" t="str">
        <f t="shared" si="16"/>
        <v/>
      </c>
      <c r="BW93" s="195" t="str">
        <f t="shared" si="17"/>
        <v/>
      </c>
      <c r="BX93" s="460" t="e">
        <f>IF(VLOOKUP(2,Formations!$A$3:$C$25,1)=2,VLOOKUP(2,Formations!$A$3:$C$25,2)," ")</f>
        <v>#N/A</v>
      </c>
      <c r="BY93" t="e">
        <f>IF(VLOOKUP(2,Formations!$A$3:$C$25,1)=2,VLOOKUP(2,Formations!$A$3:$C$25,3)," ")</f>
        <v>#N/A</v>
      </c>
      <c r="CD93" s="64"/>
      <c r="CE93" s="64"/>
      <c r="CF93" s="64"/>
      <c r="CG93" s="163" t="str">
        <f t="shared" si="18"/>
        <v/>
      </c>
      <c r="CH93" s="64"/>
      <c r="CI93" s="193"/>
      <c r="CJ93" s="64"/>
      <c r="CK93" s="194"/>
      <c r="CL93" s="64"/>
      <c r="CM93" s="195" t="str">
        <f t="shared" si="19"/>
        <v/>
      </c>
      <c r="CN93" s="64"/>
      <c r="CO93" s="460" t="e">
        <f>IF(VLOOKUP(2,Formations!$A$3:$C$25,1)=2,VLOOKUP(2,Formations!$A$3:$C$25,2)," ")</f>
        <v>#N/A</v>
      </c>
      <c r="CP93" t="e">
        <f>IF(VLOOKUP(2,Formations!$A$3:$C$25,1)=2,VLOOKUP(2,Formations!$A$3:$C$25,3)," ")</f>
        <v>#N/A</v>
      </c>
    </row>
    <row r="94" spans="1:94" x14ac:dyDescent="0.25">
      <c r="A94" s="64"/>
      <c r="B94" s="64"/>
      <c r="C94" s="64"/>
      <c r="D94" s="267"/>
      <c r="E94" s="268"/>
      <c r="F94" s="64"/>
      <c r="G94" s="64"/>
      <c r="H94" s="269"/>
      <c r="I94" s="64"/>
      <c r="J94" s="64"/>
      <c r="K94" s="64"/>
      <c r="L94" s="64"/>
      <c r="M94" s="64"/>
      <c r="N94" s="269"/>
      <c r="O94" s="64"/>
      <c r="P94" s="64"/>
      <c r="Q94" s="64"/>
      <c r="R94" s="80"/>
      <c r="S94" s="53"/>
      <c r="T94" s="63"/>
      <c r="U94" s="63"/>
      <c r="V94" s="63"/>
      <c r="W94" s="63"/>
      <c r="X94" s="63"/>
      <c r="Y94" s="63"/>
      <c r="Z94" s="63"/>
      <c r="AA94" s="64"/>
      <c r="AB94" s="35"/>
      <c r="AC94" s="64"/>
      <c r="AD94" s="112">
        <f>'Casing Review'!$R$12</f>
        <v>0</v>
      </c>
      <c r="AE94" s="111" t="s">
        <v>225</v>
      </c>
      <c r="AF94" s="64"/>
      <c r="AG94" s="64"/>
      <c r="AH94" s="163" t="str">
        <f t="shared" si="0"/>
        <v/>
      </c>
      <c r="AI94" s="163" t="str">
        <f t="shared" si="1"/>
        <v/>
      </c>
      <c r="AJ94" s="64"/>
      <c r="AK94" s="197"/>
      <c r="AL94" s="64"/>
      <c r="AM94" s="160" t="str">
        <f t="shared" si="2"/>
        <v/>
      </c>
      <c r="AN94" s="195" t="str">
        <f t="shared" si="3"/>
        <v/>
      </c>
      <c r="AO94" s="64"/>
      <c r="AP94" s="64"/>
      <c r="AQ94" s="460" t="e">
        <f>IF(VLOOKUP(3,Formations!$A$3:$C$25,1)=3,VLOOKUP(3,Formations!$A$3:$C$25,2)," ")</f>
        <v>#N/A</v>
      </c>
      <c r="AR94" t="e">
        <f>IF(VLOOKUP(3,Formations!$A$3:$C$25,1)=3,VLOOKUP(3,Formations!$A$3:$C$25,3)," ")</f>
        <v>#N/A</v>
      </c>
      <c r="AU94" s="112">
        <f>'Casing Review'!$R$12</f>
        <v>0</v>
      </c>
      <c r="AV94" s="111" t="s">
        <v>225</v>
      </c>
      <c r="AW94" s="64"/>
      <c r="AX94" s="64"/>
      <c r="AY94" s="163" t="str">
        <f t="shared" si="4"/>
        <v/>
      </c>
      <c r="AZ94" s="196" t="str">
        <f t="shared" si="5"/>
        <v/>
      </c>
      <c r="BA94" s="237" t="str">
        <f t="shared" si="6"/>
        <v/>
      </c>
      <c r="BB94" s="64"/>
      <c r="BC94" s="237" t="str">
        <f t="shared" si="7"/>
        <v/>
      </c>
      <c r="BD94" s="196" t="str">
        <f t="shared" si="8"/>
        <v/>
      </c>
      <c r="BE94" s="195" t="str">
        <f t="shared" si="9"/>
        <v/>
      </c>
      <c r="BF94" s="64"/>
      <c r="BG94" s="460" t="e">
        <f>IF(VLOOKUP(3,Formations!$A$3:$C$25,1)=3,VLOOKUP(3,Formations!$A$3:$C$25,2)," ")</f>
        <v>#N/A</v>
      </c>
      <c r="BH94" t="e">
        <f>IF(VLOOKUP(3,Formations!$A$3:$C$25,1)=3,VLOOKUP(3,Formations!$A$3:$C$25,3)," ")</f>
        <v>#N/A</v>
      </c>
      <c r="BL94" s="112">
        <f>'Casing Review'!$R$12</f>
        <v>0</v>
      </c>
      <c r="BM94" s="111" t="s">
        <v>225</v>
      </c>
      <c r="BN94" s="64"/>
      <c r="BO94" s="163" t="str">
        <f t="shared" si="10"/>
        <v/>
      </c>
      <c r="BP94" s="163" t="str">
        <f t="shared" si="11"/>
        <v/>
      </c>
      <c r="BQ94" s="163" t="str">
        <f t="shared" si="12"/>
        <v/>
      </c>
      <c r="BR94" s="237" t="str">
        <f t="shared" si="13"/>
        <v/>
      </c>
      <c r="BS94" s="64"/>
      <c r="BT94" s="237" t="str">
        <f t="shared" si="14"/>
        <v/>
      </c>
      <c r="BU94" s="195" t="str">
        <f t="shared" si="15"/>
        <v/>
      </c>
      <c r="BV94" s="195" t="str">
        <f t="shared" si="16"/>
        <v/>
      </c>
      <c r="BW94" s="195" t="str">
        <f t="shared" si="17"/>
        <v/>
      </c>
      <c r="BX94" s="460" t="e">
        <f>IF(VLOOKUP(3,Formations!$A$3:$C$25,1)=3,VLOOKUP(3,Formations!$A$3:$C$25,2)," ")</f>
        <v>#N/A</v>
      </c>
      <c r="BY94" t="e">
        <f>IF(VLOOKUP(3,Formations!$A$3:$C$25,1)=3,VLOOKUP(3,Formations!$A$3:$C$25,3)," ")</f>
        <v>#N/A</v>
      </c>
      <c r="CD94" s="64"/>
      <c r="CE94" s="64"/>
      <c r="CF94" s="64"/>
      <c r="CG94" s="163" t="str">
        <f t="shared" si="18"/>
        <v/>
      </c>
      <c r="CH94" s="64"/>
      <c r="CI94" s="193"/>
      <c r="CJ94" s="64"/>
      <c r="CK94" s="194"/>
      <c r="CL94" s="64"/>
      <c r="CM94" s="195" t="str">
        <f t="shared" si="19"/>
        <v/>
      </c>
      <c r="CN94" s="64"/>
      <c r="CO94" s="460" t="e">
        <f>IF(VLOOKUP(3,Formations!$A$3:$C$25,1)=3,VLOOKUP(3,Formations!$A$3:$C$25,2)," ")</f>
        <v>#N/A</v>
      </c>
      <c r="CP94" t="e">
        <f>IF(VLOOKUP(3,Formations!$A$3:$C$25,1)=3,VLOOKUP(3,Formations!$A$3:$C$25,3)," ")</f>
        <v>#N/A</v>
      </c>
    </row>
    <row r="95" spans="1:94" x14ac:dyDescent="0.25">
      <c r="A95" s="64"/>
      <c r="B95" s="64"/>
      <c r="C95" s="64"/>
      <c r="D95" s="267"/>
      <c r="E95" s="81"/>
      <c r="F95" s="64"/>
      <c r="G95" s="64"/>
      <c r="H95" s="269"/>
      <c r="I95" s="270"/>
      <c r="J95" s="64"/>
      <c r="K95" s="64"/>
      <c r="L95" s="64"/>
      <c r="M95" s="270"/>
      <c r="N95" s="269"/>
      <c r="O95" s="64"/>
      <c r="P95" s="64"/>
      <c r="Q95" s="64"/>
      <c r="R95" s="80"/>
      <c r="S95" s="53"/>
      <c r="T95" s="63"/>
      <c r="U95" s="63"/>
      <c r="V95" s="63"/>
      <c r="W95" s="63"/>
      <c r="X95" s="63"/>
      <c r="Y95" s="63"/>
      <c r="Z95" s="63"/>
      <c r="AA95" s="64"/>
      <c r="AB95" s="35"/>
      <c r="AC95" s="64"/>
      <c r="AD95" s="112">
        <f>'Casing Review'!$R$13</f>
        <v>0</v>
      </c>
      <c r="AE95" s="134" t="s">
        <v>226</v>
      </c>
      <c r="AF95" s="64"/>
      <c r="AG95" s="64"/>
      <c r="AH95" s="163" t="str">
        <f t="shared" si="0"/>
        <v/>
      </c>
      <c r="AI95" s="163" t="str">
        <f t="shared" si="1"/>
        <v/>
      </c>
      <c r="AJ95" s="64"/>
      <c r="AK95" s="197"/>
      <c r="AL95" s="64"/>
      <c r="AM95" s="160" t="str">
        <f t="shared" si="2"/>
        <v/>
      </c>
      <c r="AN95" s="195" t="str">
        <f t="shared" si="3"/>
        <v/>
      </c>
      <c r="AO95" s="64"/>
      <c r="AP95" s="64"/>
      <c r="AQ95" s="460" t="e">
        <f>IF(VLOOKUP(4,Formations!$A$3:$C$25,1)=4,VLOOKUP(4,Formations!$A$3:$C$25,2)," ")</f>
        <v>#N/A</v>
      </c>
      <c r="AR95" t="e">
        <f>IF(VLOOKUP(4,Formations!$A$3:$C$25,1)=4,VLOOKUP(4,Formations!$A$3:$C$25,3)," ")</f>
        <v>#N/A</v>
      </c>
      <c r="AU95" s="112">
        <f>'Casing Review'!$R$13</f>
        <v>0</v>
      </c>
      <c r="AV95" s="134" t="s">
        <v>226</v>
      </c>
      <c r="AW95" s="64"/>
      <c r="AX95" s="64"/>
      <c r="AY95" s="163" t="str">
        <f t="shared" si="4"/>
        <v/>
      </c>
      <c r="AZ95" s="196" t="str">
        <f t="shared" si="5"/>
        <v/>
      </c>
      <c r="BA95" s="237" t="str">
        <f t="shared" si="6"/>
        <v/>
      </c>
      <c r="BB95" s="64"/>
      <c r="BC95" s="237" t="str">
        <f t="shared" si="7"/>
        <v/>
      </c>
      <c r="BD95" s="196" t="str">
        <f t="shared" si="8"/>
        <v/>
      </c>
      <c r="BE95" s="195" t="str">
        <f t="shared" si="9"/>
        <v/>
      </c>
      <c r="BF95" s="64"/>
      <c r="BG95" s="460" t="e">
        <f>IF(VLOOKUP(4,Formations!$A$3:$C$25,1)=4,VLOOKUP(4,Formations!$A$3:$C$25,2)," ")</f>
        <v>#N/A</v>
      </c>
      <c r="BH95" t="e">
        <f>IF(VLOOKUP(4,Formations!$A$3:$C$25,1)=4,VLOOKUP(4,Formations!$A$3:$C$25,3)," ")</f>
        <v>#N/A</v>
      </c>
      <c r="BL95" s="112">
        <f>'Casing Review'!$R$13</f>
        <v>0</v>
      </c>
      <c r="BM95" s="134" t="s">
        <v>226</v>
      </c>
      <c r="BN95" s="64"/>
      <c r="BO95" s="163" t="str">
        <f t="shared" si="10"/>
        <v/>
      </c>
      <c r="BP95" s="163" t="str">
        <f t="shared" si="11"/>
        <v/>
      </c>
      <c r="BQ95" s="163" t="str">
        <f t="shared" si="12"/>
        <v/>
      </c>
      <c r="BR95" s="237" t="str">
        <f t="shared" si="13"/>
        <v/>
      </c>
      <c r="BS95" s="64"/>
      <c r="BT95" s="237" t="str">
        <f t="shared" si="14"/>
        <v/>
      </c>
      <c r="BU95" s="195" t="str">
        <f t="shared" si="15"/>
        <v/>
      </c>
      <c r="BV95" s="195" t="str">
        <f t="shared" si="16"/>
        <v/>
      </c>
      <c r="BW95" s="195" t="str">
        <f t="shared" si="17"/>
        <v/>
      </c>
      <c r="BX95" s="460" t="e">
        <f>IF(VLOOKUP(4,Formations!$A$3:$C$25,1)=4,VLOOKUP(4,Formations!$A$3:$C$25,2)," ")</f>
        <v>#N/A</v>
      </c>
      <c r="BY95" t="e">
        <f>IF(VLOOKUP(4,Formations!$A$3:$C$25,1)=4,VLOOKUP(4,Formations!$A$3:$C$25,3)," ")</f>
        <v>#N/A</v>
      </c>
      <c r="CD95" s="64"/>
      <c r="CE95" s="64"/>
      <c r="CF95" s="64"/>
      <c r="CG95" s="163" t="str">
        <f t="shared" si="18"/>
        <v/>
      </c>
      <c r="CH95" s="64"/>
      <c r="CI95" s="193"/>
      <c r="CJ95" s="64"/>
      <c r="CK95" s="194"/>
      <c r="CL95" s="64"/>
      <c r="CM95" s="195" t="str">
        <f t="shared" si="19"/>
        <v/>
      </c>
      <c r="CN95" s="64"/>
      <c r="CO95" s="460" t="e">
        <f>IF(VLOOKUP(4,Formations!$A$3:$C$25,1)=4,VLOOKUP(4,Formations!$A$3:$C$25,2)," ")</f>
        <v>#N/A</v>
      </c>
      <c r="CP95" t="e">
        <f>IF(VLOOKUP(4,Formations!$A$3:$C$25,1)=4,VLOOKUP(4,Formations!$A$3:$C$25,3)," ")</f>
        <v>#N/A</v>
      </c>
    </row>
    <row r="96" spans="1:94" x14ac:dyDescent="0.25">
      <c r="A96" s="64"/>
      <c r="B96" s="64"/>
      <c r="C96" s="64"/>
      <c r="D96" s="34"/>
      <c r="E96" s="39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51"/>
      <c r="S96" s="53"/>
      <c r="T96" s="64"/>
      <c r="U96" s="64"/>
      <c r="V96" s="64"/>
      <c r="W96" s="64"/>
      <c r="X96" s="64"/>
      <c r="Y96" s="64"/>
      <c r="Z96" s="64"/>
      <c r="AA96" s="64"/>
      <c r="AB96" s="36"/>
      <c r="AC96" s="64"/>
      <c r="AD96" s="152">
        <f>'Casing Review'!B20</f>
        <v>10</v>
      </c>
      <c r="AE96" s="39" t="s">
        <v>227</v>
      </c>
      <c r="AF96" s="64"/>
      <c r="AG96" s="64"/>
      <c r="AH96" s="163" t="str">
        <f t="shared" si="0"/>
        <v/>
      </c>
      <c r="AI96" s="163" t="str">
        <f t="shared" si="1"/>
        <v/>
      </c>
      <c r="AJ96" s="64"/>
      <c r="AK96" s="197"/>
      <c r="AL96" s="64"/>
      <c r="AM96" s="160" t="str">
        <f t="shared" si="2"/>
        <v/>
      </c>
      <c r="AN96" s="195" t="str">
        <f t="shared" si="3"/>
        <v/>
      </c>
      <c r="AO96" s="64"/>
      <c r="AP96" s="64"/>
      <c r="AQ96" s="460" t="e">
        <f>IF(VLOOKUP(5,Formations!$A$3:$C$25,1)=5,VLOOKUP(5,Formations!$A$3:$C$25,2)," ")</f>
        <v>#N/A</v>
      </c>
      <c r="AR96" t="e">
        <f>IF(VLOOKUP(5,Formations!$A$3:$C$25,1)=5,VLOOKUP(5,Formations!$A$3:$C$25,3)," ")</f>
        <v>#N/A</v>
      </c>
      <c r="AU96" s="152">
        <f>'Casing Review'!B20</f>
        <v>10</v>
      </c>
      <c r="AV96" s="39" t="s">
        <v>227</v>
      </c>
      <c r="AW96" s="64"/>
      <c r="AX96" s="64"/>
      <c r="AY96" s="163" t="str">
        <f t="shared" si="4"/>
        <v/>
      </c>
      <c r="AZ96" s="196" t="str">
        <f t="shared" si="5"/>
        <v/>
      </c>
      <c r="BA96" s="237" t="str">
        <f t="shared" si="6"/>
        <v/>
      </c>
      <c r="BB96" s="64"/>
      <c r="BC96" s="237" t="str">
        <f t="shared" si="7"/>
        <v/>
      </c>
      <c r="BD96" s="196" t="str">
        <f t="shared" si="8"/>
        <v/>
      </c>
      <c r="BE96" s="195" t="str">
        <f t="shared" si="9"/>
        <v/>
      </c>
      <c r="BF96" s="64"/>
      <c r="BG96" s="460" t="e">
        <f>IF(VLOOKUP(5,Formations!$A$3:$C$25,1)=5,VLOOKUP(5,Formations!$A$3:$C$25,2)," ")</f>
        <v>#N/A</v>
      </c>
      <c r="BH96" t="e">
        <f>IF(VLOOKUP(5,Formations!$A$3:$C$25,1)=5,VLOOKUP(5,Formations!$A$3:$C$25,3)," ")</f>
        <v>#N/A</v>
      </c>
      <c r="BL96" s="152">
        <f>'Casing Review'!B20</f>
        <v>10</v>
      </c>
      <c r="BM96" s="39" t="s">
        <v>227</v>
      </c>
      <c r="BN96" s="64"/>
      <c r="BO96" s="163" t="str">
        <f t="shared" si="10"/>
        <v/>
      </c>
      <c r="BP96" s="163" t="str">
        <f t="shared" si="11"/>
        <v/>
      </c>
      <c r="BQ96" s="163" t="str">
        <f t="shared" si="12"/>
        <v/>
      </c>
      <c r="BR96" s="237" t="str">
        <f t="shared" si="13"/>
        <v/>
      </c>
      <c r="BS96" s="64"/>
      <c r="BT96" s="237" t="str">
        <f t="shared" si="14"/>
        <v/>
      </c>
      <c r="BU96" s="195" t="str">
        <f t="shared" si="15"/>
        <v/>
      </c>
      <c r="BV96" s="195" t="str">
        <f t="shared" si="16"/>
        <v/>
      </c>
      <c r="BW96" s="195" t="str">
        <f t="shared" si="17"/>
        <v/>
      </c>
      <c r="BX96" s="460" t="e">
        <f>IF(VLOOKUP(5,Formations!$A$3:$C$25,1)=5,VLOOKUP(5,Formations!$A$3:$C$25,2)," ")</f>
        <v>#N/A</v>
      </c>
      <c r="BY96" t="e">
        <f>IF(VLOOKUP(5,Formations!$A$3:$C$25,1)=5,VLOOKUP(5,Formations!$A$3:$C$25,3)," ")</f>
        <v>#N/A</v>
      </c>
      <c r="CD96" s="64"/>
      <c r="CE96" s="64"/>
      <c r="CF96" s="64"/>
      <c r="CG96" s="163" t="str">
        <f t="shared" si="18"/>
        <v/>
      </c>
      <c r="CH96" s="64"/>
      <c r="CI96" s="193"/>
      <c r="CJ96" s="64"/>
      <c r="CK96" s="194"/>
      <c r="CL96" s="64"/>
      <c r="CM96" s="195" t="str">
        <f t="shared" si="19"/>
        <v/>
      </c>
      <c r="CN96" s="64"/>
      <c r="CO96" s="460" t="e">
        <f>IF(VLOOKUP(5,Formations!$A$3:$C$25,1)=5,VLOOKUP(5,Formations!$A$3:$C$25,2)," ")</f>
        <v>#N/A</v>
      </c>
      <c r="CP96" t="e">
        <f>IF(VLOOKUP(5,Formations!$A$3:$C$25,1)=5,VLOOKUP(5,Formations!$A$3:$C$25,3)," ")</f>
        <v>#N/A</v>
      </c>
    </row>
    <row r="97" spans="1:94" x14ac:dyDescent="0.25">
      <c r="A97" s="64"/>
      <c r="B97" s="64"/>
      <c r="C97" s="64"/>
      <c r="D97" s="34"/>
      <c r="E97" s="39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53"/>
      <c r="S97" s="53"/>
      <c r="T97" s="64"/>
      <c r="U97" s="64"/>
      <c r="V97" s="64"/>
      <c r="W97" s="64"/>
      <c r="X97" s="64"/>
      <c r="Y97" s="64"/>
      <c r="Z97" s="64"/>
      <c r="AA97" s="64"/>
      <c r="AB97" s="35"/>
      <c r="AC97" s="64"/>
      <c r="AD97" s="152">
        <f>'Casing Review'!$B$12</f>
        <v>0</v>
      </c>
      <c r="AE97" s="151" t="s">
        <v>228</v>
      </c>
      <c r="AF97" s="64"/>
      <c r="AG97" s="64"/>
      <c r="AH97" s="163" t="str">
        <f t="shared" si="0"/>
        <v/>
      </c>
      <c r="AI97" s="163" t="str">
        <f t="shared" si="1"/>
        <v/>
      </c>
      <c r="AJ97" s="64"/>
      <c r="AK97" s="197"/>
      <c r="AL97" s="64"/>
      <c r="AM97" s="160" t="str">
        <f t="shared" si="2"/>
        <v/>
      </c>
      <c r="AN97" s="195" t="str">
        <f t="shared" si="3"/>
        <v/>
      </c>
      <c r="AO97" s="64"/>
      <c r="AP97" s="64"/>
      <c r="AQ97" s="460" t="e">
        <f>IF(VLOOKUP(6,Formations!$A$3:$C$25,1)=6,VLOOKUP(6,Formations!$A$3:$C$25,2)," ")</f>
        <v>#N/A</v>
      </c>
      <c r="AR97" t="e">
        <f>IF(VLOOKUP(6,Formations!$A$3:$C$25,1)=6,VLOOKUP(6,Formations!$A$3:$C$25,3)," ")</f>
        <v>#N/A</v>
      </c>
      <c r="AU97" s="152">
        <f>'Casing Review'!$B$12</f>
        <v>0</v>
      </c>
      <c r="AV97" s="151" t="s">
        <v>228</v>
      </c>
      <c r="AW97" s="64"/>
      <c r="AX97" s="64"/>
      <c r="AY97" s="163" t="str">
        <f t="shared" si="4"/>
        <v/>
      </c>
      <c r="AZ97" s="196" t="str">
        <f t="shared" si="5"/>
        <v/>
      </c>
      <c r="BA97" s="237" t="str">
        <f t="shared" si="6"/>
        <v/>
      </c>
      <c r="BB97" s="64"/>
      <c r="BC97" s="237" t="str">
        <f t="shared" si="7"/>
        <v/>
      </c>
      <c r="BD97" s="196" t="str">
        <f t="shared" si="8"/>
        <v/>
      </c>
      <c r="BE97" s="195" t="str">
        <f t="shared" si="9"/>
        <v/>
      </c>
      <c r="BF97" s="64"/>
      <c r="BG97" s="460" t="e">
        <f>IF(VLOOKUP(6,Formations!$A$3:$C$25,1)=6,VLOOKUP(6,Formations!$A$3:$C$25,2)," ")</f>
        <v>#N/A</v>
      </c>
      <c r="BH97" t="e">
        <f>IF(VLOOKUP(6,Formations!$A$3:$C$25,1)=6,VLOOKUP(6,Formations!$A$3:$C$25,3)," ")</f>
        <v>#N/A</v>
      </c>
      <c r="BL97" s="152">
        <f>'Casing Review'!$B$12</f>
        <v>0</v>
      </c>
      <c r="BM97" s="151" t="s">
        <v>228</v>
      </c>
      <c r="BN97" s="85"/>
      <c r="BO97" s="163" t="str">
        <f t="shared" si="10"/>
        <v/>
      </c>
      <c r="BP97" s="163" t="str">
        <f t="shared" si="11"/>
        <v/>
      </c>
      <c r="BQ97" s="163" t="str">
        <f t="shared" si="12"/>
        <v/>
      </c>
      <c r="BR97" s="237" t="str">
        <f t="shared" si="13"/>
        <v/>
      </c>
      <c r="BS97" s="64"/>
      <c r="BT97" s="237" t="str">
        <f t="shared" si="14"/>
        <v/>
      </c>
      <c r="BU97" s="195" t="str">
        <f t="shared" si="15"/>
        <v/>
      </c>
      <c r="BV97" s="195" t="str">
        <f t="shared" si="16"/>
        <v/>
      </c>
      <c r="BW97" s="195" t="str">
        <f t="shared" si="17"/>
        <v/>
      </c>
      <c r="BX97" s="460" t="e">
        <f>IF(VLOOKUP(6,Formations!$A$3:$C$25,1)=6,VLOOKUP(6,Formations!$A$3:$C$25,2)," ")</f>
        <v>#N/A</v>
      </c>
      <c r="BY97" t="e">
        <f>IF(VLOOKUP(6,Formations!$A$3:$C$25,1)=6,VLOOKUP(6,Formations!$A$3:$C$25,3)," ")</f>
        <v>#N/A</v>
      </c>
      <c r="CD97" s="64"/>
      <c r="CE97" s="64"/>
      <c r="CF97" s="64"/>
      <c r="CG97" s="163" t="str">
        <f t="shared" si="18"/>
        <v/>
      </c>
      <c r="CH97" s="64"/>
      <c r="CI97" s="193"/>
      <c r="CJ97" s="64"/>
      <c r="CK97" s="194"/>
      <c r="CL97" s="64"/>
      <c r="CM97" s="195" t="str">
        <f t="shared" si="19"/>
        <v/>
      </c>
      <c r="CN97" s="64"/>
      <c r="CO97" s="460" t="e">
        <f>IF(VLOOKUP(6,Formations!$A$3:$C$25,1)=6,VLOOKUP(6,Formations!$A$3:$C$25,2)," ")</f>
        <v>#N/A</v>
      </c>
      <c r="CP97" t="e">
        <f>IF(VLOOKUP(6,Formations!$A$3:$C$25,1)=6,VLOOKUP(6,Formations!$A$3:$C$25,3)," ")</f>
        <v>#N/A</v>
      </c>
    </row>
    <row r="98" spans="1:94" x14ac:dyDescent="0.25">
      <c r="A98" s="177"/>
      <c r="B98" s="64"/>
      <c r="C98" s="64"/>
      <c r="D98" s="34"/>
      <c r="E98" s="39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51"/>
      <c r="S98" s="53"/>
      <c r="T98" s="64"/>
      <c r="U98" s="64"/>
      <c r="V98" s="64"/>
      <c r="W98" s="64"/>
      <c r="X98" s="64"/>
      <c r="Y98" s="64"/>
      <c r="Z98" s="64"/>
      <c r="AA98" s="64"/>
      <c r="AB98" s="101"/>
      <c r="AC98" s="64"/>
      <c r="AF98" s="64"/>
      <c r="AG98" s="64"/>
      <c r="AH98" s="163" t="str">
        <f t="shared" si="0"/>
        <v/>
      </c>
      <c r="AI98" s="163" t="str">
        <f t="shared" si="1"/>
        <v/>
      </c>
      <c r="AJ98" s="64"/>
      <c r="AK98" s="197"/>
      <c r="AL98" s="64"/>
      <c r="AM98" s="160" t="str">
        <f t="shared" si="2"/>
        <v/>
      </c>
      <c r="AN98" s="195" t="str">
        <f t="shared" si="3"/>
        <v/>
      </c>
      <c r="AO98" s="64"/>
      <c r="AP98" s="64"/>
      <c r="AQ98" s="460" t="e">
        <f>IF(VLOOKUP(7,Formations!$A$3:$C$25,1)=7,VLOOKUP(7,Formations!$A$3:$C$25,2)," ")</f>
        <v>#N/A</v>
      </c>
      <c r="AR98" t="e">
        <f>IF(VLOOKUP(7,Formations!$A$3:$C$25,1)=7,VLOOKUP(7,Formations!$A$3:$C$25,3)," ")</f>
        <v>#N/A</v>
      </c>
      <c r="AW98" s="64"/>
      <c r="AX98" s="64"/>
      <c r="AY98" s="163" t="str">
        <f t="shared" si="4"/>
        <v/>
      </c>
      <c r="AZ98" s="196" t="str">
        <f t="shared" si="5"/>
        <v/>
      </c>
      <c r="BA98" s="237" t="str">
        <f t="shared" si="6"/>
        <v/>
      </c>
      <c r="BB98" s="64"/>
      <c r="BC98" s="237" t="str">
        <f t="shared" si="7"/>
        <v/>
      </c>
      <c r="BD98" s="196" t="str">
        <f t="shared" si="8"/>
        <v/>
      </c>
      <c r="BE98" s="195" t="str">
        <f t="shared" si="9"/>
        <v/>
      </c>
      <c r="BF98" s="64"/>
      <c r="BG98" s="460" t="e">
        <f>IF(VLOOKUP(7,Formations!$A$3:$C$25,1)=7,VLOOKUP(7,Formations!$A$3:$C$25,2)," ")</f>
        <v>#N/A</v>
      </c>
      <c r="BH98" t="e">
        <f>IF(VLOOKUP(7,Formations!$A$3:$C$25,1)=7,VLOOKUP(7,Formations!$A$3:$C$25,3)," ")</f>
        <v>#N/A</v>
      </c>
      <c r="BN98" s="64"/>
      <c r="BO98" s="163" t="str">
        <f t="shared" si="10"/>
        <v/>
      </c>
      <c r="BP98" s="163" t="str">
        <f t="shared" si="11"/>
        <v/>
      </c>
      <c r="BQ98" s="163" t="str">
        <f t="shared" si="12"/>
        <v/>
      </c>
      <c r="BR98" s="237" t="str">
        <f t="shared" si="13"/>
        <v/>
      </c>
      <c r="BS98" s="64"/>
      <c r="BT98" s="237" t="str">
        <f t="shared" si="14"/>
        <v/>
      </c>
      <c r="BU98" s="195" t="str">
        <f t="shared" si="15"/>
        <v/>
      </c>
      <c r="BV98" s="195" t="str">
        <f t="shared" si="16"/>
        <v/>
      </c>
      <c r="BW98" s="195" t="str">
        <f t="shared" si="17"/>
        <v/>
      </c>
      <c r="BX98" s="460" t="e">
        <f>IF(VLOOKUP(7,Formations!$A$3:$C$25,1)=7,VLOOKUP(7,Formations!$A$3:$C$25,2)," ")</f>
        <v>#N/A</v>
      </c>
      <c r="BY98" t="e">
        <f>IF(VLOOKUP(7,Formations!$A$3:$C$25,1)=7,VLOOKUP(7,Formations!$A$3:$C$25,3)," ")</f>
        <v>#N/A</v>
      </c>
      <c r="CC98" s="64">
        <f>'Casing Review'!C12</f>
        <v>0</v>
      </c>
      <c r="CD98" s="113" t="s">
        <v>222</v>
      </c>
      <c r="CE98" s="64"/>
      <c r="CF98" s="64"/>
      <c r="CG98" s="163" t="str">
        <f t="shared" si="18"/>
        <v/>
      </c>
      <c r="CH98" s="64"/>
      <c r="CI98" s="193"/>
      <c r="CJ98" s="64"/>
      <c r="CK98" s="194"/>
      <c r="CL98" s="64"/>
      <c r="CM98" s="195" t="str">
        <f t="shared" si="19"/>
        <v/>
      </c>
      <c r="CN98" s="64"/>
      <c r="CO98" s="460" t="e">
        <f>IF(VLOOKUP(7,Formations!$A$3:$C$25,1)=7,VLOOKUP(7,Formations!$A$3:$C$25,2)," ")</f>
        <v>#N/A</v>
      </c>
      <c r="CP98" t="e">
        <f>IF(VLOOKUP(7,Formations!$A$3:$C$25,1)=7,VLOOKUP(7,Formations!$A$3:$C$25,3)," ")</f>
        <v>#N/A</v>
      </c>
    </row>
    <row r="99" spans="1:94" x14ac:dyDescent="0.25">
      <c r="A99" s="64"/>
      <c r="B99" s="64"/>
      <c r="C99" s="64"/>
      <c r="D99" s="34"/>
      <c r="E99" s="39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51"/>
      <c r="S99" s="53"/>
      <c r="T99" s="64"/>
      <c r="U99" s="64"/>
      <c r="V99" s="64"/>
      <c r="W99" s="64"/>
      <c r="X99" s="64"/>
      <c r="Y99" s="64"/>
      <c r="Z99" s="64"/>
      <c r="AA99" s="64"/>
      <c r="AB99" s="35"/>
      <c r="AC99" s="64"/>
      <c r="AF99" s="64"/>
      <c r="AG99" s="64"/>
      <c r="AH99" s="163" t="str">
        <f t="shared" si="0"/>
        <v/>
      </c>
      <c r="AI99" s="163" t="str">
        <f t="shared" si="1"/>
        <v/>
      </c>
      <c r="AJ99" s="64"/>
      <c r="AK99" s="197"/>
      <c r="AL99" s="64"/>
      <c r="AM99" s="160" t="str">
        <f t="shared" si="2"/>
        <v/>
      </c>
      <c r="AN99" s="195" t="str">
        <f t="shared" si="3"/>
        <v/>
      </c>
      <c r="AO99" s="64"/>
      <c r="AP99" s="64"/>
      <c r="AQ99" s="460" t="e">
        <f>IF(VLOOKUP(8,Formations!$A$3:$C$25,1)=8,VLOOKUP(8,Formations!$A$3:$C$25,2)," ")</f>
        <v>#N/A</v>
      </c>
      <c r="AR99" t="e">
        <f>IF(VLOOKUP(8,Formations!$A$3:$C$25,1)=8,VLOOKUP(8,Formations!$A$3:$C$25,3)," ")</f>
        <v>#N/A</v>
      </c>
      <c r="AW99" s="64"/>
      <c r="AX99" s="64"/>
      <c r="AY99" s="163" t="str">
        <f t="shared" si="4"/>
        <v/>
      </c>
      <c r="AZ99" s="196" t="str">
        <f t="shared" si="5"/>
        <v/>
      </c>
      <c r="BA99" s="237" t="str">
        <f t="shared" si="6"/>
        <v/>
      </c>
      <c r="BB99" s="64"/>
      <c r="BC99" s="237" t="str">
        <f t="shared" si="7"/>
        <v/>
      </c>
      <c r="BD99" s="196" t="str">
        <f t="shared" si="8"/>
        <v/>
      </c>
      <c r="BE99" s="195" t="str">
        <f t="shared" si="9"/>
        <v/>
      </c>
      <c r="BF99" s="64"/>
      <c r="BG99" s="460" t="e">
        <f>IF(VLOOKUP(8,Formations!$A$3:$C$25,1)=8,VLOOKUP(8,Formations!$A$3:$C$25,2)," ")</f>
        <v>#N/A</v>
      </c>
      <c r="BH99" t="e">
        <f>IF(VLOOKUP(8,Formations!$A$3:$C$25,1)=8,VLOOKUP(8,Formations!$A$3:$C$25,3)," ")</f>
        <v>#N/A</v>
      </c>
      <c r="BL99" s="64">
        <f>'Casing Review'!C27</f>
        <v>0</v>
      </c>
      <c r="BM99" s="113" t="s">
        <v>222</v>
      </c>
      <c r="BN99" s="64"/>
      <c r="BO99" s="163" t="str">
        <f t="shared" si="10"/>
        <v/>
      </c>
      <c r="BP99" s="163" t="str">
        <f t="shared" si="11"/>
        <v/>
      </c>
      <c r="BQ99" s="163" t="str">
        <f t="shared" si="12"/>
        <v/>
      </c>
      <c r="BR99" s="237" t="str">
        <f t="shared" si="13"/>
        <v/>
      </c>
      <c r="BS99" s="64"/>
      <c r="BT99" s="237" t="str">
        <f t="shared" si="14"/>
        <v/>
      </c>
      <c r="BU99" s="195" t="str">
        <f t="shared" si="15"/>
        <v/>
      </c>
      <c r="BV99" s="195" t="str">
        <f t="shared" si="16"/>
        <v/>
      </c>
      <c r="BW99" s="195" t="str">
        <f t="shared" si="17"/>
        <v/>
      </c>
      <c r="BX99" s="460" t="e">
        <f>IF(VLOOKUP(8,Formations!$A$3:$C$25,1)=8,VLOOKUP(8,Formations!$A$3:$C$25,2)," ")</f>
        <v>#N/A</v>
      </c>
      <c r="BY99" t="e">
        <f>IF(VLOOKUP(8,Formations!$A$3:$C$25,1)=8,VLOOKUP(8,Formations!$A$3:$C$25,3)," ")</f>
        <v>#N/A</v>
      </c>
      <c r="CC99" s="110">
        <f>MAX('Casing Review'!$D$12:$D$16)</f>
        <v>0</v>
      </c>
      <c r="CD99" s="111" t="s">
        <v>223</v>
      </c>
      <c r="CE99" s="64"/>
      <c r="CF99" s="64"/>
      <c r="CG99" s="163" t="str">
        <f t="shared" si="18"/>
        <v/>
      </c>
      <c r="CH99" s="64"/>
      <c r="CI99" s="193"/>
      <c r="CJ99" s="64"/>
      <c r="CK99" s="194"/>
      <c r="CL99" s="64"/>
      <c r="CM99" s="195" t="str">
        <f t="shared" si="19"/>
        <v/>
      </c>
      <c r="CN99" s="64"/>
      <c r="CO99" s="460" t="e">
        <f>IF(VLOOKUP(8,Formations!$A$3:$C$25,1)=8,VLOOKUP(8,Formations!$A$3:$C$25,2)," ")</f>
        <v>#N/A</v>
      </c>
      <c r="CP99" t="e">
        <f>IF(VLOOKUP(8,Formations!$A$3:$C$25,1)=8,VLOOKUP(8,Formations!$A$3:$C$25,3)," ")</f>
        <v>#N/A</v>
      </c>
    </row>
    <row r="100" spans="1:94" x14ac:dyDescent="0.25">
      <c r="A100" s="64"/>
      <c r="B100" s="64"/>
      <c r="C100" s="64"/>
      <c r="D100" s="3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82"/>
      <c r="S100" s="58"/>
      <c r="T100" s="64"/>
      <c r="U100" s="64"/>
      <c r="V100" s="64"/>
      <c r="W100" s="64"/>
      <c r="X100" s="64"/>
      <c r="Y100" s="64"/>
      <c r="Z100" s="64"/>
      <c r="AA100" s="64"/>
      <c r="AB100" s="35"/>
      <c r="AC100" s="64"/>
      <c r="AF100" s="64"/>
      <c r="AG100" s="64"/>
      <c r="AH100" s="163" t="str">
        <f t="shared" si="0"/>
        <v/>
      </c>
      <c r="AI100" s="163" t="str">
        <f t="shared" si="1"/>
        <v/>
      </c>
      <c r="AJ100" s="64"/>
      <c r="AK100" s="197"/>
      <c r="AL100" s="64"/>
      <c r="AM100" s="160" t="str">
        <f t="shared" si="2"/>
        <v/>
      </c>
      <c r="AN100" s="195" t="str">
        <f t="shared" si="3"/>
        <v/>
      </c>
      <c r="AO100" s="64"/>
      <c r="AP100" s="64"/>
      <c r="AQ100" s="460" t="e">
        <f>IF(VLOOKUP(9,Formations!$A$3:$C$25,1)=9,VLOOKUP(9,Formations!$A$3:$C$25,2)," ")</f>
        <v>#N/A</v>
      </c>
      <c r="AR100" t="e">
        <f>IF(VLOOKUP(9,Formations!$A$3:$C$25,1)=9,VLOOKUP(9,Formations!$A$3:$C$25,3)," ")</f>
        <v>#N/A</v>
      </c>
      <c r="AW100" s="64"/>
      <c r="AX100" s="64"/>
      <c r="AY100" s="163" t="str">
        <f t="shared" si="4"/>
        <v/>
      </c>
      <c r="AZ100" s="196" t="str">
        <f t="shared" si="5"/>
        <v/>
      </c>
      <c r="BA100" s="237" t="str">
        <f t="shared" si="6"/>
        <v/>
      </c>
      <c r="BB100" s="64"/>
      <c r="BC100" s="237" t="str">
        <f t="shared" si="7"/>
        <v/>
      </c>
      <c r="BD100" s="196" t="str">
        <f t="shared" si="8"/>
        <v/>
      </c>
      <c r="BE100" s="195" t="str">
        <f t="shared" si="9"/>
        <v/>
      </c>
      <c r="BF100" s="64"/>
      <c r="BG100" s="460" t="e">
        <f>IF(VLOOKUP(9,Formations!$A$3:$C$25,1)=9,VLOOKUP(9,Formations!$A$3:$C$25,2)," ")</f>
        <v>#N/A</v>
      </c>
      <c r="BH100" t="e">
        <f>IF(VLOOKUP(9,Formations!$A$3:$C$25,1)=9,VLOOKUP(9,Formations!$A$3:$C$25,3)," ")</f>
        <v>#N/A</v>
      </c>
      <c r="BL100" s="110">
        <f>MAX('Casing Review'!$D$27:$D$32)</f>
        <v>0</v>
      </c>
      <c r="BM100" s="111" t="s">
        <v>223</v>
      </c>
      <c r="BN100" s="64"/>
      <c r="BO100" s="163" t="str">
        <f t="shared" si="10"/>
        <v/>
      </c>
      <c r="BP100" s="163" t="str">
        <f t="shared" si="11"/>
        <v/>
      </c>
      <c r="BQ100" s="163" t="str">
        <f t="shared" si="12"/>
        <v/>
      </c>
      <c r="BR100" s="237" t="str">
        <f t="shared" si="13"/>
        <v/>
      </c>
      <c r="BS100" s="64"/>
      <c r="BT100" s="237" t="str">
        <f t="shared" si="14"/>
        <v/>
      </c>
      <c r="BU100" s="195" t="str">
        <f t="shared" si="15"/>
        <v/>
      </c>
      <c r="BV100" s="195" t="str">
        <f t="shared" si="16"/>
        <v/>
      </c>
      <c r="BW100" s="195" t="str">
        <f t="shared" si="17"/>
        <v/>
      </c>
      <c r="BX100" s="460" t="e">
        <f>IF(VLOOKUP(9,Formations!$A$3:$C$25,1)=9,VLOOKUP(9,Formations!$A$3:$C$25,2)," ")</f>
        <v>#N/A</v>
      </c>
      <c r="BY100" t="e">
        <f>IF(VLOOKUP(9,Formations!$A$3:$C$25,1)=9,VLOOKUP(9,Formations!$A$3:$C$25,3)," ")</f>
        <v>#N/A</v>
      </c>
      <c r="CC100" s="112" t="e">
        <f>'Casing Review'!$B$19</f>
        <v>#N/A</v>
      </c>
      <c r="CD100" s="111" t="s">
        <v>224</v>
      </c>
      <c r="CE100" s="64"/>
      <c r="CF100" s="64"/>
      <c r="CG100" s="163" t="str">
        <f t="shared" si="18"/>
        <v/>
      </c>
      <c r="CH100" s="64"/>
      <c r="CI100" s="193"/>
      <c r="CJ100" s="64"/>
      <c r="CK100" s="194"/>
      <c r="CL100" s="64"/>
      <c r="CM100" s="195" t="str">
        <f t="shared" si="19"/>
        <v/>
      </c>
      <c r="CN100" s="64"/>
      <c r="CO100" s="460" t="e">
        <f>IF(VLOOKUP(9,Formations!$A$3:$C$25,1)=9,VLOOKUP(9,Formations!$A$3:$C$25,2)," ")</f>
        <v>#N/A</v>
      </c>
      <c r="CP100" t="e">
        <f>IF(VLOOKUP(9,Formations!$A$3:$C$25,1)=9,VLOOKUP(9,Formations!$A$3:$C$25,3)," ")</f>
        <v>#N/A</v>
      </c>
    </row>
    <row r="101" spans="1:94" x14ac:dyDescent="0.25">
      <c r="A101" s="64"/>
      <c r="B101" s="64"/>
      <c r="C101" s="64"/>
      <c r="D101" s="271"/>
      <c r="E101" s="266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82"/>
      <c r="S101" s="58"/>
      <c r="T101" s="83"/>
      <c r="U101" s="83"/>
      <c r="V101" s="83"/>
      <c r="W101" s="83"/>
      <c r="X101" s="83"/>
      <c r="Y101" s="83"/>
      <c r="Z101" s="83"/>
      <c r="AA101" s="83"/>
      <c r="AB101" s="39"/>
      <c r="AC101" s="64"/>
      <c r="AF101" s="64"/>
      <c r="AG101" s="64"/>
      <c r="AH101" s="163" t="str">
        <f t="shared" si="0"/>
        <v/>
      </c>
      <c r="AI101" s="163" t="str">
        <f t="shared" si="1"/>
        <v/>
      </c>
      <c r="AJ101" s="64"/>
      <c r="AK101" s="197"/>
      <c r="AL101" s="64"/>
      <c r="AM101" s="160" t="str">
        <f t="shared" si="2"/>
        <v/>
      </c>
      <c r="AN101" s="195" t="str">
        <f t="shared" si="3"/>
        <v/>
      </c>
      <c r="AO101" s="64"/>
      <c r="AP101" s="64"/>
      <c r="AQ101" s="460" t="e">
        <f>IF(VLOOKUP(10,Formations!$A$3:$C$25,1)=10,VLOOKUP(10,Formations!$A$3:$C$25,2)," ")</f>
        <v>#N/A</v>
      </c>
      <c r="AR101" t="e">
        <f>IF(VLOOKUP(10,Formations!$A$3:$C$25,1)=10,VLOOKUP(10,Formations!$A$3:$C$25,3)," ")</f>
        <v>#N/A</v>
      </c>
      <c r="AW101" s="85"/>
      <c r="AX101" s="85"/>
      <c r="AY101" s="163" t="str">
        <f t="shared" si="4"/>
        <v/>
      </c>
      <c r="AZ101" s="196" t="str">
        <f t="shared" si="5"/>
        <v/>
      </c>
      <c r="BA101" s="237" t="str">
        <f t="shared" si="6"/>
        <v/>
      </c>
      <c r="BB101" s="64"/>
      <c r="BC101" s="237" t="str">
        <f t="shared" si="7"/>
        <v/>
      </c>
      <c r="BD101" s="196" t="str">
        <f t="shared" si="8"/>
        <v/>
      </c>
      <c r="BE101" s="195" t="str">
        <f t="shared" si="9"/>
        <v/>
      </c>
      <c r="BF101" s="64"/>
      <c r="BG101" s="460" t="e">
        <f>IF(VLOOKUP(10,Formations!$A$3:$C$25,1)=10,VLOOKUP(10,Formations!$A$3:$C$25,2)," ")</f>
        <v>#N/A</v>
      </c>
      <c r="BH101" t="e">
        <f>IF(VLOOKUP(10,Formations!$A$3:$C$25,1)=10,VLOOKUP(10,Formations!$A$3:$C$25,3)," ")</f>
        <v>#N/A</v>
      </c>
      <c r="BL101" s="112" t="e">
        <f>'Casing Review'!$B$34</f>
        <v>#N/A</v>
      </c>
      <c r="BM101" s="111" t="s">
        <v>224</v>
      </c>
      <c r="BN101" s="85"/>
      <c r="BO101" s="163" t="str">
        <f t="shared" si="10"/>
        <v/>
      </c>
      <c r="BP101" s="163" t="str">
        <f t="shared" si="11"/>
        <v/>
      </c>
      <c r="BQ101" s="163" t="str">
        <f t="shared" si="12"/>
        <v/>
      </c>
      <c r="BR101" s="237" t="str">
        <f t="shared" si="13"/>
        <v/>
      </c>
      <c r="BS101" s="64"/>
      <c r="BT101" s="237" t="str">
        <f t="shared" si="14"/>
        <v/>
      </c>
      <c r="BU101" s="195" t="str">
        <f t="shared" si="15"/>
        <v/>
      </c>
      <c r="BV101" s="195" t="str">
        <f t="shared" si="16"/>
        <v/>
      </c>
      <c r="BW101" s="195" t="str">
        <f t="shared" si="17"/>
        <v/>
      </c>
      <c r="BX101" s="460" t="e">
        <f>IF(VLOOKUP(10,Formations!$A$3:$C$25,1)=10,VLOOKUP(10,Formations!$A$3:$C$25,2)," ")</f>
        <v>#N/A</v>
      </c>
      <c r="BY101" t="e">
        <f>IF(VLOOKUP(10,Formations!$A$3:$C$25,1)=10,VLOOKUP(10,Formations!$A$3:$C$25,3)," ")</f>
        <v>#N/A</v>
      </c>
      <c r="CC101" s="112">
        <f>'Casing Review'!$R$12</f>
        <v>0</v>
      </c>
      <c r="CD101" s="111" t="s">
        <v>225</v>
      </c>
      <c r="CE101" s="85"/>
      <c r="CF101" s="85"/>
      <c r="CG101" s="163" t="str">
        <f t="shared" si="18"/>
        <v/>
      </c>
      <c r="CH101" s="64"/>
      <c r="CI101" s="193"/>
      <c r="CJ101" s="64"/>
      <c r="CK101" s="194"/>
      <c r="CL101" s="64"/>
      <c r="CM101" s="195" t="str">
        <f t="shared" si="19"/>
        <v/>
      </c>
      <c r="CN101" s="64"/>
      <c r="CO101" s="460" t="e">
        <f>IF(VLOOKUP(10,Formations!$A$3:$C$25,1)=10,VLOOKUP(10,Formations!$A$3:$C$25,2)," ")</f>
        <v>#N/A</v>
      </c>
      <c r="CP101" t="e">
        <f>IF(VLOOKUP(10,Formations!$A$3:$C$25,1)=10,VLOOKUP(10,Formations!$A$3:$C$25,3)," ")</f>
        <v>#N/A</v>
      </c>
    </row>
    <row r="102" spans="1:94" x14ac:dyDescent="0.25">
      <c r="A102" s="177"/>
      <c r="B102" s="64"/>
      <c r="C102" s="64"/>
      <c r="D102" s="84"/>
      <c r="E102" s="39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35"/>
      <c r="S102" s="36"/>
      <c r="T102" s="64"/>
      <c r="U102" s="64"/>
      <c r="V102" s="64"/>
      <c r="W102" s="64"/>
      <c r="X102" s="64"/>
      <c r="Y102" s="64"/>
      <c r="Z102" s="64"/>
      <c r="AA102" s="83"/>
      <c r="AB102" s="39"/>
      <c r="AC102" s="64"/>
      <c r="AD102" s="64">
        <f>'Casing Review'!C27</f>
        <v>0</v>
      </c>
      <c r="AE102" s="113" t="s">
        <v>222</v>
      </c>
      <c r="AF102" s="64"/>
      <c r="AG102" s="64"/>
      <c r="AH102" s="64"/>
      <c r="AI102" s="163" t="str">
        <f t="shared" si="1"/>
        <v/>
      </c>
      <c r="AJ102" s="64"/>
      <c r="AK102" s="197"/>
      <c r="AL102" s="64"/>
      <c r="AM102" s="160" t="str">
        <f t="shared" si="2"/>
        <v/>
      </c>
      <c r="AN102" s="162"/>
      <c r="AO102" s="64"/>
      <c r="AP102" s="64"/>
      <c r="AQ102" s="460" t="e">
        <f>IF(VLOOKUP(11,Formations!$A$3:$C$25,1)=11,VLOOKUP(11,Formations!$A$3:$C$25,2)," ")</f>
        <v>#N/A</v>
      </c>
      <c r="AR102" t="e">
        <f>IF(VLOOKUP(11,Formations!$A$3:$C$25,1)=11,VLOOKUP(11,Formations!$A$3:$C$25,3)," ")</f>
        <v>#N/A</v>
      </c>
      <c r="AW102" s="64"/>
      <c r="AX102" s="64"/>
      <c r="AY102" s="163" t="str">
        <f t="shared" si="4"/>
        <v/>
      </c>
      <c r="AZ102" s="196" t="str">
        <f t="shared" si="5"/>
        <v/>
      </c>
      <c r="BA102" s="237" t="str">
        <f t="shared" si="6"/>
        <v/>
      </c>
      <c r="BB102" s="64"/>
      <c r="BC102" s="237" t="str">
        <f t="shared" si="7"/>
        <v/>
      </c>
      <c r="BD102" s="196" t="str">
        <f t="shared" si="8"/>
        <v/>
      </c>
      <c r="BE102" s="195" t="str">
        <f t="shared" si="9"/>
        <v/>
      </c>
      <c r="BF102" s="64"/>
      <c r="BG102" s="460" t="e">
        <f>IF(VLOOKUP(11,Formations!$A$3:$C$25,1)=11,VLOOKUP(11,Formations!$A$3:$C$25,2)," ")</f>
        <v>#N/A</v>
      </c>
      <c r="BH102" t="e">
        <f>IF(VLOOKUP(11,Formations!$A$3:$C$25,1)=11,VLOOKUP(11,Formations!$A$3:$C$25,3)," ")</f>
        <v>#N/A</v>
      </c>
      <c r="BL102" s="112">
        <f>'Casing Review'!$R$27</f>
        <v>0</v>
      </c>
      <c r="BM102" s="111" t="s">
        <v>225</v>
      </c>
      <c r="BN102" s="64"/>
      <c r="BO102" s="163" t="str">
        <f t="shared" si="10"/>
        <v/>
      </c>
      <c r="BP102" s="163" t="str">
        <f t="shared" si="11"/>
        <v/>
      </c>
      <c r="BQ102" s="163" t="str">
        <f t="shared" si="12"/>
        <v/>
      </c>
      <c r="BR102" s="237" t="str">
        <f t="shared" si="13"/>
        <v/>
      </c>
      <c r="BS102" s="64"/>
      <c r="BT102" s="237" t="str">
        <f t="shared" si="14"/>
        <v/>
      </c>
      <c r="BU102" s="195" t="str">
        <f t="shared" si="15"/>
        <v/>
      </c>
      <c r="BV102" s="195" t="str">
        <f t="shared" si="16"/>
        <v/>
      </c>
      <c r="BW102" s="195" t="str">
        <f t="shared" si="17"/>
        <v/>
      </c>
      <c r="BX102" s="460" t="e">
        <f>IF(VLOOKUP(11,Formations!$A$3:$C$25,1)=11,VLOOKUP(11,Formations!$A$3:$C$25,2)," ")</f>
        <v>#N/A</v>
      </c>
      <c r="BY102" t="e">
        <f>IF(VLOOKUP(11,Formations!$A$3:$C$25,1)=11,VLOOKUP(11,Formations!$A$3:$C$25,3)," ")</f>
        <v>#N/A</v>
      </c>
      <c r="CC102" s="112">
        <f>'Casing Review'!$R$13</f>
        <v>0</v>
      </c>
      <c r="CD102" s="134" t="s">
        <v>226</v>
      </c>
      <c r="CE102" s="64"/>
      <c r="CF102" s="64"/>
      <c r="CG102" s="163" t="str">
        <f t="shared" si="18"/>
        <v/>
      </c>
      <c r="CH102" s="64"/>
      <c r="CI102" s="193"/>
      <c r="CJ102" s="64"/>
      <c r="CK102" s="194"/>
      <c r="CL102" s="64"/>
      <c r="CM102" s="195" t="str">
        <f t="shared" si="19"/>
        <v/>
      </c>
      <c r="CN102" s="64"/>
      <c r="CO102" s="460" t="e">
        <f>IF(VLOOKUP(11,Formations!$A$3:$C$25,1)=11,VLOOKUP(11,Formations!$A$3:$C$25,2)," ")</f>
        <v>#N/A</v>
      </c>
      <c r="CP102" t="e">
        <f>IF(VLOOKUP(11,Formations!$A$3:$C$25,1)=11,VLOOKUP(11,Formations!$A$3:$C$25,3)," ")</f>
        <v>#N/A</v>
      </c>
    </row>
    <row r="103" spans="1:94" x14ac:dyDescent="0.25">
      <c r="A103" s="178"/>
      <c r="B103" s="64"/>
      <c r="C103" s="64"/>
      <c r="D103" s="104"/>
      <c r="E103" s="104"/>
      <c r="F103" s="85"/>
      <c r="G103" s="85"/>
      <c r="H103" s="64"/>
      <c r="I103" s="85"/>
      <c r="J103" s="64"/>
      <c r="K103" s="64"/>
      <c r="L103" s="64"/>
      <c r="M103" s="64"/>
      <c r="N103" s="64"/>
      <c r="O103" s="64"/>
      <c r="P103" s="64"/>
      <c r="Q103" s="64"/>
      <c r="R103" s="36"/>
      <c r="S103" s="36"/>
      <c r="T103" s="64"/>
      <c r="U103" s="64"/>
      <c r="V103" s="64"/>
      <c r="W103" s="64"/>
      <c r="X103" s="64"/>
      <c r="Y103" s="64"/>
      <c r="Z103" s="64"/>
      <c r="AA103" s="83"/>
      <c r="AB103" s="39"/>
      <c r="AC103" s="85"/>
      <c r="AD103" s="110">
        <f>MAX('Casing Review'!$D$27:$D$32)</f>
        <v>0</v>
      </c>
      <c r="AE103" s="111" t="s">
        <v>223</v>
      </c>
      <c r="AF103" s="85"/>
      <c r="AG103" s="85"/>
      <c r="AH103" s="85"/>
      <c r="AI103" s="163" t="str">
        <f t="shared" si="1"/>
        <v/>
      </c>
      <c r="AJ103" s="64"/>
      <c r="AK103" s="197"/>
      <c r="AL103" s="64"/>
      <c r="AM103" s="160" t="str">
        <f t="shared" si="2"/>
        <v/>
      </c>
      <c r="AN103" s="162"/>
      <c r="AO103" s="64"/>
      <c r="AP103" s="64"/>
      <c r="AQ103" s="460" t="e">
        <f>IF(VLOOKUP(12,Formations!$A$3:$C$25,1)=12,VLOOKUP(12,Formations!$A$3:$C$25,2)," ")</f>
        <v>#N/A</v>
      </c>
      <c r="AR103" t="e">
        <f>IF(VLOOKUP(12,Formations!$A$3:$C$25,1)=12,VLOOKUP(12,Formations!$A$3:$C$25,3)," ")</f>
        <v>#N/A</v>
      </c>
      <c r="AW103" s="64"/>
      <c r="AX103" s="64"/>
      <c r="AY103" s="163" t="str">
        <f t="shared" si="4"/>
        <v/>
      </c>
      <c r="AZ103" s="196" t="str">
        <f t="shared" si="5"/>
        <v/>
      </c>
      <c r="BA103" s="237" t="str">
        <f t="shared" si="6"/>
        <v/>
      </c>
      <c r="BB103" s="64"/>
      <c r="BC103" s="237" t="str">
        <f t="shared" si="7"/>
        <v/>
      </c>
      <c r="BD103" s="196" t="str">
        <f t="shared" si="8"/>
        <v/>
      </c>
      <c r="BE103" s="195" t="str">
        <f t="shared" si="9"/>
        <v/>
      </c>
      <c r="BF103" s="64"/>
      <c r="BG103" s="460" t="e">
        <f>IF(VLOOKUP(12,Formations!$A$3:$C$25,1)=12,VLOOKUP(12,Formations!$A$3:$C$25,2)," ")</f>
        <v>#N/A</v>
      </c>
      <c r="BH103" t="e">
        <f>IF(VLOOKUP(12,Formations!$A$3:$C$25,1)=12,VLOOKUP(12,Formations!$A$3:$C$25,3)," ")</f>
        <v>#N/A</v>
      </c>
      <c r="BL103" s="112">
        <f>'Casing Review'!$R$28</f>
        <v>0</v>
      </c>
      <c r="BM103" s="134" t="s">
        <v>226</v>
      </c>
      <c r="BN103" s="64"/>
      <c r="BO103" s="64"/>
      <c r="BP103" s="163" t="str">
        <f t="shared" si="11"/>
        <v/>
      </c>
      <c r="BQ103" s="163" t="str">
        <f t="shared" si="12"/>
        <v/>
      </c>
      <c r="BR103" s="237" t="str">
        <f t="shared" si="13"/>
        <v/>
      </c>
      <c r="BS103" s="64"/>
      <c r="BT103" s="237" t="str">
        <f t="shared" si="14"/>
        <v/>
      </c>
      <c r="BU103" s="195" t="str">
        <f t="shared" si="15"/>
        <v/>
      </c>
      <c r="BV103" s="195" t="str">
        <f t="shared" si="16"/>
        <v/>
      </c>
      <c r="BW103" s="64"/>
      <c r="BX103" s="460" t="e">
        <f>IF(VLOOKUP(12,Formations!$A$3:$C$25,1)=12,VLOOKUP(12,Formations!$A$3:$C$25,2)," ")</f>
        <v>#N/A</v>
      </c>
      <c r="BY103" t="e">
        <f>IF(VLOOKUP(12,Formations!$A$3:$C$25,1)=12,VLOOKUP(12,Formations!$A$3:$C$25,3)," ")</f>
        <v>#N/A</v>
      </c>
      <c r="CC103" s="152">
        <f>'Casing Review'!B20</f>
        <v>10</v>
      </c>
      <c r="CD103" s="39" t="s">
        <v>227</v>
      </c>
      <c r="CE103" s="64"/>
      <c r="CF103" s="64"/>
      <c r="CG103" s="163" t="str">
        <f t="shared" si="18"/>
        <v/>
      </c>
      <c r="CH103" s="64"/>
      <c r="CI103" s="193"/>
      <c r="CJ103" s="64"/>
      <c r="CK103" s="194"/>
      <c r="CL103" s="64"/>
      <c r="CM103" s="195" t="str">
        <f t="shared" si="19"/>
        <v/>
      </c>
      <c r="CN103" s="64"/>
      <c r="CO103" s="460" t="e">
        <f>IF(VLOOKUP(12,Formations!$A$3:$C$25,1)=12,VLOOKUP(12,Formations!$A$3:$C$25,2)," ")</f>
        <v>#N/A</v>
      </c>
      <c r="CP103" t="e">
        <f>IF(VLOOKUP(12,Formations!$A$3:$C$25,1)=12,VLOOKUP(12,Formations!$A$3:$C$25,3)," ")</f>
        <v>#N/A</v>
      </c>
    </row>
    <row r="104" spans="1:94" x14ac:dyDescent="0.25">
      <c r="A104" s="272"/>
      <c r="B104" s="273"/>
      <c r="C104" s="64"/>
      <c r="D104" s="27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275"/>
      <c r="Q104" s="86"/>
      <c r="R104" s="68"/>
      <c r="S104" s="87"/>
      <c r="T104" s="64"/>
      <c r="U104" s="64"/>
      <c r="V104" s="64"/>
      <c r="W104" s="64"/>
      <c r="X104" s="64"/>
      <c r="Y104" s="64"/>
      <c r="Z104" s="64"/>
      <c r="AA104" s="64"/>
      <c r="AB104" s="39"/>
      <c r="AC104" s="64"/>
      <c r="AD104" s="112" t="e">
        <f>'Casing Review'!$B$34</f>
        <v>#N/A</v>
      </c>
      <c r="AE104" s="111" t="s">
        <v>224</v>
      </c>
      <c r="AF104" s="64"/>
      <c r="AG104" s="64"/>
      <c r="AH104" s="64"/>
      <c r="AI104" s="163" t="str">
        <f t="shared" si="1"/>
        <v/>
      </c>
      <c r="AJ104" s="64"/>
      <c r="AK104" s="197"/>
      <c r="AL104" s="64"/>
      <c r="AM104" s="160" t="str">
        <f t="shared" si="2"/>
        <v/>
      </c>
      <c r="AN104" s="64"/>
      <c r="AO104" s="64"/>
      <c r="AP104" s="64"/>
      <c r="AQ104" s="460" t="e">
        <f>IF(VLOOKUP(13,Formations!$A$3:$C$25,1)=13,VLOOKUP(13,Formations!$A$3:$C$25,2)," ")</f>
        <v>#N/A</v>
      </c>
      <c r="AR104" t="e">
        <f>IF(VLOOKUP(13,Formations!$A$3:$C$25,1)=13,VLOOKUP(13,Formations!$A$3:$C$25,3)," ")</f>
        <v>#N/A</v>
      </c>
      <c r="AW104" s="64"/>
      <c r="AX104" s="64"/>
      <c r="AY104" s="64"/>
      <c r="AZ104" s="196" t="str">
        <f t="shared" si="5"/>
        <v/>
      </c>
      <c r="BA104" s="237" t="str">
        <f t="shared" si="6"/>
        <v/>
      </c>
      <c r="BB104" s="64"/>
      <c r="BC104" s="237" t="str">
        <f t="shared" si="7"/>
        <v/>
      </c>
      <c r="BD104" s="196" t="str">
        <f t="shared" si="8"/>
        <v/>
      </c>
      <c r="BE104" s="64"/>
      <c r="BF104" s="64"/>
      <c r="BG104" s="460" t="e">
        <f>IF(VLOOKUP(13,Formations!$A$3:$C$25,1)=13,VLOOKUP(13,Formations!$A$3:$C$25,2)," ")</f>
        <v>#N/A</v>
      </c>
      <c r="BH104" t="e">
        <f>IF(VLOOKUP(13,Formations!$A$3:$C$25,1)=13,VLOOKUP(13,Formations!$A$3:$C$25,3)," ")</f>
        <v>#N/A</v>
      </c>
      <c r="BL104" s="152">
        <f>'Casing Review'!B35</f>
        <v>4</v>
      </c>
      <c r="BM104" s="39" t="s">
        <v>227</v>
      </c>
      <c r="BN104" s="64"/>
      <c r="BO104" s="64"/>
      <c r="BP104" s="163" t="str">
        <f t="shared" si="11"/>
        <v/>
      </c>
      <c r="BQ104" s="163" t="str">
        <f t="shared" si="12"/>
        <v/>
      </c>
      <c r="BR104" s="237" t="str">
        <f t="shared" si="13"/>
        <v/>
      </c>
      <c r="BS104" s="64"/>
      <c r="BT104" s="237" t="str">
        <f t="shared" si="14"/>
        <v/>
      </c>
      <c r="BU104" s="195" t="str">
        <f t="shared" si="15"/>
        <v/>
      </c>
      <c r="BV104" s="195" t="str">
        <f t="shared" si="16"/>
        <v/>
      </c>
      <c r="BW104" s="64"/>
      <c r="BX104" s="460" t="e">
        <f>IF(VLOOKUP(13,Formations!$A$3:$C$25,1)=13,VLOOKUP(13,Formations!$A$3:$C$25,2)," ")</f>
        <v>#N/A</v>
      </c>
      <c r="BY104" t="e">
        <f>IF(VLOOKUP(13,Formations!$A$3:$C$25,1)=13,VLOOKUP(13,Formations!$A$3:$C$25,3)," ")</f>
        <v>#N/A</v>
      </c>
      <c r="CC104" s="152">
        <f>'Casing Review'!$B$12</f>
        <v>0</v>
      </c>
      <c r="CD104" s="151" t="s">
        <v>228</v>
      </c>
      <c r="CE104" s="64"/>
      <c r="CF104" s="64"/>
      <c r="CG104" s="163" t="str">
        <f t="shared" si="18"/>
        <v/>
      </c>
      <c r="CH104" s="64"/>
      <c r="CI104" s="193"/>
      <c r="CJ104" s="64"/>
      <c r="CK104" s="194"/>
      <c r="CL104" s="64"/>
      <c r="CM104" s="195" t="str">
        <f t="shared" si="19"/>
        <v/>
      </c>
      <c r="CN104" s="64"/>
      <c r="CO104" s="460" t="e">
        <f>IF(VLOOKUP(13,Formations!$A$3:$C$25,1)=13,VLOOKUP(13,Formations!$A$3:$C$25,2)," ")</f>
        <v>#N/A</v>
      </c>
      <c r="CP104" t="e">
        <f>IF(VLOOKUP(13,Formations!$A$3:$C$25,1)=13,VLOOKUP(13,Formations!$A$3:$C$25,3)," ")</f>
        <v>#N/A</v>
      </c>
    </row>
    <row r="105" spans="1:94" x14ac:dyDescent="0.25">
      <c r="A105" s="35"/>
      <c r="B105" s="276"/>
      <c r="C105" s="64"/>
      <c r="D105" s="27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275"/>
      <c r="Q105" s="86"/>
      <c r="R105" s="64"/>
      <c r="S105" s="87"/>
      <c r="T105" s="64"/>
      <c r="U105" s="64"/>
      <c r="V105" s="64"/>
      <c r="W105" s="64"/>
      <c r="X105" s="64"/>
      <c r="Y105" s="64"/>
      <c r="Z105" s="64"/>
      <c r="AA105" s="64"/>
      <c r="AB105" s="88"/>
      <c r="AC105" s="64"/>
      <c r="AD105" s="112">
        <f>'Casing Review'!$R$27</f>
        <v>0</v>
      </c>
      <c r="AE105" s="111" t="s">
        <v>225</v>
      </c>
      <c r="AF105" s="64"/>
      <c r="AG105" s="64"/>
      <c r="AH105" s="64"/>
      <c r="AI105" s="163" t="str">
        <f t="shared" si="1"/>
        <v/>
      </c>
      <c r="AJ105" s="64"/>
      <c r="AK105" s="197"/>
      <c r="AL105" s="64"/>
      <c r="AM105" s="160" t="str">
        <f t="shared" si="2"/>
        <v/>
      </c>
      <c r="AN105" s="64"/>
      <c r="AO105" s="64"/>
      <c r="AP105" s="64"/>
      <c r="AQ105" s="460" t="e">
        <f>IF(VLOOKUP(14,Formations!$A$3:$C$25,1)=14,VLOOKUP(14,Formations!$A$3:$C$25,2)," ")</f>
        <v>#N/A</v>
      </c>
      <c r="AR105" t="e">
        <f>IF(VLOOKUP(14,Formations!$A$3:$C$25,1)=14,VLOOKUP(14,Formations!$A$3:$C$25,3)," ")</f>
        <v>#N/A</v>
      </c>
      <c r="AV105" s="64"/>
      <c r="AW105" s="64"/>
      <c r="AX105" s="64"/>
      <c r="AY105" s="64"/>
      <c r="AZ105" s="196" t="str">
        <f t="shared" si="5"/>
        <v/>
      </c>
      <c r="BA105" s="237" t="str">
        <f t="shared" si="6"/>
        <v/>
      </c>
      <c r="BB105" s="64"/>
      <c r="BC105" s="237" t="str">
        <f t="shared" si="7"/>
        <v/>
      </c>
      <c r="BD105" s="196" t="str">
        <f t="shared" si="8"/>
        <v/>
      </c>
      <c r="BE105" s="64"/>
      <c r="BF105" s="64"/>
      <c r="BG105" s="460" t="e">
        <f>IF(VLOOKUP(14,Formations!$A$3:$C$25,1)=14,VLOOKUP(14,Formations!$A$3:$C$25,2)," ")</f>
        <v>#N/A</v>
      </c>
      <c r="BH105" t="e">
        <f>IF(VLOOKUP(14,Formations!$A$3:$C$25,1)=14,VLOOKUP(14,Formations!$A$3:$C$25,3)," ")</f>
        <v>#N/A</v>
      </c>
      <c r="BL105" s="152">
        <f>'Casing Review'!$B$27</f>
        <v>0</v>
      </c>
      <c r="BM105" s="151" t="s">
        <v>228</v>
      </c>
      <c r="BN105" s="64"/>
      <c r="BO105" s="64"/>
      <c r="BP105" s="163" t="str">
        <f t="shared" si="11"/>
        <v/>
      </c>
      <c r="BQ105" s="163" t="str">
        <f t="shared" si="12"/>
        <v/>
      </c>
      <c r="BR105" s="237" t="str">
        <f t="shared" si="13"/>
        <v/>
      </c>
      <c r="BS105" s="64"/>
      <c r="BT105" s="237" t="str">
        <f t="shared" si="14"/>
        <v/>
      </c>
      <c r="BU105" s="195" t="str">
        <f t="shared" si="15"/>
        <v/>
      </c>
      <c r="BV105" s="195" t="str">
        <f t="shared" si="16"/>
        <v/>
      </c>
      <c r="BW105" s="64"/>
      <c r="BX105" s="460" t="e">
        <f>IF(VLOOKUP(14,Formations!$A$3:$C$25,1)=14,VLOOKUP(14,Formations!$A$3:$C$25,2)," ")</f>
        <v>#N/A</v>
      </c>
      <c r="BY105" t="e">
        <f>IF(VLOOKUP(14,Formations!$A$3:$C$25,1)=14,VLOOKUP(14,Formations!$A$3:$C$25,3)," ")</f>
        <v>#N/A</v>
      </c>
      <c r="CD105" s="64"/>
      <c r="CE105" s="64"/>
      <c r="CF105" s="64"/>
      <c r="CG105" s="163" t="str">
        <f t="shared" si="18"/>
        <v/>
      </c>
      <c r="CH105" s="64"/>
      <c r="CI105" s="193"/>
      <c r="CJ105" s="64"/>
      <c r="CK105" s="194"/>
      <c r="CL105" s="64"/>
      <c r="CM105" s="195" t="str">
        <f t="shared" si="19"/>
        <v/>
      </c>
      <c r="CN105" s="64"/>
      <c r="CO105" s="460" t="e">
        <f>IF(VLOOKUP(14,Formations!$A$3:$C$25,1)=14,VLOOKUP(14,Formations!$A$3:$C$25,2)," ")</f>
        <v>#N/A</v>
      </c>
      <c r="CP105" t="e">
        <f>IF(VLOOKUP(14,Formations!$A$3:$C$25,1)=14,VLOOKUP(14,Formations!$A$3:$C$25,3)," ")</f>
        <v>#N/A</v>
      </c>
    </row>
    <row r="106" spans="1:94" x14ac:dyDescent="0.25">
      <c r="A106" s="277"/>
      <c r="B106" s="64"/>
      <c r="C106" s="64"/>
      <c r="D106" s="27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275"/>
      <c r="Q106" s="89"/>
      <c r="R106" s="51"/>
      <c r="S106" s="53"/>
      <c r="T106" s="64"/>
      <c r="U106" s="64"/>
      <c r="V106" s="64"/>
      <c r="W106" s="64"/>
      <c r="X106" s="64"/>
      <c r="Y106" s="64"/>
      <c r="Z106" s="64"/>
      <c r="AA106" s="64"/>
      <c r="AB106" s="88"/>
      <c r="AC106" s="64"/>
      <c r="AD106" s="112">
        <f>'Casing Review'!$R$28</f>
        <v>0</v>
      </c>
      <c r="AE106" s="134" t="s">
        <v>226</v>
      </c>
      <c r="AF106" s="64"/>
      <c r="AG106" s="64"/>
      <c r="AH106" s="64"/>
      <c r="AI106" s="163" t="str">
        <f t="shared" si="1"/>
        <v/>
      </c>
      <c r="AJ106" s="64"/>
      <c r="AK106" s="197"/>
      <c r="AL106" s="64"/>
      <c r="AM106" s="160" t="str">
        <f t="shared" si="2"/>
        <v/>
      </c>
      <c r="AN106" s="64"/>
      <c r="AO106" s="64"/>
      <c r="AP106" s="64"/>
      <c r="AQ106" s="460" t="e">
        <f>IF(VLOOKUP(15,Formations!$A$3:$C$25,1)=15,VLOOKUP(15,Formations!$A$3:$C$25,2)," ")</f>
        <v>#N/A</v>
      </c>
      <c r="AR106" t="e">
        <f>IF(VLOOKUP(15,Formations!$A$3:$C$25,1)=15,VLOOKUP(15,Formations!$A$3:$C$25,3)," ")</f>
        <v>#N/A</v>
      </c>
      <c r="AV106" s="64"/>
      <c r="AW106" s="64"/>
      <c r="AX106" s="64"/>
      <c r="AY106" s="64"/>
      <c r="AZ106" s="196" t="str">
        <f t="shared" si="5"/>
        <v/>
      </c>
      <c r="BA106" s="237" t="str">
        <f t="shared" si="6"/>
        <v/>
      </c>
      <c r="BB106" s="64"/>
      <c r="BC106" s="237" t="str">
        <f t="shared" si="7"/>
        <v/>
      </c>
      <c r="BD106" s="196" t="str">
        <f t="shared" si="8"/>
        <v/>
      </c>
      <c r="BE106" s="64"/>
      <c r="BF106" s="64"/>
      <c r="BG106" s="460" t="e">
        <f>IF(VLOOKUP(15,Formations!$A$3:$C$25,1)=15,VLOOKUP(15,Formations!$A$3:$C$25,2)," ")</f>
        <v>#N/A</v>
      </c>
      <c r="BH106" t="e">
        <f>IF(VLOOKUP(15,Formations!$A$3:$C$25,1)=15,VLOOKUP(15,Formations!$A$3:$C$25,3)," ")</f>
        <v>#N/A</v>
      </c>
      <c r="BM106" s="64"/>
      <c r="BN106" s="64"/>
      <c r="BO106" s="64"/>
      <c r="BP106" s="163" t="str">
        <f t="shared" si="11"/>
        <v/>
      </c>
      <c r="BQ106" s="163" t="str">
        <f t="shared" si="12"/>
        <v/>
      </c>
      <c r="BR106" s="237" t="str">
        <f t="shared" si="13"/>
        <v/>
      </c>
      <c r="BS106" s="64"/>
      <c r="BT106" s="237" t="str">
        <f t="shared" si="14"/>
        <v/>
      </c>
      <c r="BU106" s="195" t="str">
        <f t="shared" si="15"/>
        <v/>
      </c>
      <c r="BV106" s="195" t="str">
        <f t="shared" si="16"/>
        <v/>
      </c>
      <c r="BW106" s="64"/>
      <c r="BX106" s="460" t="e">
        <f>IF(VLOOKUP(15,Formations!$A$3:$C$25,1)=15,VLOOKUP(15,Formations!$A$3:$C$25,2)," ")</f>
        <v>#N/A</v>
      </c>
      <c r="BY106" t="e">
        <f>IF(VLOOKUP(15,Formations!$A$3:$C$25,1)=15,VLOOKUP(15,Formations!$A$3:$C$25,3)," ")</f>
        <v>#N/A</v>
      </c>
      <c r="CD106" s="64"/>
      <c r="CE106" s="64"/>
      <c r="CF106" s="64"/>
      <c r="CG106" s="163" t="str">
        <f t="shared" si="18"/>
        <v/>
      </c>
      <c r="CH106" s="64"/>
      <c r="CI106" s="193"/>
      <c r="CJ106" s="64"/>
      <c r="CK106" s="194"/>
      <c r="CL106" s="64"/>
      <c r="CM106" s="195" t="str">
        <f t="shared" si="19"/>
        <v/>
      </c>
      <c r="CN106" s="64"/>
      <c r="CO106" s="460" t="e">
        <f>IF(VLOOKUP(15,Formations!$A$3:$C$25,1)=15,VLOOKUP(15,Formations!$A$3:$C$25,2)," ")</f>
        <v>#N/A</v>
      </c>
      <c r="CP106" t="e">
        <f>IF(VLOOKUP(15,Formations!$A$3:$C$25,1)=15,VLOOKUP(15,Formations!$A$3:$C$25,3)," ")</f>
        <v>#N/A</v>
      </c>
    </row>
    <row r="107" spans="1:94" x14ac:dyDescent="0.25">
      <c r="A107" s="65"/>
      <c r="B107" s="65"/>
      <c r="C107" s="64"/>
      <c r="D107" s="3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275"/>
      <c r="Q107" s="90"/>
      <c r="R107" s="53"/>
      <c r="S107" s="53"/>
      <c r="T107" s="64"/>
      <c r="U107" s="64"/>
      <c r="V107" s="64"/>
      <c r="W107" s="64"/>
      <c r="X107" s="64"/>
      <c r="Y107" s="64"/>
      <c r="Z107" s="40"/>
      <c r="AA107" s="64"/>
      <c r="AB107" s="88"/>
      <c r="AC107" s="64"/>
      <c r="AD107" s="152">
        <f>'Casing Review'!B35</f>
        <v>4</v>
      </c>
      <c r="AE107" s="39" t="s">
        <v>227</v>
      </c>
      <c r="AF107" s="64"/>
      <c r="AG107" s="64"/>
      <c r="AH107" s="64"/>
      <c r="AI107" s="163" t="str">
        <f t="shared" si="1"/>
        <v/>
      </c>
      <c r="AJ107" s="64"/>
      <c r="AK107" s="197"/>
      <c r="AL107" s="64"/>
      <c r="AM107" s="160" t="str">
        <f t="shared" si="2"/>
        <v/>
      </c>
      <c r="AN107" s="64"/>
      <c r="AO107" s="64"/>
      <c r="AP107" s="64"/>
      <c r="AQ107" s="460" t="e">
        <f>IF(VLOOKUP(16,Formations!$A$3:$C$25,1)=16,VLOOKUP(16,Formations!$A$3:$C$25,2)," ")</f>
        <v>#N/A</v>
      </c>
      <c r="AR107" t="e">
        <f>IF(VLOOKUP(16,Formations!$A$3:$C$25,1)=16,VLOOKUP(16,Formations!$A$3:$C$25,3)," ")</f>
        <v>#N/A</v>
      </c>
      <c r="AV107" s="64"/>
      <c r="AW107" s="64"/>
      <c r="AX107" s="64"/>
      <c r="AY107" s="64"/>
      <c r="AZ107" s="196" t="str">
        <f t="shared" si="5"/>
        <v/>
      </c>
      <c r="BA107" s="237" t="str">
        <f t="shared" si="6"/>
        <v/>
      </c>
      <c r="BB107" s="64"/>
      <c r="BC107" s="237" t="str">
        <f t="shared" si="7"/>
        <v/>
      </c>
      <c r="BD107" s="196" t="str">
        <f t="shared" si="8"/>
        <v/>
      </c>
      <c r="BE107" s="64"/>
      <c r="BF107" s="64"/>
      <c r="BG107" s="460" t="e">
        <f>IF(VLOOKUP(16,Formations!$A$3:$C$25,1)=16,VLOOKUP(16,Formations!$A$3:$C$25,2)," ")</f>
        <v>#N/A</v>
      </c>
      <c r="BH107" t="e">
        <f>IF(VLOOKUP(16,Formations!$A$3:$C$25,1)=16,VLOOKUP(16,Formations!$A$3:$C$25,3)," ")</f>
        <v>#N/A</v>
      </c>
      <c r="BM107" s="64"/>
      <c r="BN107" s="64"/>
      <c r="BO107" s="64"/>
      <c r="BP107" s="163" t="str">
        <f t="shared" si="11"/>
        <v/>
      </c>
      <c r="BQ107" s="163" t="str">
        <f t="shared" si="12"/>
        <v/>
      </c>
      <c r="BR107" s="237" t="str">
        <f t="shared" si="13"/>
        <v/>
      </c>
      <c r="BS107" s="64"/>
      <c r="BT107" s="237" t="str">
        <f t="shared" si="14"/>
        <v/>
      </c>
      <c r="BU107" s="195" t="str">
        <f t="shared" si="15"/>
        <v/>
      </c>
      <c r="BV107" s="195" t="str">
        <f t="shared" si="16"/>
        <v/>
      </c>
      <c r="BW107" s="64"/>
      <c r="BX107" s="460" t="e">
        <f>IF(VLOOKUP(16,Formations!$A$3:$C$25,1)=16,VLOOKUP(16,Formations!$A$3:$C$25,2)," ")</f>
        <v>#N/A</v>
      </c>
      <c r="BY107" t="e">
        <f>IF(VLOOKUP(16,Formations!$A$3:$C$25,1)=16,VLOOKUP(16,Formations!$A$3:$C$25,3)," ")</f>
        <v>#N/A</v>
      </c>
      <c r="CD107" s="64"/>
      <c r="CE107" s="64"/>
      <c r="CF107" s="64"/>
      <c r="CG107" s="163" t="str">
        <f t="shared" si="18"/>
        <v/>
      </c>
      <c r="CH107" s="64"/>
      <c r="CI107" s="193"/>
      <c r="CJ107" s="64"/>
      <c r="CK107" s="194"/>
      <c r="CL107" s="64"/>
      <c r="CM107" s="195" t="str">
        <f t="shared" si="19"/>
        <v/>
      </c>
      <c r="CN107" s="64"/>
      <c r="CO107" s="460" t="e">
        <f>IF(VLOOKUP(16,Formations!$A$3:$C$25,1)=16,VLOOKUP(16,Formations!$A$3:$C$25,2)," ")</f>
        <v>#N/A</v>
      </c>
      <c r="CP107" t="e">
        <f>IF(VLOOKUP(16,Formations!$A$3:$C$25,1)=16,VLOOKUP(16,Formations!$A$3:$C$25,3)," ")</f>
        <v>#N/A</v>
      </c>
    </row>
    <row r="108" spans="1:94" x14ac:dyDescent="0.25">
      <c r="A108" s="64"/>
      <c r="B108" s="64"/>
      <c r="C108" s="64"/>
      <c r="D108" s="3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275"/>
      <c r="Q108" s="64"/>
      <c r="R108" s="91"/>
      <c r="S108" s="96"/>
      <c r="T108" s="92"/>
      <c r="U108" s="64"/>
      <c r="V108" s="93"/>
      <c r="W108" s="93"/>
      <c r="X108" s="93"/>
      <c r="Y108" s="64"/>
      <c r="Z108" s="94"/>
      <c r="AA108" s="187"/>
      <c r="AB108" s="95"/>
      <c r="AC108" s="64"/>
      <c r="AD108" s="152">
        <f>'Casing Review'!$B$27</f>
        <v>0</v>
      </c>
      <c r="AE108" s="151" t="s">
        <v>228</v>
      </c>
      <c r="AF108" s="64"/>
      <c r="AG108" s="64"/>
      <c r="AH108" s="64"/>
      <c r="AI108" s="163" t="str">
        <f t="shared" si="1"/>
        <v/>
      </c>
      <c r="AJ108" s="64"/>
      <c r="AK108" s="197"/>
      <c r="AL108" s="64"/>
      <c r="AM108" s="160" t="str">
        <f t="shared" si="2"/>
        <v/>
      </c>
      <c r="AN108" s="64"/>
      <c r="AO108" s="64"/>
      <c r="AP108" s="64"/>
      <c r="AQ108" s="460" t="e">
        <f>IF(VLOOKUP(17,Formations!$A$3:$C$25,1)=17,VLOOKUP(17,Formations!$A$3:$C$25,2)," ")</f>
        <v>#N/A</v>
      </c>
      <c r="AR108" t="e">
        <f>IF(VLOOKUP(17,Formations!$A$3:$C$25,1)=17,VLOOKUP(17,Formations!$A$3:$C$25,3)," ")</f>
        <v>#N/A</v>
      </c>
      <c r="AV108" s="64"/>
      <c r="AW108" s="64"/>
      <c r="AX108" s="64"/>
      <c r="AY108" s="64"/>
      <c r="AZ108" s="196" t="str">
        <f t="shared" si="5"/>
        <v/>
      </c>
      <c r="BA108" s="237" t="str">
        <f t="shared" si="6"/>
        <v/>
      </c>
      <c r="BB108" s="64"/>
      <c r="BC108" s="237" t="str">
        <f t="shared" si="7"/>
        <v/>
      </c>
      <c r="BD108" s="196" t="str">
        <f t="shared" si="8"/>
        <v/>
      </c>
      <c r="BE108" s="64"/>
      <c r="BF108" s="64"/>
      <c r="BG108" s="460" t="e">
        <f>IF(VLOOKUP(17,Formations!$A$3:$C$25,1)=17,VLOOKUP(17,Formations!$A$3:$C$25,2)," ")</f>
        <v>#N/A</v>
      </c>
      <c r="BH108" t="e">
        <f>IF(VLOOKUP(17,Formations!$A$3:$C$25,1)=17,VLOOKUP(17,Formations!$A$3:$C$25,3)," ")</f>
        <v>#N/A</v>
      </c>
      <c r="BM108" s="64"/>
      <c r="BN108" s="64"/>
      <c r="BO108" s="64"/>
      <c r="BP108" s="163" t="str">
        <f t="shared" si="11"/>
        <v/>
      </c>
      <c r="BQ108" s="163" t="str">
        <f t="shared" si="12"/>
        <v/>
      </c>
      <c r="BR108" s="237" t="str">
        <f t="shared" si="13"/>
        <v/>
      </c>
      <c r="BS108" s="64"/>
      <c r="BT108" s="237" t="str">
        <f t="shared" si="14"/>
        <v/>
      </c>
      <c r="BU108" s="195" t="str">
        <f t="shared" si="15"/>
        <v/>
      </c>
      <c r="BV108" s="195" t="str">
        <f t="shared" si="16"/>
        <v/>
      </c>
      <c r="BW108" s="64"/>
      <c r="BX108" s="460" t="e">
        <f>IF(VLOOKUP(17,Formations!$A$3:$C$25,1)=17,VLOOKUP(17,Formations!$A$3:$C$25,2)," ")</f>
        <v>#N/A</v>
      </c>
      <c r="BY108" t="e">
        <f>IF(VLOOKUP(17,Formations!$A$3:$C$25,1)=17,VLOOKUP(17,Formations!$A$3:$C$25,3)," ")</f>
        <v>#N/A</v>
      </c>
      <c r="CD108" s="64"/>
      <c r="CE108" s="64"/>
      <c r="CF108" s="64"/>
      <c r="CG108" s="163" t="str">
        <f t="shared" si="18"/>
        <v/>
      </c>
      <c r="CH108" s="64"/>
      <c r="CI108" s="193"/>
      <c r="CJ108" s="64"/>
      <c r="CK108" s="194"/>
      <c r="CL108" s="64"/>
      <c r="CM108" s="195" t="str">
        <f t="shared" si="19"/>
        <v/>
      </c>
      <c r="CN108" s="64"/>
      <c r="CO108" s="460" t="e">
        <f>IF(VLOOKUP(17,Formations!$A$3:$C$25,1)=17,VLOOKUP(17,Formations!$A$3:$C$25,2)," ")</f>
        <v>#N/A</v>
      </c>
      <c r="CP108" t="e">
        <f>IF(VLOOKUP(17,Formations!$A$3:$C$25,1)=17,VLOOKUP(17,Formations!$A$3:$C$25,3)," ")</f>
        <v>#N/A</v>
      </c>
    </row>
    <row r="109" spans="1:94" x14ac:dyDescent="0.25">
      <c r="A109" s="92"/>
      <c r="B109" s="64"/>
      <c r="C109" s="64"/>
      <c r="D109" s="3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275"/>
      <c r="Q109" s="64"/>
      <c r="R109" s="36"/>
      <c r="S109" s="96"/>
      <c r="T109" s="93"/>
      <c r="U109" s="93"/>
      <c r="V109" s="97"/>
      <c r="W109" s="93"/>
      <c r="X109" s="93"/>
      <c r="Y109" s="64"/>
      <c r="Z109" s="98"/>
      <c r="AA109" s="93"/>
      <c r="AB109" s="95"/>
      <c r="AC109" s="64"/>
      <c r="AF109" s="64"/>
      <c r="AG109" s="64"/>
      <c r="AH109" s="64"/>
      <c r="AI109" s="163" t="str">
        <f t="shared" si="1"/>
        <v/>
      </c>
      <c r="AJ109" s="64"/>
      <c r="AK109" s="197"/>
      <c r="AL109" s="64"/>
      <c r="AM109" s="160" t="str">
        <f t="shared" si="2"/>
        <v/>
      </c>
      <c r="AN109" s="64"/>
      <c r="AO109" s="64"/>
      <c r="AP109" s="64"/>
      <c r="AQ109" s="460" t="e">
        <f>IF(VLOOKUP(18,Formations!$A$3:$C$25,1)=18,VLOOKUP(18,Formations!$A$3:$C$25,2)," ")</f>
        <v>#N/A</v>
      </c>
      <c r="AR109" t="e">
        <f>IF(VLOOKUP(18,Formations!$A$3:$C$25,1)=18,VLOOKUP(18,Formations!$A$3:$C$25,3)," ")</f>
        <v>#N/A</v>
      </c>
      <c r="AV109" s="64"/>
      <c r="AW109" s="64"/>
      <c r="AX109" s="64"/>
      <c r="AY109" s="64"/>
      <c r="AZ109" s="196" t="str">
        <f t="shared" si="5"/>
        <v/>
      </c>
      <c r="BA109" s="237" t="str">
        <f t="shared" si="6"/>
        <v/>
      </c>
      <c r="BB109" s="64"/>
      <c r="BC109" s="237" t="str">
        <f t="shared" si="7"/>
        <v/>
      </c>
      <c r="BD109" s="196" t="str">
        <f t="shared" si="8"/>
        <v/>
      </c>
      <c r="BE109" s="64"/>
      <c r="BF109" s="64"/>
      <c r="BG109" s="460" t="e">
        <f>IF(VLOOKUP(18,Formations!$A$3:$C$25,1)=18,VLOOKUP(18,Formations!$A$3:$C$25,2)," ")</f>
        <v>#N/A</v>
      </c>
      <c r="BH109" t="e">
        <f>IF(VLOOKUP(18,Formations!$A$3:$C$25,1)=18,VLOOKUP(18,Formations!$A$3:$C$25,3)," ")</f>
        <v>#N/A</v>
      </c>
      <c r="BM109" s="64"/>
      <c r="BN109" s="64"/>
      <c r="BO109" s="64"/>
      <c r="BP109" s="163" t="str">
        <f t="shared" si="11"/>
        <v/>
      </c>
      <c r="BQ109" s="163" t="str">
        <f t="shared" si="12"/>
        <v/>
      </c>
      <c r="BR109" s="237" t="str">
        <f t="shared" si="13"/>
        <v/>
      </c>
      <c r="BS109" s="64"/>
      <c r="BT109" s="237" t="str">
        <f t="shared" si="14"/>
        <v/>
      </c>
      <c r="BU109" s="195" t="str">
        <f t="shared" si="15"/>
        <v/>
      </c>
      <c r="BV109" s="195" t="str">
        <f t="shared" si="16"/>
        <v/>
      </c>
      <c r="BW109" s="64"/>
      <c r="BX109" s="460" t="e">
        <f>IF(VLOOKUP(18,Formations!$A$3:$C$25,1)=18,VLOOKUP(18,Formations!$A$3:$C$25,2)," ")</f>
        <v>#N/A</v>
      </c>
      <c r="BY109" t="e">
        <f>IF(VLOOKUP(18,Formations!$A$3:$C$25,1)=18,VLOOKUP(18,Formations!$A$3:$C$25,3)," ")</f>
        <v>#N/A</v>
      </c>
      <c r="CD109" s="64"/>
      <c r="CE109" s="64"/>
      <c r="CF109" s="64"/>
      <c r="CG109" s="163" t="str">
        <f t="shared" si="18"/>
        <v/>
      </c>
      <c r="CH109" s="64"/>
      <c r="CI109" s="193"/>
      <c r="CJ109" s="64"/>
      <c r="CK109" s="194"/>
      <c r="CL109" s="64"/>
      <c r="CM109" s="195" t="str">
        <f t="shared" si="19"/>
        <v/>
      </c>
      <c r="CN109" s="64"/>
      <c r="CO109" s="460" t="e">
        <f>IF(VLOOKUP(18,Formations!$A$3:$C$25,1)=18,VLOOKUP(18,Formations!$A$3:$C$25,2)," ")</f>
        <v>#N/A</v>
      </c>
      <c r="CP109" t="e">
        <f>IF(VLOOKUP(18,Formations!$A$3:$C$25,1)=18,VLOOKUP(18,Formations!$A$3:$C$25,3)," ")</f>
        <v>#N/A</v>
      </c>
    </row>
    <row r="110" spans="1:94" x14ac:dyDescent="0.25">
      <c r="A110" s="101"/>
      <c r="B110" s="64"/>
      <c r="C110" s="64"/>
      <c r="D110" s="3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275"/>
      <c r="Q110" s="64"/>
      <c r="R110" s="96"/>
      <c r="S110" s="96"/>
      <c r="T110" s="99"/>
      <c r="U110" s="100"/>
      <c r="V110" s="101"/>
      <c r="W110" s="100"/>
      <c r="X110" s="100"/>
      <c r="Y110" s="100"/>
      <c r="Z110" s="98"/>
      <c r="AA110" s="188"/>
      <c r="AB110" s="88"/>
      <c r="AC110" s="64"/>
      <c r="AF110" s="64"/>
      <c r="AG110" s="64"/>
      <c r="AH110" s="64"/>
      <c r="AI110" s="163" t="str">
        <f t="shared" si="1"/>
        <v/>
      </c>
      <c r="AJ110" s="64"/>
      <c r="AK110" s="197"/>
      <c r="AL110" s="64"/>
      <c r="AM110" s="160" t="str">
        <f t="shared" si="2"/>
        <v/>
      </c>
      <c r="AN110" s="64"/>
      <c r="AO110" s="64"/>
      <c r="AP110" s="64"/>
      <c r="AQ110" s="460" t="e">
        <f>IF(VLOOKUP(19,Formations!$A$3:$C$25,1)=19,VLOOKUP(19,Formations!$A$3:$C$25,2)," ")</f>
        <v>#N/A</v>
      </c>
      <c r="AR110" t="e">
        <f>IF(VLOOKUP(19,Formations!$A$3:$C$25,1)=19,VLOOKUP(19,Formations!$A$3:$C$25,3)," ")</f>
        <v>#N/A</v>
      </c>
      <c r="AV110" s="64"/>
      <c r="AW110" s="64"/>
      <c r="AX110" s="64"/>
      <c r="AY110" s="64"/>
      <c r="AZ110" s="196" t="str">
        <f t="shared" si="5"/>
        <v/>
      </c>
      <c r="BA110" s="237" t="str">
        <f t="shared" si="6"/>
        <v/>
      </c>
      <c r="BB110" s="64"/>
      <c r="BC110" s="237" t="str">
        <f t="shared" si="7"/>
        <v/>
      </c>
      <c r="BD110" s="196" t="str">
        <f t="shared" si="8"/>
        <v/>
      </c>
      <c r="BE110" s="64"/>
      <c r="BF110" s="64"/>
      <c r="BG110" s="460" t="e">
        <f>IF(VLOOKUP(19,Formations!$A$3:$C$25,1)=19,VLOOKUP(19,Formations!$A$3:$C$25,2)," ")</f>
        <v>#N/A</v>
      </c>
      <c r="BH110" t="e">
        <f>IF(VLOOKUP(19,Formations!$A$3:$C$25,1)=19,VLOOKUP(19,Formations!$A$3:$C$25,3)," ")</f>
        <v>#N/A</v>
      </c>
      <c r="BM110" s="64"/>
      <c r="BN110" s="64"/>
      <c r="BO110" s="64"/>
      <c r="BP110" s="163" t="str">
        <f t="shared" si="11"/>
        <v/>
      </c>
      <c r="BQ110" s="163" t="str">
        <f t="shared" si="12"/>
        <v/>
      </c>
      <c r="BR110" s="237" t="str">
        <f t="shared" si="13"/>
        <v/>
      </c>
      <c r="BS110" s="64"/>
      <c r="BT110" s="237" t="str">
        <f t="shared" si="14"/>
        <v/>
      </c>
      <c r="BU110" s="195" t="str">
        <f t="shared" si="15"/>
        <v/>
      </c>
      <c r="BV110" s="195" t="str">
        <f t="shared" si="16"/>
        <v/>
      </c>
      <c r="BW110" s="64"/>
      <c r="BX110" s="460" t="e">
        <f>IF(VLOOKUP(19,Formations!$A$3:$C$25,1)=19,VLOOKUP(19,Formations!$A$3:$C$25,2)," ")</f>
        <v>#N/A</v>
      </c>
      <c r="BY110" t="e">
        <f>IF(VLOOKUP(19,Formations!$A$3:$C$25,1)=19,VLOOKUP(19,Formations!$A$3:$C$25,3)," ")</f>
        <v>#N/A</v>
      </c>
      <c r="CD110" s="64"/>
      <c r="CE110" s="64"/>
      <c r="CF110" s="64"/>
      <c r="CG110" s="163" t="str">
        <f t="shared" si="18"/>
        <v/>
      </c>
      <c r="CH110" s="64"/>
      <c r="CI110" s="193"/>
      <c r="CJ110" s="64"/>
      <c r="CK110" s="194"/>
      <c r="CL110" s="64"/>
      <c r="CM110" s="195" t="str">
        <f t="shared" si="19"/>
        <v/>
      </c>
      <c r="CN110" s="64"/>
      <c r="CO110" s="460" t="e">
        <f>IF(VLOOKUP(19,Formations!$A$3:$C$25,1)=19,VLOOKUP(19,Formations!$A$3:$C$25,2)," ")</f>
        <v>#N/A</v>
      </c>
      <c r="CP110" t="e">
        <f>IF(VLOOKUP(19,Formations!$A$3:$C$25,1)=19,VLOOKUP(19,Formations!$A$3:$C$25,3)," ")</f>
        <v>#N/A</v>
      </c>
    </row>
    <row r="111" spans="1:94" x14ac:dyDescent="0.25">
      <c r="A111" s="64"/>
      <c r="B111" s="64"/>
      <c r="C111" s="64"/>
      <c r="D111" s="3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275"/>
      <c r="Q111" s="64"/>
      <c r="R111" s="64"/>
      <c r="S111" s="64"/>
      <c r="T111" s="100"/>
      <c r="U111" s="100"/>
      <c r="V111" s="101"/>
      <c r="W111" s="100"/>
      <c r="X111" s="100"/>
      <c r="Y111" s="100"/>
      <c r="Z111" s="102"/>
      <c r="AA111" s="189"/>
      <c r="AB111" s="39"/>
      <c r="AC111" s="64"/>
      <c r="AF111" s="64"/>
      <c r="AG111" s="64"/>
      <c r="AH111" s="64"/>
      <c r="AI111" s="163" t="str">
        <f t="shared" si="1"/>
        <v/>
      </c>
      <c r="AJ111" s="64"/>
      <c r="AK111" s="197"/>
      <c r="AL111" s="64"/>
      <c r="AM111" s="160" t="str">
        <f t="shared" si="2"/>
        <v/>
      </c>
      <c r="AN111" s="64"/>
      <c r="AO111" s="64"/>
      <c r="AP111" s="64"/>
      <c r="AQ111" s="460" t="e">
        <f>IF(VLOOKUP(20,Formations!$A$3:$C$25,1)=20,VLOOKUP(20,Formations!$A$3:$C$25,2)," ")</f>
        <v>#N/A</v>
      </c>
      <c r="AR111" t="e">
        <f>IF(VLOOKUP(20,Formations!$A$3:$C$25,1)=20,VLOOKUP(20,Formations!$A$3:$C$25,3)," ")</f>
        <v>#N/A</v>
      </c>
      <c r="AU111" s="64">
        <f>'Casing Review'!C27</f>
        <v>0</v>
      </c>
      <c r="AV111" s="113" t="s">
        <v>222</v>
      </c>
      <c r="AW111" s="64"/>
      <c r="AX111" s="64"/>
      <c r="AY111" s="64"/>
      <c r="AZ111" s="196" t="str">
        <f t="shared" si="5"/>
        <v/>
      </c>
      <c r="BA111" s="237" t="str">
        <f t="shared" si="6"/>
        <v/>
      </c>
      <c r="BB111" s="64"/>
      <c r="BC111" s="237" t="str">
        <f t="shared" si="7"/>
        <v/>
      </c>
      <c r="BD111" s="196" t="str">
        <f t="shared" si="8"/>
        <v/>
      </c>
      <c r="BE111" s="64"/>
      <c r="BF111" s="64"/>
      <c r="BG111" s="460" t="e">
        <f>IF(VLOOKUP(20,Formations!$A$3:$C$25,1)=20,VLOOKUP(20,Formations!$A$3:$C$25,2)," ")</f>
        <v>#N/A</v>
      </c>
      <c r="BH111" t="e">
        <f>IF(VLOOKUP(20,Formations!$A$3:$C$25,1)=20,VLOOKUP(20,Formations!$A$3:$C$25,3)," ")</f>
        <v>#N/A</v>
      </c>
      <c r="BL111" s="64">
        <f>'Casing Review'!C42</f>
        <v>0</v>
      </c>
      <c r="BM111" s="113" t="s">
        <v>222</v>
      </c>
      <c r="BN111" s="64"/>
      <c r="BO111" s="64"/>
      <c r="BP111" s="163" t="str">
        <f t="shared" si="11"/>
        <v/>
      </c>
      <c r="BQ111" s="163" t="str">
        <f t="shared" si="12"/>
        <v/>
      </c>
      <c r="BR111" s="237" t="str">
        <f t="shared" si="13"/>
        <v/>
      </c>
      <c r="BS111" s="64"/>
      <c r="BT111" s="237" t="str">
        <f t="shared" si="14"/>
        <v/>
      </c>
      <c r="BU111" s="195" t="str">
        <f t="shared" si="15"/>
        <v/>
      </c>
      <c r="BV111" s="195" t="str">
        <f t="shared" si="16"/>
        <v/>
      </c>
      <c r="BW111" s="64"/>
      <c r="BX111" s="460" t="e">
        <f>IF(VLOOKUP(20,Formations!$A$3:$C$25,1)=20,VLOOKUP(20,Formations!$A$3:$C$25,2)," ")</f>
        <v>#N/A</v>
      </c>
      <c r="BY111" t="e">
        <f>IF(VLOOKUP(20,Formations!$A$3:$C$25,1)=20,VLOOKUP(20,Formations!$A$3:$C$25,3)," ")</f>
        <v>#N/A</v>
      </c>
      <c r="CD111" s="64"/>
      <c r="CE111" s="64"/>
      <c r="CF111" s="64"/>
      <c r="CG111" s="163" t="str">
        <f t="shared" si="18"/>
        <v/>
      </c>
      <c r="CH111" s="64"/>
      <c r="CI111" s="193"/>
      <c r="CJ111" s="64"/>
      <c r="CK111" s="194"/>
      <c r="CL111" s="64"/>
      <c r="CM111" s="195" t="str">
        <f t="shared" si="19"/>
        <v/>
      </c>
      <c r="CN111" s="64"/>
      <c r="CO111" s="460" t="e">
        <f>IF(VLOOKUP(20,Formations!$A$3:$C$25,1)=20,VLOOKUP(20,Formations!$A$3:$C$25,2)," ")</f>
        <v>#N/A</v>
      </c>
      <c r="CP111" t="e">
        <f>IF(VLOOKUP(20,Formations!$A$3:$C$25,1)=20,VLOOKUP(20,Formations!$A$3:$C$25,3)," ")</f>
        <v>#N/A</v>
      </c>
    </row>
    <row r="112" spans="1:94" x14ac:dyDescent="0.25">
      <c r="A112" s="64"/>
      <c r="B112" s="64"/>
      <c r="C112" s="64"/>
      <c r="D112" s="3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275"/>
      <c r="Q112" s="64"/>
      <c r="R112" s="91"/>
      <c r="S112" s="96"/>
      <c r="T112" s="64"/>
      <c r="U112" s="64"/>
      <c r="V112" s="64"/>
      <c r="W112" s="64"/>
      <c r="X112" s="64"/>
      <c r="Y112" s="64"/>
      <c r="Z112" s="64"/>
      <c r="AA112" s="190"/>
      <c r="AB112" s="39"/>
      <c r="AC112" s="64"/>
      <c r="AF112" s="64"/>
      <c r="AG112" s="64"/>
      <c r="AH112" s="64"/>
      <c r="AI112" s="163" t="str">
        <f t="shared" si="1"/>
        <v/>
      </c>
      <c r="AJ112" s="64"/>
      <c r="AK112" s="197"/>
      <c r="AL112" s="64"/>
      <c r="AM112" s="160" t="str">
        <f t="shared" si="2"/>
        <v/>
      </c>
      <c r="AN112" s="64"/>
      <c r="AO112" s="64"/>
      <c r="AP112" s="64"/>
      <c r="AQ112" s="460" t="e">
        <f>IF(VLOOKUP(21,Formations!$A$3:$C$25,1)=21,VLOOKUP(21,Formations!$A$3:$C$25,2)," ")</f>
        <v>#N/A</v>
      </c>
      <c r="AR112" t="e">
        <f>IF(VLOOKUP(21,Formations!$A$3:$C$25,1)=21,VLOOKUP(21,Formations!$A$3:$C$25,3)," ")</f>
        <v>#N/A</v>
      </c>
      <c r="AU112" s="110">
        <f>MAX('Casing Review'!$D$27:$D$32)</f>
        <v>0</v>
      </c>
      <c r="AV112" s="111" t="s">
        <v>223</v>
      </c>
      <c r="AW112" s="64"/>
      <c r="AX112" s="64"/>
      <c r="AY112" s="64"/>
      <c r="AZ112" s="196" t="str">
        <f t="shared" si="5"/>
        <v/>
      </c>
      <c r="BA112" s="237" t="str">
        <f t="shared" si="6"/>
        <v/>
      </c>
      <c r="BB112" s="64"/>
      <c r="BC112" s="237" t="str">
        <f t="shared" si="7"/>
        <v/>
      </c>
      <c r="BD112" s="196" t="str">
        <f t="shared" si="8"/>
        <v/>
      </c>
      <c r="BE112" s="64"/>
      <c r="BF112" s="64"/>
      <c r="BG112" s="460" t="e">
        <f>IF(VLOOKUP(21,Formations!$A$3:$C$25,1)=21,VLOOKUP(21,Formations!$A$3:$C$25,2)," ")</f>
        <v>#N/A</v>
      </c>
      <c r="BH112" t="e">
        <f>IF(VLOOKUP(21,Formations!$A$3:$C$25,1)=21,VLOOKUP(21,Formations!$A$3:$C$25,3)," ")</f>
        <v>#N/A</v>
      </c>
      <c r="BL112" s="110">
        <f>MAX('Casing Review'!$D$42:$D$46)</f>
        <v>0</v>
      </c>
      <c r="BM112" s="111" t="s">
        <v>223</v>
      </c>
      <c r="BN112" s="64"/>
      <c r="BO112" s="64"/>
      <c r="BP112" s="163" t="str">
        <f t="shared" si="11"/>
        <v/>
      </c>
      <c r="BQ112" s="163" t="str">
        <f t="shared" si="12"/>
        <v/>
      </c>
      <c r="BR112" s="237" t="str">
        <f t="shared" si="13"/>
        <v/>
      </c>
      <c r="BS112" s="64"/>
      <c r="BT112" s="237" t="str">
        <f t="shared" si="14"/>
        <v/>
      </c>
      <c r="BU112" s="195" t="str">
        <f t="shared" si="15"/>
        <v/>
      </c>
      <c r="BV112" s="195" t="str">
        <f t="shared" si="16"/>
        <v/>
      </c>
      <c r="BW112" s="64"/>
      <c r="BX112" s="460" t="e">
        <f>IF(VLOOKUP(21,Formations!$A$3:$C$25,1)=21,VLOOKUP(21,Formations!$A$3:$C$25,2)," ")</f>
        <v>#N/A</v>
      </c>
      <c r="BY112" t="e">
        <f>IF(VLOOKUP(21,Formations!$A$3:$C$25,1)=21,VLOOKUP(21,Formations!$A$3:$C$25,3)," ")</f>
        <v>#N/A</v>
      </c>
      <c r="CD112" s="64"/>
      <c r="CE112" s="64"/>
      <c r="CF112" s="64"/>
      <c r="CG112" s="163" t="str">
        <f t="shared" si="18"/>
        <v/>
      </c>
      <c r="CH112" s="64"/>
      <c r="CI112" s="193"/>
      <c r="CJ112" s="64"/>
      <c r="CK112" s="194"/>
      <c r="CL112" s="64"/>
      <c r="CM112" s="195" t="str">
        <f t="shared" si="19"/>
        <v/>
      </c>
      <c r="CN112" s="64"/>
      <c r="CO112" s="460" t="e">
        <f>IF(VLOOKUP(21,Formations!$A$3:$C$25,1)=21,VLOOKUP(21,Formations!$A$3:$C$25,2)," ")</f>
        <v>#N/A</v>
      </c>
      <c r="CP112" t="e">
        <f>IF(VLOOKUP(21,Formations!$A$3:$C$25,1)=21,VLOOKUP(21,Formations!$A$3:$C$25,3)," ")</f>
        <v>#N/A</v>
      </c>
    </row>
    <row r="113" spans="1:94" x14ac:dyDescent="0.25">
      <c r="A113" s="64"/>
      <c r="B113" s="64"/>
      <c r="C113" s="64"/>
      <c r="D113" s="3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275"/>
      <c r="Q113" s="64"/>
      <c r="R113" s="82"/>
      <c r="S113" s="58"/>
      <c r="T113" s="64"/>
      <c r="U113" s="64"/>
      <c r="V113" s="64"/>
      <c r="W113" s="64"/>
      <c r="X113" s="64"/>
      <c r="Y113" s="64"/>
      <c r="Z113" s="64"/>
      <c r="AA113" s="64"/>
      <c r="AB113" s="39"/>
      <c r="AC113" s="64"/>
      <c r="AF113" s="64"/>
      <c r="AG113" s="64"/>
      <c r="AH113" s="64"/>
      <c r="AI113" s="163" t="str">
        <f t="shared" si="1"/>
        <v/>
      </c>
      <c r="AJ113" s="64"/>
      <c r="AK113" s="197"/>
      <c r="AL113" s="64"/>
      <c r="AM113" s="160" t="str">
        <f t="shared" si="2"/>
        <v/>
      </c>
      <c r="AN113" s="64"/>
      <c r="AO113" s="64"/>
      <c r="AP113" s="64"/>
      <c r="AQ113" s="460" t="e">
        <f>IF(VLOOKUP(22,Formations!$A$3:$C$25,1)=22,VLOOKUP(22,Formations!$A$3:$C$25,2)," ")</f>
        <v>#N/A</v>
      </c>
      <c r="AR113" t="e">
        <f>IF(VLOOKUP(22,Formations!$A$3:$C$25,1)=22,VLOOKUP(22,Formations!$A$3:$C$25,3)," ")</f>
        <v>#N/A</v>
      </c>
      <c r="AU113" s="112" t="e">
        <f>'Casing Review'!$B$34</f>
        <v>#N/A</v>
      </c>
      <c r="AV113" s="111" t="s">
        <v>224</v>
      </c>
      <c r="AW113" s="64"/>
      <c r="AX113" s="64"/>
      <c r="AY113" s="64"/>
      <c r="AZ113" s="196" t="str">
        <f t="shared" si="5"/>
        <v/>
      </c>
      <c r="BA113" s="237" t="str">
        <f t="shared" si="6"/>
        <v/>
      </c>
      <c r="BB113" s="64"/>
      <c r="BC113" s="237" t="str">
        <f t="shared" si="7"/>
        <v/>
      </c>
      <c r="BD113" s="196" t="str">
        <f t="shared" si="8"/>
        <v/>
      </c>
      <c r="BE113" s="64"/>
      <c r="BF113" s="64"/>
      <c r="BG113" s="460" t="e">
        <f>IF(VLOOKUP(22,Formations!$A$3:$C$25,1)=22,VLOOKUP(22,Formations!$A$3:$C$25,2)," ")</f>
        <v>#N/A</v>
      </c>
      <c r="BH113" t="e">
        <f>IF(VLOOKUP(22,Formations!$A$3:$C$25,1)=22,VLOOKUP(22,Formations!$A$3:$C$25,3)," ")</f>
        <v>#N/A</v>
      </c>
      <c r="BL113" s="112" t="e">
        <f>'Casing Review'!$B$49</f>
        <v>#N/A</v>
      </c>
      <c r="BM113" s="111" t="s">
        <v>224</v>
      </c>
      <c r="BN113" s="64"/>
      <c r="BO113" s="64"/>
      <c r="BP113" s="163" t="str">
        <f t="shared" si="11"/>
        <v/>
      </c>
      <c r="BQ113" s="163" t="str">
        <f t="shared" si="12"/>
        <v/>
      </c>
      <c r="BR113" s="237" t="str">
        <f t="shared" si="13"/>
        <v/>
      </c>
      <c r="BS113" s="64"/>
      <c r="BT113" s="237" t="str">
        <f t="shared" si="14"/>
        <v/>
      </c>
      <c r="BU113" s="195" t="str">
        <f t="shared" si="15"/>
        <v/>
      </c>
      <c r="BV113" s="195" t="str">
        <f t="shared" si="16"/>
        <v/>
      </c>
      <c r="BW113" s="64"/>
      <c r="BX113" s="460" t="e">
        <f>IF(VLOOKUP(22,Formations!$A$3:$C$25,1)=22,VLOOKUP(22,Formations!$A$3:$C$25,2)," ")</f>
        <v>#N/A</v>
      </c>
      <c r="BY113" t="e">
        <f>IF(VLOOKUP(22,Formations!$A$3:$C$25,1)=22,VLOOKUP(22,Formations!$A$3:$C$25,3)," ")</f>
        <v>#N/A</v>
      </c>
      <c r="CD113" s="64"/>
      <c r="CE113" s="64"/>
      <c r="CF113" s="64"/>
      <c r="CG113" s="163" t="str">
        <f t="shared" si="18"/>
        <v/>
      </c>
      <c r="CH113" s="64"/>
      <c r="CI113" s="193"/>
      <c r="CJ113" s="64"/>
      <c r="CK113" s="194"/>
      <c r="CL113" s="64"/>
      <c r="CM113" s="195" t="str">
        <f t="shared" si="19"/>
        <v/>
      </c>
      <c r="CN113" s="64"/>
      <c r="CO113" s="460" t="e">
        <f>IF(VLOOKUP(22,Formations!$A$3:$C$25,1)=22,VLOOKUP(22,Formations!$A$3:$C$25,2)," ")</f>
        <v>#N/A</v>
      </c>
      <c r="CP113" t="e">
        <f>IF(VLOOKUP(22,Formations!$A$3:$C$25,1)=22,VLOOKUP(22,Formations!$A$3:$C$25,3)," ")</f>
        <v>#N/A</v>
      </c>
    </row>
    <row r="114" spans="1:94" x14ac:dyDescent="0.25">
      <c r="A114" s="64"/>
      <c r="B114" s="64"/>
      <c r="C114" s="64"/>
      <c r="D114" s="3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275"/>
      <c r="Q114" s="64"/>
      <c r="R114" s="35"/>
      <c r="S114" s="36"/>
      <c r="T114" s="64"/>
      <c r="U114" s="64"/>
      <c r="V114" s="64"/>
      <c r="W114" s="64"/>
      <c r="X114" s="64"/>
      <c r="Y114" s="64"/>
      <c r="Z114" s="64"/>
      <c r="AA114" s="64"/>
      <c r="AB114" s="39"/>
      <c r="AC114" s="64"/>
      <c r="AF114" s="64"/>
      <c r="AG114" s="64"/>
      <c r="AH114" s="64"/>
      <c r="AI114" s="163" t="str">
        <f t="shared" si="1"/>
        <v/>
      </c>
      <c r="AJ114" s="64"/>
      <c r="AK114" s="197"/>
      <c r="AL114" s="64"/>
      <c r="AM114" s="160" t="str">
        <f t="shared" si="2"/>
        <v/>
      </c>
      <c r="AN114" s="64"/>
      <c r="AO114" s="64"/>
      <c r="AP114" s="64"/>
      <c r="AQ114" s="460" t="e">
        <f>IF(VLOOKUP(23,Formations!$A$3:$C$25,1)=23,VLOOKUP(23,Formations!$A$3:$C$25,2)," ")</f>
        <v>#N/A</v>
      </c>
      <c r="AR114" t="e">
        <f>IF(VLOOKUP(23,Formations!$A$3:$C$25,1)=23,VLOOKUP(23,Formations!$A$3:$C$25,3)," ")</f>
        <v>#N/A</v>
      </c>
      <c r="AU114" s="112">
        <f>'Casing Review'!$R$27</f>
        <v>0</v>
      </c>
      <c r="AV114" s="111" t="s">
        <v>225</v>
      </c>
      <c r="AW114" s="64"/>
      <c r="AX114" s="64"/>
      <c r="AY114" s="64"/>
      <c r="AZ114" s="196" t="str">
        <f t="shared" si="5"/>
        <v/>
      </c>
      <c r="BA114" s="237" t="str">
        <f t="shared" si="6"/>
        <v/>
      </c>
      <c r="BB114" s="64"/>
      <c r="BC114" s="237" t="str">
        <f t="shared" si="7"/>
        <v/>
      </c>
      <c r="BD114" s="196" t="str">
        <f t="shared" si="8"/>
        <v/>
      </c>
      <c r="BE114" s="64"/>
      <c r="BF114" s="64"/>
      <c r="BG114" s="460" t="e">
        <f>IF(VLOOKUP(23,Formations!$A$3:$C$25,1)=23,VLOOKUP(23,Formations!$A$3:$C$25,2)," ")</f>
        <v>#N/A</v>
      </c>
      <c r="BH114" t="e">
        <f>IF(VLOOKUP(23,Formations!$A$3:$C$25,1)=23,VLOOKUP(23,Formations!$A$3:$C$25,3)," ")</f>
        <v>#N/A</v>
      </c>
      <c r="BI114" s="116" t="s">
        <v>126</v>
      </c>
      <c r="BL114" s="112">
        <f>'Casing Review'!$R$42</f>
        <v>0</v>
      </c>
      <c r="BM114" s="111" t="s">
        <v>225</v>
      </c>
      <c r="BN114" s="64"/>
      <c r="BO114" s="64"/>
      <c r="BP114" s="163" t="str">
        <f t="shared" si="11"/>
        <v/>
      </c>
      <c r="BQ114" s="163" t="str">
        <f t="shared" si="12"/>
        <v/>
      </c>
      <c r="BR114" s="237" t="str">
        <f t="shared" si="13"/>
        <v/>
      </c>
      <c r="BS114" s="64"/>
      <c r="BT114" s="237" t="str">
        <f t="shared" si="14"/>
        <v/>
      </c>
      <c r="BU114" s="195" t="str">
        <f t="shared" si="15"/>
        <v/>
      </c>
      <c r="BV114" s="195" t="str">
        <f t="shared" si="16"/>
        <v/>
      </c>
      <c r="BW114" s="64"/>
      <c r="BX114" s="460" t="e">
        <f>IF(VLOOKUP(23,Formations!$A$3:$C$25,1)=23,VLOOKUP(23,Formations!$A$3:$C$25,2)," ")</f>
        <v>#N/A</v>
      </c>
      <c r="BY114" t="e">
        <f>IF(VLOOKUP(23,Formations!$A$3:$C$25,1)=23,VLOOKUP(23,Formations!$A$3:$C$25,3)," ")</f>
        <v>#N/A</v>
      </c>
      <c r="BZ114" s="116" t="str">
        <f>IF('Casing Review'!B69=0,"","TOL")</f>
        <v/>
      </c>
      <c r="CD114" s="64"/>
      <c r="CE114" s="64"/>
      <c r="CF114" s="64"/>
      <c r="CG114" s="163" t="str">
        <f t="shared" si="18"/>
        <v/>
      </c>
      <c r="CH114" s="64"/>
      <c r="CI114" s="193"/>
      <c r="CJ114" s="64"/>
      <c r="CK114" s="194"/>
      <c r="CL114" s="64"/>
      <c r="CM114" s="195" t="str">
        <f t="shared" si="19"/>
        <v/>
      </c>
      <c r="CN114" s="64"/>
      <c r="CO114" s="460" t="e">
        <f>IF(VLOOKUP(23,Formations!$A$3:$C$25,1)=23,VLOOKUP(23,Formations!$A$3:$C$25,2)," ")</f>
        <v>#N/A</v>
      </c>
      <c r="CP114" t="e">
        <f>IF(VLOOKUP(23,Formations!$A$3:$C$25,1)=23,VLOOKUP(23,Formations!$A$3:$C$25,3)," ")</f>
        <v>#N/A</v>
      </c>
    </row>
    <row r="115" spans="1:94" x14ac:dyDescent="0.25">
      <c r="A115" s="64"/>
      <c r="B115" s="64"/>
      <c r="C115" s="64"/>
      <c r="D115" s="3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275"/>
      <c r="Q115" s="64"/>
      <c r="R115" s="64"/>
      <c r="S115" s="41"/>
      <c r="T115" s="64"/>
      <c r="U115" s="64"/>
      <c r="V115" s="64"/>
      <c r="W115" s="64"/>
      <c r="X115" s="64"/>
      <c r="Y115" s="64"/>
      <c r="Z115" s="64"/>
      <c r="AA115" s="64"/>
      <c r="AB115" s="39"/>
      <c r="AC115" s="64"/>
      <c r="AF115" s="64"/>
      <c r="AG115" s="64"/>
      <c r="AH115" s="64"/>
      <c r="AI115" s="163" t="str">
        <f t="shared" si="1"/>
        <v/>
      </c>
      <c r="AJ115" s="64"/>
      <c r="AK115" s="197"/>
      <c r="AL115" s="64"/>
      <c r="AM115" s="160" t="str">
        <f t="shared" si="2"/>
        <v/>
      </c>
      <c r="AN115" s="64"/>
      <c r="AO115" s="64"/>
      <c r="AP115" s="64"/>
      <c r="AQ115" s="460" t="e">
        <f>IF(VLOOKUP(24,Formations!$A$3:$C$25,1)=24,VLOOKUP(24,Formations!$A$3:$C$25,2)," ")</f>
        <v>#N/A</v>
      </c>
      <c r="AR115" t="e">
        <f>IF(VLOOKUP(24,Formations!$A$3:$C$25,1)=24,VLOOKUP(24,Formations!$A$3:$C$25,3)," ")</f>
        <v>#N/A</v>
      </c>
      <c r="AU115" s="112">
        <f>'Casing Review'!$R$28</f>
        <v>0</v>
      </c>
      <c r="AV115" s="134" t="s">
        <v>226</v>
      </c>
      <c r="AW115" s="64"/>
      <c r="AX115" s="64"/>
      <c r="AY115" s="64"/>
      <c r="AZ115" s="196" t="str">
        <f t="shared" si="5"/>
        <v/>
      </c>
      <c r="BA115" s="237" t="str">
        <f t="shared" si="6"/>
        <v/>
      </c>
      <c r="BB115" s="64"/>
      <c r="BC115" s="237" t="str">
        <f t="shared" si="7"/>
        <v/>
      </c>
      <c r="BD115" s="196" t="str">
        <f t="shared" si="8"/>
        <v/>
      </c>
      <c r="BE115" s="64"/>
      <c r="BF115" s="113"/>
      <c r="BG115" s="460" t="e">
        <f>IF(VLOOKUP(24,Formations!$A$3:$C$25,1)=24,VLOOKUP(24,Formations!$A$3:$C$25,2)," ")</f>
        <v>#N/A</v>
      </c>
      <c r="BH115" t="e">
        <f>IF(VLOOKUP(24,Formations!$A$3:$C$25,1)=24,VLOOKUP(24,Formations!$A$3:$C$25,3)," ")</f>
        <v>#N/A</v>
      </c>
      <c r="BI115" s="110">
        <f>'Casing Review'!B69</f>
        <v>0</v>
      </c>
      <c r="BJ115" s="111" t="s">
        <v>223</v>
      </c>
      <c r="BL115" s="112">
        <f>'Casing Review'!$R$43</f>
        <v>0</v>
      </c>
      <c r="BM115" s="134" t="s">
        <v>226</v>
      </c>
      <c r="BN115" s="64"/>
      <c r="BO115" s="64"/>
      <c r="BP115" s="163" t="str">
        <f t="shared" si="11"/>
        <v/>
      </c>
      <c r="BQ115" s="163" t="str">
        <f t="shared" si="12"/>
        <v/>
      </c>
      <c r="BR115" s="237" t="str">
        <f t="shared" si="13"/>
        <v/>
      </c>
      <c r="BS115" s="64"/>
      <c r="BT115" s="237" t="str">
        <f t="shared" si="14"/>
        <v/>
      </c>
      <c r="BU115" s="195" t="str">
        <f t="shared" si="15"/>
        <v/>
      </c>
      <c r="BV115" s="195" t="str">
        <f t="shared" si="16"/>
        <v/>
      </c>
      <c r="BX115" s="460" t="e">
        <f>IF(VLOOKUP(24,Formations!$A$3:$C$25,1)=24,VLOOKUP(24,Formations!$A$3:$C$25,2)," ")</f>
        <v>#N/A</v>
      </c>
      <c r="BY115" t="e">
        <f>IF(VLOOKUP(24,Formations!$A$3:$C$25,1)=24,VLOOKUP(24,Formations!$A$3:$C$25,3)," ")</f>
        <v>#N/A</v>
      </c>
      <c r="BZ115" s="110">
        <f>'Casing Review'!B69</f>
        <v>0</v>
      </c>
      <c r="CA115" s="111" t="str">
        <f>IF('Casing Review'!B69=0,"","'  MD")</f>
        <v/>
      </c>
      <c r="CE115" s="64"/>
      <c r="CF115" s="64"/>
      <c r="CG115" s="64"/>
      <c r="CH115" s="64"/>
      <c r="CI115" s="193"/>
      <c r="CJ115" s="114"/>
      <c r="CK115" s="194"/>
      <c r="CL115" s="64"/>
      <c r="CM115" s="64"/>
      <c r="CN115" s="115"/>
      <c r="CO115" s="460" t="e">
        <f>IF(VLOOKUP(24,Formations!$A$3:$C$25,1)=24,VLOOKUP(24,Formations!$A$3:$C$25,2)," ")</f>
        <v>#N/A</v>
      </c>
      <c r="CP115" t="e">
        <f>IF(VLOOKUP(24,Formations!$A$3:$C$25,1)=24,VLOOKUP(24,Formations!$A$3:$C$25,3)," ")</f>
        <v>#N/A</v>
      </c>
    </row>
    <row r="116" spans="1:94" x14ac:dyDescent="0.25">
      <c r="A116" s="64"/>
      <c r="B116" s="64"/>
      <c r="C116" s="64"/>
      <c r="D116" s="3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275"/>
      <c r="Q116" s="64"/>
      <c r="R116" s="64"/>
      <c r="S116" s="103"/>
      <c r="T116" s="64"/>
      <c r="U116" s="64"/>
      <c r="V116" s="64"/>
      <c r="W116" s="64"/>
      <c r="X116" s="64"/>
      <c r="Y116" s="64"/>
      <c r="Z116" s="64"/>
      <c r="AA116" s="64"/>
      <c r="AB116" s="39"/>
      <c r="AC116" s="64"/>
      <c r="AF116" s="64"/>
      <c r="AG116" s="64"/>
      <c r="AH116" s="64"/>
      <c r="AI116" s="163" t="str">
        <f t="shared" si="1"/>
        <v/>
      </c>
      <c r="AJ116" s="64"/>
      <c r="AK116" s="197"/>
      <c r="AL116" s="64"/>
      <c r="AM116" s="160" t="str">
        <f t="shared" si="2"/>
        <v/>
      </c>
      <c r="AN116" s="64"/>
      <c r="AO116" s="64"/>
      <c r="AP116" s="64"/>
      <c r="AQ116" s="460" t="e">
        <f>IF(VLOOKUP(25,Formations!$A$3:$C$25,1)=25,VLOOKUP(25,Formations!$A$3:$C$25,2)," ")</f>
        <v>#N/A</v>
      </c>
      <c r="AR116" t="e">
        <f>IF(VLOOKUP(25,Formations!$A$3:$C$25,1)=25,VLOOKUP(25,Formations!$A$3:$C$25,3)," ")</f>
        <v>#N/A</v>
      </c>
      <c r="AU116" s="152">
        <f>'Casing Review'!B35</f>
        <v>4</v>
      </c>
      <c r="AV116" s="39" t="s">
        <v>227</v>
      </c>
      <c r="AW116" s="64"/>
      <c r="AX116" s="64"/>
      <c r="AY116" s="64"/>
      <c r="AZ116" s="196" t="str">
        <f t="shared" si="5"/>
        <v/>
      </c>
      <c r="BA116" s="237" t="str">
        <f t="shared" si="6"/>
        <v/>
      </c>
      <c r="BB116" s="64"/>
      <c r="BC116" s="237" t="str">
        <f t="shared" si="7"/>
        <v/>
      </c>
      <c r="BD116" s="196" t="str">
        <f t="shared" si="8"/>
        <v/>
      </c>
      <c r="BE116" s="64"/>
      <c r="BF116" s="64"/>
      <c r="BG116" s="460" t="e">
        <f>IF(VLOOKUP(25,Formations!$A$3:$C$25,1)=25,VLOOKUP(25,Formations!$A$3:$C$25,2)," ")</f>
        <v>#N/A</v>
      </c>
      <c r="BH116" t="e">
        <f>IF(VLOOKUP(25,Formations!$A$3:$C$25,1)=25,VLOOKUP(25,Formations!$A$3:$C$25,3)," ")</f>
        <v>#N/A</v>
      </c>
      <c r="BI116" s="112" t="e">
        <f>'Casing Review'!D69</f>
        <v>#N/A</v>
      </c>
      <c r="BJ116" s="111" t="s">
        <v>229</v>
      </c>
      <c r="BL116" s="152">
        <f>'Casing Review'!B50</f>
        <v>4</v>
      </c>
      <c r="BM116" s="39" t="s">
        <v>227</v>
      </c>
      <c r="BN116" s="64"/>
      <c r="BO116" s="64"/>
      <c r="BP116" s="163" t="str">
        <f t="shared" si="11"/>
        <v/>
      </c>
      <c r="BQ116" s="163" t="str">
        <f t="shared" si="12"/>
        <v/>
      </c>
      <c r="BR116" s="237" t="str">
        <f t="shared" si="13"/>
        <v/>
      </c>
      <c r="BS116" s="64"/>
      <c r="BT116" s="237" t="str">
        <f t="shared" si="14"/>
        <v/>
      </c>
      <c r="BU116" s="195" t="str">
        <f t="shared" si="15"/>
        <v/>
      </c>
      <c r="BV116" s="195" t="str">
        <f t="shared" si="16"/>
        <v/>
      </c>
      <c r="BW116" s="64"/>
      <c r="BX116" s="460" t="e">
        <f>IF(VLOOKUP(25,Formations!$A$3:$C$25,1)=25,VLOOKUP(25,Formations!$A$3:$C$25,2)," ")</f>
        <v>#N/A</v>
      </c>
      <c r="BY116" t="e">
        <f>IF(VLOOKUP(25,Formations!$A$3:$C$25,1)=25,VLOOKUP(25,Formations!$A$3:$C$25,3)," ")</f>
        <v>#N/A</v>
      </c>
      <c r="BZ116" s="112" t="str">
        <f>IF('Casing Review'!B69=0,"",'Casing Review'!D69)</f>
        <v/>
      </c>
      <c r="CA116" s="111" t="str">
        <f>IF('Casing Review'!B69=0,"","'  TVD")</f>
        <v/>
      </c>
      <c r="CE116" s="64"/>
      <c r="CF116" s="64"/>
      <c r="CG116" s="64"/>
      <c r="CH116" s="64"/>
      <c r="CI116" s="193"/>
      <c r="CJ116" s="114"/>
      <c r="CK116" s="194"/>
      <c r="CL116" s="64"/>
      <c r="CM116" s="64"/>
      <c r="CN116" s="64"/>
      <c r="CO116" s="460" t="e">
        <f>IF(VLOOKUP(25,Formations!$A$3:$C$25,1)=25,VLOOKUP(25,Formations!$A$3:$C$25,2)," ")</f>
        <v>#N/A</v>
      </c>
      <c r="CP116" t="e">
        <f>IF(VLOOKUP(25,Formations!$A$3:$C$25,1)=25,VLOOKUP(25,Formations!$A$3:$C$25,3)," ")</f>
        <v>#N/A</v>
      </c>
    </row>
    <row r="117" spans="1:94" x14ac:dyDescent="0.25">
      <c r="A117" s="64"/>
      <c r="B117" s="64"/>
      <c r="C117" s="64"/>
      <c r="D117" s="3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275"/>
      <c r="Q117" s="275"/>
      <c r="R117" s="275"/>
      <c r="S117" s="275"/>
      <c r="T117" s="275"/>
      <c r="U117" s="275"/>
      <c r="V117" s="275"/>
      <c r="W117" s="275"/>
      <c r="X117" s="275"/>
      <c r="Y117" s="275"/>
      <c r="Z117" s="275"/>
      <c r="AA117" s="64"/>
      <c r="AB117" s="39"/>
      <c r="AC117" s="64"/>
      <c r="AF117" s="64"/>
      <c r="AG117" s="64"/>
      <c r="AH117" s="64"/>
      <c r="AI117" s="64"/>
      <c r="AJ117" s="64"/>
      <c r="AK117" s="197"/>
      <c r="AL117" s="64"/>
      <c r="AM117" s="64"/>
      <c r="AN117" s="64"/>
      <c r="AO117" s="64"/>
      <c r="AP117" s="64"/>
      <c r="AQ117" s="460" t="e">
        <f>IF(VLOOKUP(26,Formations!$A$3:$C$25,1)=26,VLOOKUP(26,Formations!$A$3:$C$25,2)," ")</f>
        <v>#N/A</v>
      </c>
      <c r="AR117" t="e">
        <f>IF(VLOOKUP(26,Formations!$A$3:$C$25,1)=26,VLOOKUP(26,Formations!$A$3:$C$25,3)," ")</f>
        <v>#N/A</v>
      </c>
      <c r="AU117" s="152">
        <f>'Casing Review'!$B$27</f>
        <v>0</v>
      </c>
      <c r="AV117" s="151" t="s">
        <v>228</v>
      </c>
      <c r="AW117" s="64"/>
      <c r="AX117" s="64"/>
      <c r="AY117" s="64"/>
      <c r="AZ117" s="196" t="str">
        <f t="shared" si="5"/>
        <v/>
      </c>
      <c r="BA117" s="237" t="str">
        <f t="shared" si="6"/>
        <v/>
      </c>
      <c r="BB117" s="64"/>
      <c r="BC117" s="237" t="str">
        <f t="shared" si="7"/>
        <v/>
      </c>
      <c r="BD117" s="196" t="str">
        <f t="shared" si="8"/>
        <v/>
      </c>
      <c r="BE117" s="64"/>
      <c r="BF117" s="64"/>
      <c r="BG117" s="460" t="e">
        <f>IF(VLOOKUP(26,Formations!$A$3:$C$25,1)=26,VLOOKUP(26,Formations!$A$3:$C$25,2)," ")</f>
        <v>#N/A</v>
      </c>
      <c r="BH117" t="e">
        <f>IF(VLOOKUP(26,Formations!$A$3:$C$25,1)=26,VLOOKUP(26,Formations!$A$3:$C$25,3)," ")</f>
        <v>#N/A</v>
      </c>
      <c r="BL117" s="152">
        <f>'Casing Review'!$B$42</f>
        <v>0</v>
      </c>
      <c r="BM117" s="151" t="s">
        <v>228</v>
      </c>
      <c r="BN117" s="64"/>
      <c r="BO117" s="64"/>
      <c r="BP117" s="163" t="str">
        <f t="shared" si="11"/>
        <v/>
      </c>
      <c r="BQ117" s="163" t="str">
        <f t="shared" si="12"/>
        <v/>
      </c>
      <c r="BR117" s="237" t="str">
        <f t="shared" si="13"/>
        <v/>
      </c>
      <c r="BS117" s="64"/>
      <c r="BT117" s="237" t="str">
        <f t="shared" si="14"/>
        <v/>
      </c>
      <c r="BU117" s="195" t="str">
        <f t="shared" si="15"/>
        <v/>
      </c>
      <c r="BV117" s="195" t="str">
        <f t="shared" si="16"/>
        <v/>
      </c>
      <c r="BW117" s="64"/>
      <c r="BX117" s="460" t="e">
        <f>IF(VLOOKUP(26,Formations!$A$3:$C$25,1)=26,VLOOKUP(26,Formations!$A$3:$C$25,2)," ")</f>
        <v>#N/A</v>
      </c>
      <c r="BY117" t="e">
        <f>IF(VLOOKUP(26,Formations!$A$3:$C$25,1)=26,VLOOKUP(26,Formations!$A$3:$C$25,3)," ")</f>
        <v>#N/A</v>
      </c>
      <c r="CH117" s="64"/>
      <c r="CI117" s="193"/>
      <c r="CK117" s="194"/>
      <c r="CL117" s="64"/>
      <c r="CO117" s="460" t="e">
        <f>IF(VLOOKUP(26,Formations!$A$3:$C$25,1)=26,VLOOKUP(26,Formations!$A$3:$C$25,2)," ")</f>
        <v>#N/A</v>
      </c>
      <c r="CP117" t="e">
        <f>IF(VLOOKUP(26,Formations!$A$3:$C$25,1)=26,VLOOKUP(26,Formations!$A$3:$C$25,3)," ")</f>
        <v>#N/A</v>
      </c>
    </row>
    <row r="118" spans="1:94" x14ac:dyDescent="0.25">
      <c r="A118" s="64"/>
      <c r="B118" s="64"/>
      <c r="C118" s="64"/>
      <c r="D118" s="3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275"/>
      <c r="Q118" s="275"/>
      <c r="R118" s="275"/>
      <c r="S118" s="275"/>
      <c r="T118" s="275"/>
      <c r="U118" s="275"/>
      <c r="V118" s="275"/>
      <c r="W118" s="275"/>
      <c r="X118" s="275"/>
      <c r="Y118" s="275"/>
      <c r="Z118" s="275"/>
      <c r="AA118" s="64"/>
      <c r="AB118" s="39"/>
      <c r="AC118" s="64"/>
      <c r="AF118" s="64"/>
      <c r="AG118" s="64"/>
      <c r="AH118" s="64"/>
      <c r="AI118" s="64"/>
      <c r="AJ118" s="64"/>
      <c r="AK118" s="197"/>
      <c r="AL118" s="64"/>
      <c r="AM118" s="64"/>
      <c r="AN118" s="64"/>
      <c r="AO118" s="64"/>
      <c r="AP118" s="64"/>
      <c r="AQ118" s="460" t="e">
        <f>IF(VLOOKUP(27,Formations!$A$3:$C$25,1)=27,VLOOKUP(27,Formations!$A$3:$C$25,2)," ")</f>
        <v>#N/A</v>
      </c>
      <c r="AR118" t="e">
        <f>IF(VLOOKUP(27,Formations!$A$3:$C$25,1)=27,VLOOKUP(27,Formations!$A$3:$C$25,3)," ")</f>
        <v>#N/A</v>
      </c>
      <c r="AW118" s="64"/>
      <c r="AX118" s="64"/>
      <c r="AY118" s="64"/>
      <c r="AZ118" s="196" t="str">
        <f t="shared" si="5"/>
        <v/>
      </c>
      <c r="BA118" s="237" t="str">
        <f t="shared" si="6"/>
        <v/>
      </c>
      <c r="BB118" s="64"/>
      <c r="BC118" s="237" t="str">
        <f t="shared" si="7"/>
        <v/>
      </c>
      <c r="BD118" s="196" t="str">
        <f t="shared" si="8"/>
        <v/>
      </c>
      <c r="BE118" s="64"/>
      <c r="BF118" s="64"/>
      <c r="BG118" s="460" t="e">
        <f>IF(VLOOKUP(27,Formations!$A$3:$C$25,1)=27,VLOOKUP(27,Formations!$A$3:$C$25,2)," ")</f>
        <v>#N/A</v>
      </c>
      <c r="BH118" t="e">
        <f>IF(VLOOKUP(27,Formations!$A$3:$C$25,1)=27,VLOOKUP(27,Formations!$A$3:$C$25,3)," ")</f>
        <v>#N/A</v>
      </c>
      <c r="BN118" s="64"/>
      <c r="BO118" s="64"/>
      <c r="BP118" s="163" t="str">
        <f t="shared" si="11"/>
        <v/>
      </c>
      <c r="BQ118" s="163" t="str">
        <f t="shared" si="12"/>
        <v/>
      </c>
      <c r="BR118" s="237" t="str">
        <f t="shared" si="13"/>
        <v/>
      </c>
      <c r="BS118" s="64"/>
      <c r="BT118" s="237" t="str">
        <f t="shared" si="14"/>
        <v/>
      </c>
      <c r="BU118" s="195" t="str">
        <f t="shared" si="15"/>
        <v/>
      </c>
      <c r="BV118" s="195" t="str">
        <f t="shared" si="16"/>
        <v/>
      </c>
      <c r="BW118" s="64"/>
      <c r="BX118" s="460" t="e">
        <f>IF(VLOOKUP(27,Formations!$A$3:$C$25,1)=27,VLOOKUP(27,Formations!$A$3:$C$25,2)," ")</f>
        <v>#N/A</v>
      </c>
      <c r="BY118" t="e">
        <f>IF(VLOOKUP(27,Formations!$A$3:$C$25,1)=27,VLOOKUP(27,Formations!$A$3:$C$25,3)," ")</f>
        <v>#N/A</v>
      </c>
      <c r="CH118" s="64"/>
      <c r="CI118" s="193"/>
      <c r="CK118" s="194"/>
      <c r="CL118" s="64"/>
      <c r="CO118" s="460" t="e">
        <f>IF(VLOOKUP(27,Formations!$A$3:$C$25,1)=27,VLOOKUP(27,Formations!$A$3:$C$25,2)," ")</f>
        <v>#N/A</v>
      </c>
      <c r="CP118" t="e">
        <f>IF(VLOOKUP(27,Formations!$A$3:$C$25,1)=27,VLOOKUP(27,Formations!$A$3:$C$25,3)," ")</f>
        <v>#N/A</v>
      </c>
    </row>
    <row r="119" spans="1:94" x14ac:dyDescent="0.25">
      <c r="A119" s="64"/>
      <c r="B119" s="64"/>
      <c r="C119" s="64"/>
      <c r="D119" s="3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275"/>
      <c r="Q119" s="275"/>
      <c r="R119" s="275"/>
      <c r="S119" s="275"/>
      <c r="T119" s="275"/>
      <c r="U119" s="275"/>
      <c r="V119" s="275"/>
      <c r="W119" s="275"/>
      <c r="X119" s="275"/>
      <c r="Y119" s="275"/>
      <c r="Z119" s="275"/>
      <c r="AA119" s="64"/>
      <c r="AB119" s="39"/>
      <c r="AC119" s="246"/>
      <c r="AD119" s="246" t="str">
        <f>IF('Casing Review'!$E$9="y","HL @","")</f>
        <v>HL @</v>
      </c>
      <c r="AE119" s="249">
        <f>IF('Casing Review'!$E$9="y",DxSurvey!C9,"")</f>
        <v>0</v>
      </c>
      <c r="AF119" s="685" t="str">
        <f>IF('Casing Review'!$E$9="y","' MD","")</f>
        <v>' MD</v>
      </c>
      <c r="AG119" s="679"/>
      <c r="AH119" s="64"/>
      <c r="AI119" s="64"/>
      <c r="AJ119" s="64"/>
      <c r="AK119" s="197"/>
      <c r="AL119" s="64"/>
      <c r="AM119" s="64"/>
      <c r="AN119" s="64"/>
      <c r="AO119" s="64"/>
      <c r="AP119" s="64"/>
      <c r="AQ119" s="460" t="e">
        <f>IF(VLOOKUP(28,Formations!$A$3:$C$25,1)=28,VLOOKUP(28,Formations!$A$3:$C$25,2)," ")</f>
        <v>#N/A</v>
      </c>
      <c r="AR119" t="e">
        <f>IF(VLOOKUP(28,Formations!$A$3:$C$25,1)=28,VLOOKUP(28,Formations!$A$3:$C$25,3)," ")</f>
        <v>#N/A</v>
      </c>
      <c r="AU119" s="460" t="str">
        <f>AD119</f>
        <v>HL @</v>
      </c>
      <c r="AV119" s="446">
        <f>AE119</f>
        <v>0</v>
      </c>
      <c r="AW119" s="686" t="str">
        <f>IF('Casing Review'!$E$9="y","' MD","")</f>
        <v>' MD</v>
      </c>
      <c r="AX119" s="679"/>
      <c r="AY119" s="64"/>
      <c r="AZ119" s="196" t="str">
        <f t="shared" si="5"/>
        <v/>
      </c>
      <c r="BA119" s="237" t="str">
        <f t="shared" si="6"/>
        <v/>
      </c>
      <c r="BB119" s="64"/>
      <c r="BC119" s="237" t="str">
        <f t="shared" si="7"/>
        <v/>
      </c>
      <c r="BD119" s="196" t="str">
        <f t="shared" si="8"/>
        <v/>
      </c>
      <c r="BE119" s="64"/>
      <c r="BF119" s="64"/>
      <c r="BG119" s="460" t="e">
        <f>IF(VLOOKUP(28,Formations!$A$3:$C$25,1)=28,VLOOKUP(28,Formations!$A$3:$C$25,2)," ")</f>
        <v>#N/A</v>
      </c>
      <c r="BH119" t="e">
        <f>IF(VLOOKUP(28,Formations!$A$3:$C$25,1)=28,VLOOKUP(28,Formations!$A$3:$C$25,3)," ")</f>
        <v>#N/A</v>
      </c>
      <c r="BL119" s="460" t="str">
        <f>AU119</f>
        <v>HL @</v>
      </c>
      <c r="BM119" s="446">
        <f>AV119</f>
        <v>0</v>
      </c>
      <c r="BN119" s="685" t="str">
        <f>IF('Casing Review'!$E$9="y","' MD","")</f>
        <v>' MD</v>
      </c>
      <c r="BO119" s="679"/>
      <c r="BP119" s="163" t="str">
        <f t="shared" si="11"/>
        <v/>
      </c>
      <c r="BQ119" s="163" t="str">
        <f t="shared" si="12"/>
        <v/>
      </c>
      <c r="BR119" s="237" t="str">
        <f t="shared" si="13"/>
        <v/>
      </c>
      <c r="BS119" s="64"/>
      <c r="BT119" s="237" t="str">
        <f t="shared" si="14"/>
        <v/>
      </c>
      <c r="BU119" s="195" t="str">
        <f t="shared" si="15"/>
        <v/>
      </c>
      <c r="BV119" s="195" t="str">
        <f t="shared" si="16"/>
        <v/>
      </c>
      <c r="BW119" s="64"/>
      <c r="BX119" s="460" t="e">
        <f>IF(VLOOKUP(28,Formations!$A$3:$C$25,1)=28,VLOOKUP(28,Formations!$A$3:$C$25,2)," ")</f>
        <v>#N/A</v>
      </c>
      <c r="BY119" t="e">
        <f>IF(VLOOKUP(28,Formations!$A$3:$C$25,1)=28,VLOOKUP(28,Formations!$A$3:$C$25,3)," ")</f>
        <v>#N/A</v>
      </c>
      <c r="CC119" s="460" t="str">
        <f>BL119</f>
        <v>HL @</v>
      </c>
      <c r="CD119" s="446">
        <f>BM119</f>
        <v>0</v>
      </c>
      <c r="CE119" s="685" t="str">
        <f>IF('Casing Review'!$E$9="y","' MD","")</f>
        <v>' MD</v>
      </c>
      <c r="CF119" s="679"/>
      <c r="CH119" s="64"/>
      <c r="CI119" s="193"/>
      <c r="CK119" s="194"/>
      <c r="CL119" s="64"/>
      <c r="CO119" s="460" t="e">
        <f>IF(VLOOKUP(28,Formations!$A$3:$C$25,1)=28,VLOOKUP(28,Formations!$A$3:$C$25,2)," ")</f>
        <v>#N/A</v>
      </c>
      <c r="CP119" t="e">
        <f>IF(VLOOKUP(28,Formations!$A$3:$C$25,1)=28,VLOOKUP(28,Formations!$A$3:$C$25,3)," ")</f>
        <v>#N/A</v>
      </c>
    </row>
    <row r="120" spans="1:94" x14ac:dyDescent="0.25">
      <c r="A120" s="64"/>
      <c r="B120" s="64"/>
      <c r="C120" s="278"/>
      <c r="D120" s="175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275"/>
      <c r="Q120" s="275"/>
      <c r="R120" s="275"/>
      <c r="S120" s="275"/>
      <c r="T120" s="275"/>
      <c r="U120" s="275"/>
      <c r="V120" s="275"/>
      <c r="W120" s="275"/>
      <c r="X120" s="275"/>
      <c r="Y120" s="275"/>
      <c r="Z120" s="275"/>
      <c r="AA120" s="64"/>
      <c r="AB120" s="39"/>
      <c r="AC120" s="247" t="str">
        <f>IF('Casing Review'!$E$9="y",DxSurvey!U46,"")</f>
        <v/>
      </c>
      <c r="AD120" s="574" t="str">
        <f>IF('Casing Review'!$E$9="y",DxSurvey!V46,"")</f>
        <v/>
      </c>
      <c r="AE120" s="247" t="str">
        <f>IF('Casing Review'!$E$9="y",DxSurvey!W46,"")</f>
        <v/>
      </c>
      <c r="AF120" s="684" t="str">
        <f>IF('Casing Review'!$E$9="y",DxSurvey!X46,"")</f>
        <v/>
      </c>
      <c r="AG120" s="679"/>
      <c r="AH120" s="64"/>
      <c r="AI120" s="64"/>
      <c r="AJ120" s="64"/>
      <c r="AK120" s="197"/>
      <c r="AL120" s="64"/>
      <c r="AM120" s="64"/>
      <c r="AN120" s="64"/>
      <c r="AO120" s="64"/>
      <c r="AP120" s="64"/>
      <c r="AQ120" s="460" t="e">
        <f>IF(VLOOKUP(29,Formations!$A$3:$C$25,1)=29,VLOOKUP(29,Formations!$A$3:$C$25,2)," ")</f>
        <v>#N/A</v>
      </c>
      <c r="AR120" t="e">
        <f>IF(VLOOKUP(29,Formations!$A$3:$C$25,1)=29,VLOOKUP(29,Formations!$A$3:$C$25,3)," ")</f>
        <v>#N/A</v>
      </c>
      <c r="AT120" s="446" t="str">
        <f>AC120</f>
        <v/>
      </c>
      <c r="AU120" t="str">
        <f>AD120</f>
        <v/>
      </c>
      <c r="AV120" s="572" t="str">
        <f>AE120</f>
        <v/>
      </c>
      <c r="AW120" s="692" t="str">
        <f>AF120</f>
        <v/>
      </c>
      <c r="AX120" s="679"/>
      <c r="AY120" s="64"/>
      <c r="AZ120" s="196" t="str">
        <f t="shared" si="5"/>
        <v/>
      </c>
      <c r="BA120" s="237" t="str">
        <f t="shared" si="6"/>
        <v/>
      </c>
      <c r="BB120" s="64"/>
      <c r="BC120" s="237" t="str">
        <f t="shared" si="7"/>
        <v/>
      </c>
      <c r="BD120" s="196" t="str">
        <f t="shared" si="8"/>
        <v/>
      </c>
      <c r="BE120" s="64"/>
      <c r="BF120" s="64"/>
      <c r="BG120" s="460" t="e">
        <f>IF(VLOOKUP(29,Formations!$A$3:$C$25,1)=29,VLOOKUP(29,Formations!$A$3:$C$25,2)," ")</f>
        <v>#N/A</v>
      </c>
      <c r="BH120" t="e">
        <f>IF(VLOOKUP(29,Formations!$A$3:$C$25,1)=29,VLOOKUP(29,Formations!$A$3:$C$25,3)," ")</f>
        <v>#N/A</v>
      </c>
      <c r="BK120" s="446" t="str">
        <f>AT120</f>
        <v/>
      </c>
      <c r="BL120" t="str">
        <f>AU120</f>
        <v/>
      </c>
      <c r="BM120" s="572" t="str">
        <f>AV120</f>
        <v/>
      </c>
      <c r="BN120" s="684" t="str">
        <f>AW120</f>
        <v/>
      </c>
      <c r="BO120" s="679"/>
      <c r="BP120" s="163" t="str">
        <f t="shared" si="11"/>
        <v/>
      </c>
      <c r="BQ120" s="163" t="str">
        <f t="shared" si="12"/>
        <v/>
      </c>
      <c r="BR120" s="237" t="str">
        <f t="shared" si="13"/>
        <v/>
      </c>
      <c r="BS120" s="64"/>
      <c r="BT120" s="237" t="str">
        <f t="shared" si="14"/>
        <v/>
      </c>
      <c r="BU120" s="195" t="str">
        <f t="shared" si="15"/>
        <v/>
      </c>
      <c r="BV120" s="195" t="str">
        <f t="shared" si="16"/>
        <v/>
      </c>
      <c r="BW120" s="64"/>
      <c r="BX120" s="460" t="e">
        <f>IF(VLOOKUP(29,Formations!$A$3:$C$25,1)=29,VLOOKUP(29,Formations!$A$3:$C$25,2)," ")</f>
        <v>#N/A</v>
      </c>
      <c r="BY120" t="e">
        <f>IF(VLOOKUP(29,Formations!$A$3:$C$25,1)=29,VLOOKUP(29,Formations!$A$3:$C$25,3)," ")</f>
        <v>#N/A</v>
      </c>
      <c r="CB120" s="446" t="str">
        <f>BK120</f>
        <v/>
      </c>
      <c r="CC120" t="str">
        <f>BL120</f>
        <v/>
      </c>
      <c r="CD120" s="572" t="str">
        <f>BM120</f>
        <v/>
      </c>
      <c r="CE120" s="684" t="str">
        <f>BN120</f>
        <v/>
      </c>
      <c r="CF120" s="679"/>
      <c r="CH120" s="64"/>
      <c r="CI120" s="193"/>
      <c r="CK120" s="194"/>
      <c r="CL120" s="64"/>
      <c r="CO120" s="460" t="e">
        <f>IF(VLOOKUP(29,Formations!$A$3:$C$25,1)=29,VLOOKUP(29,Formations!$A$3:$C$25,2)," ")</f>
        <v>#N/A</v>
      </c>
      <c r="CP120" t="e">
        <f>IF(VLOOKUP(29,Formations!$A$3:$C$25,1)=29,VLOOKUP(29,Formations!$A$3:$C$25,3)," ")</f>
        <v>#N/A</v>
      </c>
    </row>
    <row r="121" spans="1:94" x14ac:dyDescent="0.25">
      <c r="A121" s="64"/>
      <c r="B121" s="64"/>
      <c r="C121" s="278"/>
      <c r="D121" s="175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275"/>
      <c r="Q121" s="275"/>
      <c r="R121" s="275"/>
      <c r="S121" s="275"/>
      <c r="T121" s="275"/>
      <c r="U121" s="275"/>
      <c r="V121" s="275"/>
      <c r="W121" s="275"/>
      <c r="X121" s="275"/>
      <c r="Y121" s="275"/>
      <c r="Z121" s="275"/>
      <c r="AA121" s="64"/>
      <c r="AB121" s="39"/>
      <c r="AC121" s="247"/>
      <c r="AD121" s="574"/>
      <c r="AE121" s="247"/>
      <c r="AF121" s="684"/>
      <c r="AG121" s="679"/>
      <c r="AH121" s="64"/>
      <c r="AI121" s="64"/>
      <c r="AJ121" s="64"/>
      <c r="AK121" s="197"/>
      <c r="AL121" s="64"/>
      <c r="AM121" s="64"/>
      <c r="AN121" s="64"/>
      <c r="AO121" s="64"/>
      <c r="AP121" s="64"/>
      <c r="AQ121" s="460" t="e">
        <f>IF(VLOOKUP(30,Formations!$A$3:$C$25,1)=30,VLOOKUP(30,Formations!$A$3:$C$25,2)," ")</f>
        <v>#N/A</v>
      </c>
      <c r="AR121" t="e">
        <f>IF(VLOOKUP(30,Formations!$A$3:$C$25,1)=30,VLOOKUP(30,Formations!$A$3:$C$25,3)," ")</f>
        <v>#N/A</v>
      </c>
      <c r="AT121" s="446"/>
      <c r="AV121" s="572"/>
      <c r="AW121" s="692"/>
      <c r="AX121" s="679"/>
      <c r="AY121" s="64"/>
      <c r="AZ121" s="196" t="str">
        <f t="shared" si="5"/>
        <v/>
      </c>
      <c r="BA121" s="237" t="str">
        <f t="shared" si="6"/>
        <v/>
      </c>
      <c r="BB121" s="64"/>
      <c r="BC121" s="237" t="str">
        <f t="shared" si="7"/>
        <v/>
      </c>
      <c r="BD121" s="196" t="str">
        <f t="shared" si="8"/>
        <v/>
      </c>
      <c r="BE121" s="64"/>
      <c r="BF121" s="64"/>
      <c r="BG121" s="460" t="e">
        <f>IF(VLOOKUP(30,Formations!$A$3:$C$25,1)=30,VLOOKUP(30,Formations!$A$3:$C$25,2)," ")</f>
        <v>#N/A</v>
      </c>
      <c r="BH121" t="e">
        <f>IF(VLOOKUP(30,Formations!$A$3:$C$25,1)=30,VLOOKUP(30,Formations!$A$3:$C$25,3)," ")</f>
        <v>#N/A</v>
      </c>
      <c r="BK121" s="446"/>
      <c r="BM121" s="572"/>
      <c r="BN121" s="684"/>
      <c r="BO121" s="679"/>
      <c r="BP121" s="163" t="str">
        <f t="shared" si="11"/>
        <v/>
      </c>
      <c r="BQ121" s="163" t="str">
        <f t="shared" si="12"/>
        <v/>
      </c>
      <c r="BR121" s="237" t="str">
        <f t="shared" si="13"/>
        <v/>
      </c>
      <c r="BS121" s="64"/>
      <c r="BT121" s="237" t="str">
        <f t="shared" si="14"/>
        <v/>
      </c>
      <c r="BU121" s="195" t="str">
        <f t="shared" si="15"/>
        <v/>
      </c>
      <c r="BV121" s="195" t="str">
        <f t="shared" si="16"/>
        <v/>
      </c>
      <c r="BW121" s="64"/>
      <c r="BX121" s="460" t="e">
        <f>IF(VLOOKUP(30,Formations!$A$3:$C$25,1)=30,VLOOKUP(30,Formations!$A$3:$C$25,2)," ")</f>
        <v>#N/A</v>
      </c>
      <c r="BY121" t="e">
        <f>IF(VLOOKUP(30,Formations!$A$3:$C$25,1)=30,VLOOKUP(30,Formations!$A$3:$C$25,3)," ")</f>
        <v>#N/A</v>
      </c>
      <c r="CB121" s="446"/>
      <c r="CD121" s="572"/>
      <c r="CE121" s="684"/>
      <c r="CF121" s="679"/>
      <c r="CH121" s="64"/>
      <c r="CI121" s="193"/>
      <c r="CK121" s="194"/>
      <c r="CL121" s="64"/>
      <c r="CO121" s="460" t="e">
        <f>IF(VLOOKUP(30,Formations!$A$3:$C$25,1)=30,VLOOKUP(30,Formations!$A$3:$C$25,2)," ")</f>
        <v>#N/A</v>
      </c>
      <c r="CP121" t="e">
        <f>IF(VLOOKUP(30,Formations!$A$3:$C$25,1)=30,VLOOKUP(30,Formations!$A$3:$C$25,3)," ")</f>
        <v>#N/A</v>
      </c>
    </row>
    <row r="122" spans="1:94" x14ac:dyDescent="0.25">
      <c r="A122" s="177"/>
      <c r="B122" s="64"/>
      <c r="C122" s="64"/>
      <c r="D122" s="10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275"/>
      <c r="Q122" s="275"/>
      <c r="R122" s="275"/>
      <c r="S122" s="275"/>
      <c r="T122" s="275"/>
      <c r="U122" s="275"/>
      <c r="V122" s="275"/>
      <c r="W122" s="275"/>
      <c r="X122" s="275"/>
      <c r="Y122" s="275"/>
      <c r="Z122" s="275"/>
      <c r="AA122" s="187"/>
      <c r="AB122" s="39"/>
      <c r="AC122" s="64"/>
      <c r="AD122" s="64"/>
      <c r="AE122" s="64"/>
      <c r="AF122" s="64"/>
      <c r="AG122" s="64"/>
      <c r="AH122" s="64"/>
      <c r="AI122" s="64"/>
      <c r="AJ122" s="64"/>
      <c r="AK122" s="197"/>
      <c r="AL122" s="64"/>
      <c r="AM122" s="64"/>
      <c r="AN122" s="64"/>
      <c r="AO122" s="64"/>
      <c r="AP122" s="64"/>
      <c r="AQ122" s="460" t="e">
        <f>IF(VLOOKUP(31,Formations!$A$3:$C$25,1)=31,VLOOKUP(31,Formations!$A$3:$C$25,2)," ")</f>
        <v>#N/A</v>
      </c>
      <c r="AR122" t="e">
        <f>IF(VLOOKUP(31,Formations!$A$3:$C$25,1)=31,VLOOKUP(31,Formations!$A$3:$C$25,3)," ")</f>
        <v>#N/A</v>
      </c>
      <c r="AV122" s="64"/>
      <c r="AW122" s="64"/>
      <c r="AX122" s="64"/>
      <c r="AY122" s="64"/>
      <c r="AZ122" s="196" t="str">
        <f t="shared" si="5"/>
        <v/>
      </c>
      <c r="BA122" s="237" t="str">
        <f t="shared" si="6"/>
        <v/>
      </c>
      <c r="BB122" s="64"/>
      <c r="BC122" s="237" t="str">
        <f t="shared" si="7"/>
        <v/>
      </c>
      <c r="BD122" s="196" t="str">
        <f t="shared" si="8"/>
        <v/>
      </c>
      <c r="BE122" s="64"/>
      <c r="BF122" s="64"/>
      <c r="BG122" s="460" t="e">
        <f>IF(VLOOKUP(31,Formations!$A$3:$C$25,1)=31,VLOOKUP(31,Formations!$A$3:$C$25,2)," ")</f>
        <v>#N/A</v>
      </c>
      <c r="BH122" t="e">
        <f>IF(VLOOKUP(31,Formations!$A$3:$C$25,1)=31,VLOOKUP(31,Formations!$A$3:$C$25,3)," ")</f>
        <v>#N/A</v>
      </c>
      <c r="BM122" s="64"/>
      <c r="BN122" s="64"/>
      <c r="BO122" s="64"/>
      <c r="BP122" s="163" t="str">
        <f t="shared" si="11"/>
        <v/>
      </c>
      <c r="BQ122" s="163" t="str">
        <f t="shared" si="12"/>
        <v/>
      </c>
      <c r="BR122" s="237" t="str">
        <f t="shared" si="13"/>
        <v/>
      </c>
      <c r="BS122" s="64"/>
      <c r="BT122" s="237" t="str">
        <f t="shared" si="14"/>
        <v/>
      </c>
      <c r="BU122" s="195" t="str">
        <f t="shared" si="15"/>
        <v/>
      </c>
      <c r="BV122" s="195" t="str">
        <f t="shared" si="16"/>
        <v/>
      </c>
      <c r="BW122" s="64"/>
      <c r="BX122" s="460" t="e">
        <f>IF(VLOOKUP(31,Formations!$A$3:$C$25,1)=31,VLOOKUP(31,Formations!$A$3:$C$25,2)," ")</f>
        <v>#N/A</v>
      </c>
      <c r="BY122" t="e">
        <f>IF(VLOOKUP(31,Formations!$A$3:$C$25,1)=31,VLOOKUP(31,Formations!$A$3:$C$25,3)," ")</f>
        <v>#N/A</v>
      </c>
      <c r="CH122" s="64"/>
      <c r="CI122" s="193"/>
      <c r="CK122" s="194"/>
      <c r="CL122" s="64"/>
      <c r="CO122" s="460" t="e">
        <f>IF(VLOOKUP(31,Formations!$A$3:$C$25,1)=31,VLOOKUP(31,Formations!$A$3:$C$25,2)," ")</f>
        <v>#N/A</v>
      </c>
      <c r="CP122" t="e">
        <f>IF(VLOOKUP(31,Formations!$A$3:$C$25,1)=31,VLOOKUP(31,Formations!$A$3:$C$25,3)," ")</f>
        <v>#N/A</v>
      </c>
    </row>
    <row r="123" spans="1:94" x14ac:dyDescent="0.25">
      <c r="A123" s="177"/>
      <c r="B123" s="64"/>
      <c r="C123" s="64"/>
      <c r="D123" s="3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275"/>
      <c r="Q123" s="275"/>
      <c r="R123" s="275"/>
      <c r="S123" s="275"/>
      <c r="T123" s="275"/>
      <c r="U123" s="275"/>
      <c r="V123" s="275"/>
      <c r="W123" s="275"/>
      <c r="X123" s="275"/>
      <c r="Y123" s="275"/>
      <c r="Z123" s="275"/>
      <c r="AA123" s="93"/>
      <c r="AB123" s="104"/>
      <c r="AC123" s="64"/>
      <c r="AD123" s="64">
        <f>'Casing Review'!C42</f>
        <v>0</v>
      </c>
      <c r="AE123" s="113" t="s">
        <v>222</v>
      </c>
      <c r="AF123" s="64"/>
      <c r="AG123" s="64"/>
      <c r="AH123" s="64"/>
      <c r="AI123" s="64"/>
      <c r="AJ123" s="64"/>
      <c r="AK123" s="197"/>
      <c r="AL123" s="64"/>
      <c r="AM123" s="64"/>
      <c r="AN123" s="64"/>
      <c r="AO123" s="64"/>
      <c r="AP123" s="64"/>
      <c r="AQ123" s="460" t="e">
        <f>IF(VLOOKUP(32,Formations!$A$3:$C$25,1)=32,VLOOKUP(32,Formations!$A$3:$C$25,2)," ")</f>
        <v>#N/A</v>
      </c>
      <c r="AR123" t="e">
        <f>IF(VLOOKUP(32,Formations!$A$3:$C$25,1)=32,VLOOKUP(32,Formations!$A$3:$C$25,3)," ")</f>
        <v>#N/A</v>
      </c>
      <c r="AU123" s="64">
        <f>'Casing Review'!C57</f>
        <v>0</v>
      </c>
      <c r="AV123" s="64" t="s">
        <v>230</v>
      </c>
      <c r="AW123" s="64"/>
      <c r="AX123" s="64"/>
      <c r="AY123" s="64"/>
      <c r="AZ123" s="196" t="str">
        <f t="shared" si="5"/>
        <v/>
      </c>
      <c r="BA123" s="237" t="str">
        <f t="shared" si="6"/>
        <v/>
      </c>
      <c r="BB123" s="64"/>
      <c r="BC123" s="237" t="str">
        <f t="shared" si="7"/>
        <v/>
      </c>
      <c r="BD123" s="196" t="str">
        <f t="shared" si="8"/>
        <v/>
      </c>
      <c r="BE123" s="64"/>
      <c r="BF123" s="64"/>
      <c r="BG123" s="460" t="e">
        <f>IF(VLOOKUP(32,Formations!$A$3:$C$25,1)=32,VLOOKUP(32,Formations!$A$3:$C$25,2)," ")</f>
        <v>#N/A</v>
      </c>
      <c r="BH123" t="e">
        <f>IF(VLOOKUP(32,Formations!$A$3:$C$25,1)=32,VLOOKUP(32,Formations!$A$3:$C$25,3)," ")</f>
        <v>#N/A</v>
      </c>
      <c r="BL123" s="64">
        <f>'Casing Review'!C57</f>
        <v>0</v>
      </c>
      <c r="BM123" s="64" t="str">
        <f>IF('Casing Review'!B69=0,"'' Casing","'' Liner")</f>
        <v>'' Casing</v>
      </c>
      <c r="BN123" s="64"/>
      <c r="BO123" s="64"/>
      <c r="BP123" s="163" t="str">
        <f t="shared" si="11"/>
        <v/>
      </c>
      <c r="BQ123" s="163" t="str">
        <f t="shared" si="12"/>
        <v/>
      </c>
      <c r="BR123" s="237" t="str">
        <f t="shared" si="13"/>
        <v/>
      </c>
      <c r="BS123" s="64"/>
      <c r="BT123" s="237" t="str">
        <f t="shared" si="14"/>
        <v/>
      </c>
      <c r="BU123" s="195" t="str">
        <f t="shared" si="15"/>
        <v/>
      </c>
      <c r="BV123" s="195" t="str">
        <f t="shared" si="16"/>
        <v/>
      </c>
      <c r="BW123" s="64"/>
      <c r="BX123" s="460" t="e">
        <f>IF(VLOOKUP(32,Formations!$A$3:$C$25,1)=32,VLOOKUP(32,Formations!$A$3:$C$25,2)," ")</f>
        <v>#N/A</v>
      </c>
      <c r="BY123" t="e">
        <f>IF(VLOOKUP(32,Formations!$A$3:$C$25,1)=32,VLOOKUP(32,Formations!$A$3:$C$25,3)," ")</f>
        <v>#N/A</v>
      </c>
      <c r="CC123" s="64">
        <f>'Casing Review'!C27</f>
        <v>0</v>
      </c>
      <c r="CD123" s="113" t="s">
        <v>222</v>
      </c>
      <c r="CH123" s="64"/>
      <c r="CI123" s="193"/>
      <c r="CK123" s="194"/>
      <c r="CL123" s="64"/>
      <c r="CO123" s="460" t="e">
        <f>IF(VLOOKUP(32,Formations!$A$3:$C$25,1)=32,VLOOKUP(32,Formations!$A$3:$C$25,2)," ")</f>
        <v>#N/A</v>
      </c>
      <c r="CP123" t="e">
        <f>IF(VLOOKUP(32,Formations!$A$3:$C$25,1)=32,VLOOKUP(32,Formations!$A$3:$C$25,3)," ")</f>
        <v>#N/A</v>
      </c>
    </row>
    <row r="124" spans="1:94" x14ac:dyDescent="0.25">
      <c r="A124" s="177"/>
      <c r="B124" s="64"/>
      <c r="C124" s="64"/>
      <c r="D124" s="3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275"/>
      <c r="Q124" s="275"/>
      <c r="R124" s="275"/>
      <c r="S124" s="275"/>
      <c r="T124" s="275"/>
      <c r="U124" s="275"/>
      <c r="V124" s="275"/>
      <c r="W124" s="275"/>
      <c r="X124" s="275"/>
      <c r="Y124" s="275"/>
      <c r="Z124" s="275"/>
      <c r="AA124" s="188"/>
      <c r="AB124" s="105"/>
      <c r="AC124" s="64"/>
      <c r="AD124" s="110">
        <f>MAX('Casing Review'!$D$42:$D$46)</f>
        <v>0</v>
      </c>
      <c r="AE124" s="111" t="s">
        <v>223</v>
      </c>
      <c r="AF124" s="64"/>
      <c r="AG124" s="64"/>
      <c r="AH124" s="64"/>
      <c r="AI124" s="64"/>
      <c r="AJ124" s="64"/>
      <c r="AK124" s="197"/>
      <c r="AL124" s="64"/>
      <c r="AM124" s="64"/>
      <c r="AN124" s="64"/>
      <c r="AO124" s="64"/>
      <c r="AP124" s="64"/>
      <c r="AQ124" s="460" t="e">
        <f>IF(VLOOKUP(33,Formations!$A$3:$C$25,1)=33,VLOOKUP(33,Formations!$A$3:$C$25,2)," ")</f>
        <v>#N/A</v>
      </c>
      <c r="AR124" t="e">
        <f>IF(VLOOKUP(33,Formations!$A$3:$C$25,1)=33,VLOOKUP(33,Formations!$A$3:$C$25,3)," ")</f>
        <v>#N/A</v>
      </c>
      <c r="AU124" s="110">
        <f>MAX('Casing Review'!$D$57:$D$61)</f>
        <v>0</v>
      </c>
      <c r="AV124" s="111" t="s">
        <v>223</v>
      </c>
      <c r="AW124" s="64"/>
      <c r="AX124" s="64"/>
      <c r="AY124" s="64"/>
      <c r="AZ124" s="196" t="str">
        <f t="shared" si="5"/>
        <v/>
      </c>
      <c r="BA124" s="237" t="str">
        <f t="shared" si="6"/>
        <v/>
      </c>
      <c r="BB124" s="64"/>
      <c r="BC124" s="237" t="str">
        <f t="shared" si="7"/>
        <v/>
      </c>
      <c r="BD124" s="196" t="str">
        <f t="shared" si="8"/>
        <v/>
      </c>
      <c r="BE124" s="64"/>
      <c r="BF124" s="64"/>
      <c r="BG124" s="460" t="e">
        <f>IF(VLOOKUP(33,Formations!$A$3:$C$25,1)=33,VLOOKUP(33,Formations!$A$3:$C$25,2)," ")</f>
        <v>#N/A</v>
      </c>
      <c r="BH124" t="e">
        <f>IF(VLOOKUP(33,Formations!$A$3:$C$25,1)=33,VLOOKUP(33,Formations!$A$3:$C$25,3)," ")</f>
        <v>#N/A</v>
      </c>
      <c r="BL124" s="110">
        <f>MAX('Casing Review'!$D$57:$D$61)</f>
        <v>0</v>
      </c>
      <c r="BM124" s="111" t="s">
        <v>223</v>
      </c>
      <c r="BN124" s="64"/>
      <c r="BO124" s="64"/>
      <c r="BP124" s="163" t="str">
        <f t="shared" si="11"/>
        <v/>
      </c>
      <c r="BQ124" s="163" t="str">
        <f t="shared" si="12"/>
        <v/>
      </c>
      <c r="BR124" s="237" t="str">
        <f t="shared" si="13"/>
        <v/>
      </c>
      <c r="BS124" s="64"/>
      <c r="BT124" s="237" t="str">
        <f t="shared" si="14"/>
        <v/>
      </c>
      <c r="BU124" s="195" t="str">
        <f t="shared" si="15"/>
        <v/>
      </c>
      <c r="BV124" s="195" t="str">
        <f t="shared" si="16"/>
        <v/>
      </c>
      <c r="BW124" s="64"/>
      <c r="BX124" s="460" t="e">
        <f>IF(VLOOKUP(33,Formations!$A$3:$C$25,1)=33,VLOOKUP(33,Formations!$A$3:$C$25,2)," ")</f>
        <v>#N/A</v>
      </c>
      <c r="BY124" t="e">
        <f>IF(VLOOKUP(33,Formations!$A$3:$C$25,1)=33,VLOOKUP(33,Formations!$A$3:$C$25,3)," ")</f>
        <v>#N/A</v>
      </c>
      <c r="CC124" s="110">
        <f>MAX('Casing Review'!$D$27:$D$32)</f>
        <v>0</v>
      </c>
      <c r="CD124" s="111" t="s">
        <v>223</v>
      </c>
      <c r="CH124" s="64"/>
      <c r="CI124" s="193"/>
      <c r="CK124" s="194"/>
      <c r="CL124" s="64"/>
      <c r="CO124" s="460" t="e">
        <f>IF(VLOOKUP(33,Formations!$A$3:$C$25,1)=33,VLOOKUP(33,Formations!$A$3:$C$25,2)," ")</f>
        <v>#N/A</v>
      </c>
      <c r="CP124" t="e">
        <f>IF(VLOOKUP(33,Formations!$A$3:$C$25,1)=33,VLOOKUP(33,Formations!$A$3:$C$25,3)," ")</f>
        <v>#N/A</v>
      </c>
    </row>
    <row r="125" spans="1:94" x14ac:dyDescent="0.25">
      <c r="A125" s="279"/>
      <c r="B125" s="64"/>
      <c r="C125" s="64"/>
      <c r="D125" s="3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275"/>
      <c r="Q125" s="275"/>
      <c r="R125" s="275"/>
      <c r="S125" s="275"/>
      <c r="T125" s="275"/>
      <c r="U125" s="275"/>
      <c r="V125" s="275"/>
      <c r="W125" s="275"/>
      <c r="X125" s="275"/>
      <c r="Y125" s="275"/>
      <c r="Z125" s="275"/>
      <c r="AA125" s="189"/>
      <c r="AB125" s="106"/>
      <c r="AC125" s="64"/>
      <c r="AD125" s="112" t="e">
        <f>'Casing Review'!$B$49</f>
        <v>#N/A</v>
      </c>
      <c r="AE125" s="111" t="s">
        <v>224</v>
      </c>
      <c r="AF125" s="64"/>
      <c r="AG125" s="64"/>
      <c r="AH125" s="64"/>
      <c r="AI125" s="64"/>
      <c r="AJ125" s="64"/>
      <c r="AK125" s="197"/>
      <c r="AL125" s="64"/>
      <c r="AM125" s="64"/>
      <c r="AN125" s="64"/>
      <c r="AO125" s="64"/>
      <c r="AP125" s="64"/>
      <c r="AQ125" s="460" t="e">
        <f>IF(VLOOKUP(34,Formations!$A$3:$C$25,1)=34,VLOOKUP(34,Formations!$A$3:$C$25,2)," ")</f>
        <v>#N/A</v>
      </c>
      <c r="AR125" t="e">
        <f>IF(VLOOKUP(34,Formations!$A$3:$C$25,1)=34,VLOOKUP(34,Formations!$A$3:$C$25,3)," ")</f>
        <v>#N/A</v>
      </c>
      <c r="AU125" s="112" t="e">
        <f>'Casing Review'!$B$64</f>
        <v>#N/A</v>
      </c>
      <c r="AV125" s="111" t="s">
        <v>224</v>
      </c>
      <c r="AW125" s="64"/>
      <c r="AX125" s="64"/>
      <c r="AY125" s="64"/>
      <c r="AZ125" s="196" t="str">
        <f t="shared" si="5"/>
        <v/>
      </c>
      <c r="BA125" s="237" t="str">
        <f t="shared" si="6"/>
        <v/>
      </c>
      <c r="BB125" s="64"/>
      <c r="BC125" s="237" t="str">
        <f t="shared" si="7"/>
        <v/>
      </c>
      <c r="BD125" s="196" t="str">
        <f t="shared" si="8"/>
        <v/>
      </c>
      <c r="BE125" s="64"/>
      <c r="BF125" s="64"/>
      <c r="BG125" s="460" t="e">
        <f>IF(VLOOKUP(34,Formations!$A$3:$C$25,1)=34,VLOOKUP(34,Formations!$A$3:$C$25,2)," ")</f>
        <v>#N/A</v>
      </c>
      <c r="BH125" t="e">
        <f>IF(VLOOKUP(34,Formations!$A$3:$C$25,1)=34,VLOOKUP(34,Formations!$A$3:$C$25,3)," ")</f>
        <v>#N/A</v>
      </c>
      <c r="BL125" s="112" t="e">
        <f>'Casing Review'!$B$64</f>
        <v>#N/A</v>
      </c>
      <c r="BM125" s="111" t="s">
        <v>224</v>
      </c>
      <c r="BN125" s="64"/>
      <c r="BO125" s="64"/>
      <c r="BP125" s="64"/>
      <c r="BQ125" s="163" t="str">
        <f t="shared" si="12"/>
        <v/>
      </c>
      <c r="BR125" s="237" t="str">
        <f t="shared" si="13"/>
        <v/>
      </c>
      <c r="BS125" s="64"/>
      <c r="BT125" s="237" t="str">
        <f t="shared" si="14"/>
        <v/>
      </c>
      <c r="BU125" s="195" t="str">
        <f t="shared" si="15"/>
        <v/>
      </c>
      <c r="BV125" s="64"/>
      <c r="BW125" s="64"/>
      <c r="BX125" s="460" t="e">
        <f>IF(VLOOKUP(34,Formations!$A$3:$C$25,1)=34,VLOOKUP(34,Formations!$A$3:$C$25,2)," ")</f>
        <v>#N/A</v>
      </c>
      <c r="BY125" t="e">
        <f>IF(VLOOKUP(34,Formations!$A$3:$C$25,1)=34,VLOOKUP(34,Formations!$A$3:$C$25,3)," ")</f>
        <v>#N/A</v>
      </c>
      <c r="CC125" s="112" t="e">
        <f>'Casing Review'!$B$34</f>
        <v>#N/A</v>
      </c>
      <c r="CD125" s="111" t="s">
        <v>224</v>
      </c>
      <c r="CH125" s="64"/>
      <c r="CI125" s="193"/>
      <c r="CK125" s="194"/>
      <c r="CL125" s="64"/>
      <c r="CO125" s="460" t="e">
        <f>IF(VLOOKUP(34,Formations!$A$3:$C$25,1)=34,VLOOKUP(34,Formations!$A$3:$C$25,2)," ")</f>
        <v>#N/A</v>
      </c>
      <c r="CP125" t="e">
        <f>IF(VLOOKUP(34,Formations!$A$3:$C$25,1)=34,VLOOKUP(34,Formations!$A$3:$C$25,3)," ")</f>
        <v>#N/A</v>
      </c>
    </row>
    <row r="126" spans="1:94" x14ac:dyDescent="0.25">
      <c r="A126" s="64"/>
      <c r="B126" s="64"/>
      <c r="C126" s="64"/>
      <c r="D126" s="3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275"/>
      <c r="Q126" s="275"/>
      <c r="R126" s="275"/>
      <c r="S126" s="275"/>
      <c r="T126" s="275"/>
      <c r="U126" s="275"/>
      <c r="V126" s="275"/>
      <c r="W126" s="275"/>
      <c r="X126" s="275"/>
      <c r="Y126" s="275"/>
      <c r="Z126" s="275"/>
      <c r="AA126" s="190"/>
      <c r="AB126" s="105"/>
      <c r="AC126" s="64"/>
      <c r="AD126" s="112">
        <f>'Casing Review'!$R$42</f>
        <v>0</v>
      </c>
      <c r="AE126" s="111" t="s">
        <v>225</v>
      </c>
      <c r="AF126" s="64"/>
      <c r="AG126" s="64"/>
      <c r="AH126" s="64"/>
      <c r="AI126" s="64"/>
      <c r="AJ126" s="64"/>
      <c r="AK126" s="197"/>
      <c r="AL126" s="64"/>
      <c r="AM126" s="64"/>
      <c r="AN126" s="64"/>
      <c r="AO126" s="64"/>
      <c r="AP126" s="64"/>
      <c r="AQ126" s="460" t="e">
        <f>IF(VLOOKUP(35,Formations!$A$3:$C$25,1)=35,VLOOKUP(35,Formations!$A$3:$C$25,2)," ")</f>
        <v>#N/A</v>
      </c>
      <c r="AR126" t="e">
        <f>IF(VLOOKUP(35,Formations!$A$3:$C$25,1)=35,VLOOKUP(35,Formations!$A$3:$C$25,3)," ")</f>
        <v>#N/A</v>
      </c>
      <c r="AU126" s="112">
        <f>'Casing Review'!$R$57</f>
        <v>0</v>
      </c>
      <c r="AV126" s="111" t="s">
        <v>225</v>
      </c>
      <c r="AW126" s="64"/>
      <c r="AX126" s="64"/>
      <c r="AY126" s="64"/>
      <c r="AZ126" s="196" t="str">
        <f t="shared" si="5"/>
        <v/>
      </c>
      <c r="BA126" s="237" t="str">
        <f t="shared" si="6"/>
        <v/>
      </c>
      <c r="BB126" s="64"/>
      <c r="BC126" s="237" t="str">
        <f t="shared" si="7"/>
        <v/>
      </c>
      <c r="BD126" s="196" t="str">
        <f t="shared" si="8"/>
        <v/>
      </c>
      <c r="BE126" s="64"/>
      <c r="BF126" s="64"/>
      <c r="BG126" s="460" t="e">
        <f>IF(VLOOKUP(35,Formations!$A$3:$C$25,1)=35,VLOOKUP(35,Formations!$A$3:$C$25,2)," ")</f>
        <v>#N/A</v>
      </c>
      <c r="BH126" t="e">
        <f>IF(VLOOKUP(35,Formations!$A$3:$C$25,1)=35,VLOOKUP(35,Formations!$A$3:$C$25,3)," ")</f>
        <v>#N/A</v>
      </c>
      <c r="BL126" s="112">
        <f>'Casing Review'!$R$57</f>
        <v>0</v>
      </c>
      <c r="BM126" s="111" t="s">
        <v>225</v>
      </c>
      <c r="BN126" s="64"/>
      <c r="BO126" s="64"/>
      <c r="BP126" s="64"/>
      <c r="BQ126" s="163" t="str">
        <f t="shared" si="12"/>
        <v/>
      </c>
      <c r="BR126" s="237" t="str">
        <f t="shared" si="13"/>
        <v/>
      </c>
      <c r="BS126" s="64"/>
      <c r="BT126" s="237" t="str">
        <f t="shared" si="14"/>
        <v/>
      </c>
      <c r="BU126" s="195" t="str">
        <f t="shared" si="15"/>
        <v/>
      </c>
      <c r="BV126" s="64"/>
      <c r="BW126" s="64"/>
      <c r="BX126" s="460" t="e">
        <f>IF(VLOOKUP(35,Formations!$A$3:$C$25,1)=35,VLOOKUP(35,Formations!$A$3:$C$25,2)," ")</f>
        <v>#N/A</v>
      </c>
      <c r="BY126" t="e">
        <f>IF(VLOOKUP(35,Formations!$A$3:$C$25,1)=35,VLOOKUP(35,Formations!$A$3:$C$25,3)," ")</f>
        <v>#N/A</v>
      </c>
      <c r="CC126" s="112">
        <f>'Casing Review'!$R$27</f>
        <v>0</v>
      </c>
      <c r="CD126" s="111" t="s">
        <v>225</v>
      </c>
      <c r="CH126" s="64"/>
      <c r="CI126" s="193"/>
      <c r="CK126" s="194"/>
      <c r="CL126" s="64"/>
      <c r="CO126" s="460" t="e">
        <f>IF(VLOOKUP(35,Formations!$A$3:$C$25,1)=35,VLOOKUP(35,Formations!$A$3:$C$25,2)," ")</f>
        <v>#N/A</v>
      </c>
      <c r="CP126" t="e">
        <f>IF(VLOOKUP(35,Formations!$A$3:$C$25,1)=35,VLOOKUP(35,Formations!$A$3:$C$25,3)," ")</f>
        <v>#N/A</v>
      </c>
    </row>
    <row r="127" spans="1:94" x14ac:dyDescent="0.25">
      <c r="A127" s="177"/>
      <c r="B127" s="64"/>
      <c r="C127" s="64"/>
      <c r="D127" s="3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275"/>
      <c r="Q127" s="64"/>
      <c r="R127" s="64"/>
      <c r="S127" s="107"/>
      <c r="T127" s="64"/>
      <c r="U127" s="64"/>
      <c r="V127" s="64"/>
      <c r="W127" s="64"/>
      <c r="X127" s="64"/>
      <c r="Y127" s="64"/>
      <c r="Z127" s="64"/>
      <c r="AA127" s="64"/>
      <c r="AB127" s="108"/>
      <c r="AC127" s="64"/>
      <c r="AD127" s="112">
        <f>'Casing Review'!$R$43</f>
        <v>0</v>
      </c>
      <c r="AE127" s="134" t="s">
        <v>226</v>
      </c>
      <c r="AF127" s="64"/>
      <c r="AG127" s="64"/>
      <c r="AH127" s="64"/>
      <c r="AI127" s="64"/>
      <c r="AJ127" s="64"/>
      <c r="AK127" s="197"/>
      <c r="AL127" s="64"/>
      <c r="AM127" s="64"/>
      <c r="AN127" s="64"/>
      <c r="AO127" s="64"/>
      <c r="AP127" s="64"/>
      <c r="AQ127" s="460" t="e">
        <f>IF(VLOOKUP(36,Formations!$A$3:$C$25,1)=36,VLOOKUP(36,Formations!$A$3:$C$25,2)," ")</f>
        <v>#N/A</v>
      </c>
      <c r="AR127" t="e">
        <f>IF(VLOOKUP(36,Formations!$A$3:$C$25,1)=36,VLOOKUP(36,Formations!$A$3:$C$25,3)," ")</f>
        <v>#N/A</v>
      </c>
      <c r="AU127" s="112">
        <f>'Casing Review'!$R$58</f>
        <v>0</v>
      </c>
      <c r="AV127" s="134" t="s">
        <v>226</v>
      </c>
      <c r="AZ127" s="196" t="str">
        <f t="shared" si="5"/>
        <v/>
      </c>
      <c r="BA127" s="237" t="str">
        <f t="shared" si="6"/>
        <v/>
      </c>
      <c r="BB127" s="64"/>
      <c r="BC127" s="237" t="str">
        <f t="shared" si="7"/>
        <v/>
      </c>
      <c r="BD127" s="196" t="str">
        <f t="shared" si="8"/>
        <v/>
      </c>
      <c r="BG127" s="460" t="e">
        <f>IF(VLOOKUP(36,Formations!$A$3:$C$25,1)=36,VLOOKUP(36,Formations!$A$3:$C$25,2)," ")</f>
        <v>#N/A</v>
      </c>
      <c r="BH127" t="e">
        <f>IF(VLOOKUP(36,Formations!$A$3:$C$25,1)=36,VLOOKUP(36,Formations!$A$3:$C$25,3)," ")</f>
        <v>#N/A</v>
      </c>
      <c r="BL127" s="112">
        <f>'Casing Review'!$R$58</f>
        <v>0</v>
      </c>
      <c r="BM127" s="134" t="s">
        <v>226</v>
      </c>
      <c r="BQ127" s="163" t="str">
        <f t="shared" si="12"/>
        <v/>
      </c>
      <c r="BR127" s="237" t="str">
        <f t="shared" si="13"/>
        <v/>
      </c>
      <c r="BS127" s="64"/>
      <c r="BT127" s="237" t="str">
        <f t="shared" si="14"/>
        <v/>
      </c>
      <c r="BU127" s="195" t="str">
        <f t="shared" si="15"/>
        <v/>
      </c>
      <c r="BX127" s="460" t="e">
        <f>IF(VLOOKUP(36,Formations!$A$3:$C$25,1)=36,VLOOKUP(36,Formations!$A$3:$C$25,2)," ")</f>
        <v>#N/A</v>
      </c>
      <c r="BY127" t="e">
        <f>IF(VLOOKUP(36,Formations!$A$3:$C$25,1)=36,VLOOKUP(36,Formations!$A$3:$C$25,3)," ")</f>
        <v>#N/A</v>
      </c>
      <c r="CC127" s="112">
        <f>'Casing Review'!$R$28</f>
        <v>0</v>
      </c>
      <c r="CD127" s="134" t="s">
        <v>226</v>
      </c>
      <c r="CH127" s="64"/>
      <c r="CI127" s="193"/>
      <c r="CK127" s="194"/>
      <c r="CL127" s="64"/>
      <c r="CO127" s="460" t="e">
        <f>IF(VLOOKUP(36,Formations!$A$3:$C$25,1)=36,VLOOKUP(36,Formations!$A$3:$C$25,2)," ")</f>
        <v>#N/A</v>
      </c>
      <c r="CP127" t="e">
        <f>IF(VLOOKUP(36,Formations!$A$3:$C$25,1)=36,VLOOKUP(36,Formations!$A$3:$C$25,3)," ")</f>
        <v>#N/A</v>
      </c>
    </row>
    <row r="128" spans="1:94" x14ac:dyDescent="0.25">
      <c r="A128" s="178"/>
      <c r="B128" s="64"/>
      <c r="C128" s="64"/>
      <c r="D128" s="104"/>
      <c r="E128" s="10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39"/>
      <c r="S128" s="191"/>
      <c r="T128" s="64"/>
      <c r="U128" s="64"/>
      <c r="V128" s="64"/>
      <c r="W128" s="64"/>
      <c r="X128" s="64"/>
      <c r="Y128" s="64"/>
      <c r="Z128" s="64"/>
      <c r="AA128" s="64"/>
      <c r="AB128" s="39"/>
      <c r="AC128" s="64"/>
      <c r="AD128" s="152">
        <f>'Casing Review'!B50</f>
        <v>4</v>
      </c>
      <c r="AE128" s="39" t="s">
        <v>227</v>
      </c>
      <c r="AF128" s="64"/>
      <c r="AG128" s="64"/>
      <c r="AH128" s="64"/>
      <c r="AI128" s="64"/>
      <c r="AJ128" s="163" t="s">
        <v>231</v>
      </c>
      <c r="AK128" s="197"/>
      <c r="AL128" s="195" t="s">
        <v>232</v>
      </c>
      <c r="AM128" s="64"/>
      <c r="AN128" s="64"/>
      <c r="AO128" s="64"/>
      <c r="AP128" s="64"/>
      <c r="AQ128" s="460" t="e">
        <f>IF(VLOOKUP(37,Formations!$A$3:$C$25,1)=37,VLOOKUP(37,Formations!$A$3:$C$25,2)," ")</f>
        <v>#N/A</v>
      </c>
      <c r="AR128" t="e">
        <f>IF(VLOOKUP(37,Formations!$A$3:$C$25,1)=37,VLOOKUP(37,Formations!$A$3:$C$25,3)," ")</f>
        <v>#N/A</v>
      </c>
      <c r="AU128" s="152">
        <f>BL128</f>
        <v>5</v>
      </c>
      <c r="AV128" s="39" t="s">
        <v>227</v>
      </c>
      <c r="BA128" s="163" t="s">
        <v>231</v>
      </c>
      <c r="BB128" s="197"/>
      <c r="BC128" s="195" t="s">
        <v>232</v>
      </c>
      <c r="BG128" s="460" t="e">
        <f>IF(VLOOKUP(37,Formations!$A$3:$C$25,1)=37,VLOOKUP(37,Formations!$A$3:$C$25,2)," ")</f>
        <v>#N/A</v>
      </c>
      <c r="BH128" t="e">
        <f>IF(VLOOKUP(37,Formations!$A$3:$C$25,1)=37,VLOOKUP(37,Formations!$A$3:$C$25,3)," ")</f>
        <v>#N/A</v>
      </c>
      <c r="BL128" s="152">
        <f>'Casing Review'!B65</f>
        <v>5</v>
      </c>
      <c r="BM128" s="39" t="s">
        <v>227</v>
      </c>
      <c r="BR128" s="163" t="s">
        <v>231</v>
      </c>
      <c r="BS128" s="197"/>
      <c r="BT128" s="195" t="s">
        <v>232</v>
      </c>
      <c r="BX128" s="460" t="e">
        <f>IF(VLOOKUP(37,Formations!$A$3:$C$25,1)=37,VLOOKUP(37,Formations!$A$3:$C$25,2)," ")</f>
        <v>#N/A</v>
      </c>
      <c r="BY128" t="e">
        <f>IF(VLOOKUP(37,Formations!$A$3:$C$25,1)=37,VLOOKUP(37,Formations!$A$3:$C$25,3)," ")</f>
        <v>#N/A</v>
      </c>
      <c r="CC128" s="152">
        <f>'Casing Review'!B35</f>
        <v>4</v>
      </c>
      <c r="CD128" s="39" t="s">
        <v>227</v>
      </c>
      <c r="CH128" s="163" t="s">
        <v>231</v>
      </c>
      <c r="CI128" s="193"/>
      <c r="CK128" s="194"/>
      <c r="CL128" s="195" t="s">
        <v>232</v>
      </c>
      <c r="CO128" s="460" t="e">
        <f>IF(VLOOKUP(37,Formations!$A$3:$C$25,1)=37,VLOOKUP(37,Formations!$A$3:$C$25,2)," ")</f>
        <v>#N/A</v>
      </c>
      <c r="CP128" t="e">
        <f>IF(VLOOKUP(37,Formations!$A$3:$C$25,1)=37,VLOOKUP(37,Formations!$A$3:$C$25,3)," ")</f>
        <v>#N/A</v>
      </c>
    </row>
    <row r="129" spans="1:94" x14ac:dyDescent="0.25">
      <c r="A129" s="64"/>
      <c r="B129" s="64"/>
      <c r="C129" s="64"/>
      <c r="D129" s="3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39"/>
      <c r="AC129" s="64"/>
      <c r="AD129" s="152">
        <f>'Casing Review'!$B$42</f>
        <v>0</v>
      </c>
      <c r="AE129" s="151" t="s">
        <v>228</v>
      </c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t="e">
        <f>IF(VLOOKUP(38,Formations!$A$3:$C$25,1)=38,VLOOKUP(38,Formations!$A$3:$C$25,2)," ")</f>
        <v>#N/A</v>
      </c>
      <c r="AR129" t="e">
        <f>IF(VLOOKUP(38,Formations!$A$3:$C$25,1)=38,VLOOKUP(38,Formations!$A$3:$C$25,3)," ")</f>
        <v>#N/A</v>
      </c>
      <c r="AU129" s="152">
        <f>'Casing Review'!$B$57</f>
        <v>0</v>
      </c>
      <c r="AV129" s="151" t="s">
        <v>228</v>
      </c>
      <c r="BG129" t="e">
        <f>IF(VLOOKUP(38,Formations!$A$3:$C$25,1)=38,VLOOKUP(38,Formations!$A$3:$C$25,2)," ")</f>
        <v>#N/A</v>
      </c>
      <c r="BH129" t="e">
        <f>IF(VLOOKUP(38,Formations!$A$3:$C$25,1)=38,VLOOKUP(38,Formations!$A$3:$C$25,3)," ")</f>
        <v>#N/A</v>
      </c>
      <c r="BL129" s="152">
        <f>'Casing Review'!$B$57</f>
        <v>0</v>
      </c>
      <c r="BM129" s="151" t="s">
        <v>228</v>
      </c>
      <c r="BX129" t="e">
        <f>IF(VLOOKUP(38,Formations!$A$3:$C$25,1)=38,VLOOKUP(38,Formations!$A$3:$C$25,2)," ")</f>
        <v>#N/A</v>
      </c>
      <c r="BY129" t="e">
        <f>IF(VLOOKUP(38,Formations!$A$3:$C$25,1)=38,VLOOKUP(38,Formations!$A$3:$C$25,3)," ")</f>
        <v>#N/A</v>
      </c>
      <c r="CC129" s="152">
        <f>'Casing Review'!$B$27</f>
        <v>0</v>
      </c>
      <c r="CD129" s="151" t="s">
        <v>228</v>
      </c>
      <c r="CO129" t="e">
        <f>IF(VLOOKUP(38,Formations!$A$3:$C$25,1)=38,VLOOKUP(38,Formations!$A$3:$C$25,2)," ")</f>
        <v>#N/A</v>
      </c>
      <c r="CP129" t="e">
        <f>IF(VLOOKUP(38,Formations!$A$3:$C$25,1)=38,VLOOKUP(38,Formations!$A$3:$C$25,3)," ")</f>
        <v>#N/A</v>
      </c>
    </row>
    <row r="130" spans="1:94" x14ac:dyDescent="0.25">
      <c r="AG130" s="446"/>
      <c r="AH130" s="689" t="str">
        <f>DxSurvey!$U$50</f>
        <v/>
      </c>
      <c r="AI130" s="679"/>
      <c r="AJ130" s="691" t="str">
        <f>DxSurvey!$V$50</f>
        <v/>
      </c>
      <c r="AK130" s="679"/>
      <c r="AL130" s="689" t="str">
        <f>DxSurvey!$W$50</f>
        <v/>
      </c>
      <c r="AM130" s="679"/>
      <c r="AN130" s="691" t="str">
        <f>DxSurvey!$X$50</f>
        <v/>
      </c>
      <c r="AO130" s="679"/>
      <c r="AQ130" s="571" t="str">
        <f>IF('Casing Review'!$E$9="y","Calc. BHL","")</f>
        <v>Calc. BHL</v>
      </c>
      <c r="AW130" s="446"/>
      <c r="AX130" s="689" t="str">
        <f>AH130</f>
        <v/>
      </c>
      <c r="AY130" s="679"/>
      <c r="AZ130" s="691" t="str">
        <f>AJ130</f>
        <v/>
      </c>
      <c r="BA130" s="679"/>
      <c r="BB130" s="689" t="str">
        <f>AL130</f>
        <v/>
      </c>
      <c r="BC130" s="679"/>
      <c r="BD130" s="691" t="str">
        <f>AN130</f>
        <v/>
      </c>
      <c r="BE130" s="679"/>
      <c r="BG130" s="571" t="str">
        <f>IF('Casing Review'!$E$9="y","Calc. BHL","")</f>
        <v>Calc. BHL</v>
      </c>
      <c r="BN130" s="446"/>
      <c r="BO130" s="689" t="str">
        <f>AH130</f>
        <v/>
      </c>
      <c r="BP130" s="679"/>
      <c r="BQ130" s="691" t="str">
        <f>AJ130</f>
        <v/>
      </c>
      <c r="BR130" s="679"/>
      <c r="BS130" s="689" t="str">
        <f>AL130</f>
        <v/>
      </c>
      <c r="BT130" s="679"/>
      <c r="BU130" s="691" t="str">
        <f>AN130</f>
        <v/>
      </c>
      <c r="BV130" s="679"/>
      <c r="BX130" s="571" t="str">
        <f>IF('Casing Review'!$E$9="y","Calc. BHL","")</f>
        <v>Calc. BHL</v>
      </c>
      <c r="CF130" s="689" t="str">
        <f>AH130</f>
        <v/>
      </c>
      <c r="CG130" s="679"/>
      <c r="CH130" s="691" t="str">
        <f>AJ130</f>
        <v/>
      </c>
      <c r="CI130" s="679"/>
      <c r="CJ130" s="689" t="str">
        <f>AL130</f>
        <v/>
      </c>
      <c r="CK130" s="679"/>
      <c r="CL130" s="691" t="str">
        <f>AN130</f>
        <v/>
      </c>
      <c r="CM130" s="679"/>
      <c r="CO130" s="571" t="str">
        <f>IF('Casing Review'!$E$9="y","Calc. BHL","")</f>
        <v>Calc. BHL</v>
      </c>
    </row>
    <row r="131" spans="1:94" x14ac:dyDescent="0.25">
      <c r="AH131" s="689"/>
      <c r="AI131" s="679"/>
      <c r="AJ131" s="690"/>
      <c r="AK131" s="679"/>
      <c r="AL131" s="689"/>
      <c r="AM131" s="679"/>
      <c r="AN131" s="690"/>
      <c r="AO131" s="679"/>
      <c r="AX131" s="689"/>
      <c r="AY131" s="679"/>
      <c r="AZ131" s="691"/>
      <c r="BA131" s="679"/>
      <c r="BB131" s="689"/>
      <c r="BC131" s="679"/>
      <c r="BD131" s="691"/>
      <c r="BE131" s="679"/>
      <c r="BO131" s="689"/>
      <c r="BP131" s="679"/>
      <c r="BQ131" s="691"/>
      <c r="BR131" s="679"/>
      <c r="BS131" s="689"/>
      <c r="BT131" s="679"/>
      <c r="BU131" s="691"/>
      <c r="BV131" s="679"/>
      <c r="CF131" s="689"/>
      <c r="CG131" s="679"/>
      <c r="CH131" s="691"/>
      <c r="CI131" s="679"/>
      <c r="CJ131" s="689"/>
      <c r="CK131" s="679"/>
      <c r="CL131" s="691"/>
      <c r="CM131" s="679"/>
    </row>
    <row r="132" spans="1:94" x14ac:dyDescent="0.25">
      <c r="AE132" s="689" t="str">
        <f>'SHL Section'!$M$10</f>
        <v/>
      </c>
      <c r="AF132" s="679"/>
      <c r="AG132" s="691" t="e">
        <f>'SHL Section'!$N$10</f>
        <v>#VALUE!</v>
      </c>
      <c r="AH132" s="679"/>
      <c r="AI132" s="689">
        <f>'SHL Section'!$O$10</f>
        <v>0</v>
      </c>
      <c r="AJ132" s="679"/>
      <c r="AK132" s="691" t="str">
        <f>'SHL Section'!$P$10</f>
        <v>S</v>
      </c>
      <c r="AL132" s="679"/>
      <c r="AM132" s="446">
        <f>'SHL Section'!$Q$10</f>
        <v>0</v>
      </c>
      <c r="AN132" s="446" t="str">
        <f>'SHL Section'!$R$10</f>
        <v>W</v>
      </c>
      <c r="AO132" s="446"/>
      <c r="AP132" s="446"/>
      <c r="AQ132" s="446" t="str">
        <f>'SHL Section'!$S$10</f>
        <v>Uintah</v>
      </c>
      <c r="AR132" t="s">
        <v>233</v>
      </c>
      <c r="AV132" s="572" t="str">
        <f>AE132</f>
        <v/>
      </c>
      <c r="AW132" s="446" t="e">
        <f>AG132</f>
        <v>#VALUE!</v>
      </c>
      <c r="AX132" s="446"/>
      <c r="AY132" s="446"/>
      <c r="AZ132" s="446">
        <f>AI132</f>
        <v>0</v>
      </c>
      <c r="BA132" s="446" t="str">
        <f>AK132</f>
        <v>S</v>
      </c>
      <c r="BB132" s="446"/>
      <c r="BC132" s="446"/>
      <c r="BD132" s="446">
        <f>AM132</f>
        <v>0</v>
      </c>
      <c r="BE132" s="446" t="str">
        <f>AN132</f>
        <v>W</v>
      </c>
      <c r="BF132" s="446"/>
      <c r="BG132" s="446" t="str">
        <f>AQ132</f>
        <v>Uintah</v>
      </c>
      <c r="BH132" s="446" t="str">
        <f>AR132</f>
        <v>Meridian</v>
      </c>
      <c r="BI132" s="446"/>
      <c r="BM132" s="689" t="str">
        <f>'SHL Section'!$M$10</f>
        <v/>
      </c>
      <c r="BN132" s="679"/>
      <c r="BO132" s="691" t="e">
        <f>'SHL Section'!$N$10</f>
        <v>#VALUE!</v>
      </c>
      <c r="BP132" s="679"/>
      <c r="BQ132" s="689">
        <f>'SHL Section'!$O$10</f>
        <v>0</v>
      </c>
      <c r="BR132" s="679"/>
      <c r="BS132" s="691" t="str">
        <f>'SHL Section'!$P$10</f>
        <v>S</v>
      </c>
      <c r="BT132" s="679"/>
      <c r="BU132" s="446">
        <f>'SHL Section'!$Q$10</f>
        <v>0</v>
      </c>
      <c r="BV132" s="446" t="str">
        <f>'SHL Section'!$R$10</f>
        <v>W</v>
      </c>
      <c r="BW132" s="446"/>
      <c r="BX132" s="446" t="str">
        <f>'SHL Section'!$S$10</f>
        <v>Uintah</v>
      </c>
      <c r="BY132" t="s">
        <v>233</v>
      </c>
      <c r="CD132" s="689" t="str">
        <f>'SHL Section'!$M$10</f>
        <v/>
      </c>
      <c r="CE132" s="679"/>
      <c r="CF132" s="691" t="e">
        <f>'SHL Section'!$N$10</f>
        <v>#VALUE!</v>
      </c>
      <c r="CG132" s="679"/>
      <c r="CH132" s="689">
        <f>'SHL Section'!$O$10</f>
        <v>0</v>
      </c>
      <c r="CI132" s="679"/>
      <c r="CJ132" s="691" t="str">
        <f>'SHL Section'!$P$10</f>
        <v>S</v>
      </c>
      <c r="CK132" s="679"/>
      <c r="CL132" s="446">
        <f>'SHL Section'!$Q$10</f>
        <v>0</v>
      </c>
      <c r="CM132" s="446" t="str">
        <f>'SHL Section'!$R$10</f>
        <v>W</v>
      </c>
      <c r="CN132" s="446"/>
      <c r="CO132" s="446" t="str">
        <f>'SHL Section'!$S$10</f>
        <v>Uintah</v>
      </c>
      <c r="CP132" t="s">
        <v>233</v>
      </c>
    </row>
    <row r="134" spans="1:94" x14ac:dyDescent="0.25">
      <c r="AD134">
        <f t="shared" ref="AD134:AE136" si="20">AD91</f>
        <v>0</v>
      </c>
      <c r="AE134" t="str">
        <f t="shared" si="20"/>
        <v>" Casing</v>
      </c>
      <c r="AQ134">
        <f t="shared" ref="AQ134:AR136" si="21">AD102</f>
        <v>0</v>
      </c>
      <c r="AR134" t="str">
        <f t="shared" si="21"/>
        <v>" Casing</v>
      </c>
      <c r="AU134">
        <f t="shared" ref="AU134:AV136" si="22">AU91</f>
        <v>0</v>
      </c>
      <c r="AV134" t="str">
        <f t="shared" si="22"/>
        <v>" Casing</v>
      </c>
      <c r="BG134">
        <f t="shared" ref="BG134:BH136" si="23">AU111</f>
        <v>0</v>
      </c>
      <c r="BH134" t="str">
        <f t="shared" si="23"/>
        <v>" Casing</v>
      </c>
      <c r="BL134">
        <f t="shared" ref="BL134:BM136" si="24">BL99</f>
        <v>0</v>
      </c>
      <c r="BM134" t="str">
        <f t="shared" si="24"/>
        <v>" Casing</v>
      </c>
      <c r="BX134">
        <f t="shared" ref="BX134:BY136" si="25">BL111</f>
        <v>0</v>
      </c>
      <c r="BY134" t="str">
        <f t="shared" si="25"/>
        <v>" Casing</v>
      </c>
      <c r="CC134">
        <f t="shared" ref="CC134:CD136" si="26">CC98</f>
        <v>0</v>
      </c>
      <c r="CD134" t="str">
        <f t="shared" si="26"/>
        <v>" Casing</v>
      </c>
      <c r="CO134">
        <f t="shared" ref="CO134:CP136" si="27">CC123</f>
        <v>0</v>
      </c>
      <c r="CP134" t="str">
        <f t="shared" si="27"/>
        <v>" Casing</v>
      </c>
    </row>
    <row r="135" spans="1:94" x14ac:dyDescent="0.25">
      <c r="AD135">
        <f t="shared" si="20"/>
        <v>0</v>
      </c>
      <c r="AE135" t="str">
        <f t="shared" si="20"/>
        <v>'  MD</v>
      </c>
      <c r="AQ135">
        <f t="shared" si="21"/>
        <v>0</v>
      </c>
      <c r="AR135" t="str">
        <f t="shared" si="21"/>
        <v>'  MD</v>
      </c>
      <c r="AU135">
        <f t="shared" si="22"/>
        <v>0</v>
      </c>
      <c r="AV135" t="str">
        <f t="shared" si="22"/>
        <v>'  MD</v>
      </c>
      <c r="BG135">
        <f t="shared" si="23"/>
        <v>0</v>
      </c>
      <c r="BH135" t="str">
        <f t="shared" si="23"/>
        <v>'  MD</v>
      </c>
      <c r="BL135">
        <f t="shared" si="24"/>
        <v>0</v>
      </c>
      <c r="BM135" t="str">
        <f t="shared" si="24"/>
        <v>'  MD</v>
      </c>
      <c r="BX135">
        <f t="shared" si="25"/>
        <v>0</v>
      </c>
      <c r="BY135" t="str">
        <f t="shared" si="25"/>
        <v>'  MD</v>
      </c>
      <c r="CC135">
        <f t="shared" si="26"/>
        <v>0</v>
      </c>
      <c r="CD135" t="str">
        <f t="shared" si="26"/>
        <v>'  MD</v>
      </c>
      <c r="CO135">
        <f t="shared" si="27"/>
        <v>0</v>
      </c>
      <c r="CP135" t="str">
        <f t="shared" si="27"/>
        <v>'  MD</v>
      </c>
    </row>
    <row r="136" spans="1:94" x14ac:dyDescent="0.25">
      <c r="AD136" t="e">
        <f t="shared" si="20"/>
        <v>#N/A</v>
      </c>
      <c r="AE136" t="str">
        <f t="shared" si="20"/>
        <v xml:space="preserve">' TVD </v>
      </c>
      <c r="AQ136" s="446" t="e">
        <f t="shared" si="21"/>
        <v>#N/A</v>
      </c>
      <c r="AR136" t="str">
        <f t="shared" si="21"/>
        <v xml:space="preserve">' TVD </v>
      </c>
      <c r="AU136" t="e">
        <f t="shared" si="22"/>
        <v>#N/A</v>
      </c>
      <c r="AV136" t="str">
        <f t="shared" si="22"/>
        <v xml:space="preserve">' TVD </v>
      </c>
      <c r="BG136" s="446" t="e">
        <f t="shared" si="23"/>
        <v>#N/A</v>
      </c>
      <c r="BH136" t="str">
        <f t="shared" si="23"/>
        <v xml:space="preserve">' TVD </v>
      </c>
      <c r="BL136" s="446" t="e">
        <f t="shared" si="24"/>
        <v>#N/A</v>
      </c>
      <c r="BM136" t="str">
        <f t="shared" si="24"/>
        <v xml:space="preserve">' TVD </v>
      </c>
      <c r="BX136" s="446" t="e">
        <f t="shared" si="25"/>
        <v>#N/A</v>
      </c>
      <c r="BY136" t="str">
        <f t="shared" si="25"/>
        <v xml:space="preserve">' TVD </v>
      </c>
      <c r="CC136" t="e">
        <f t="shared" si="26"/>
        <v>#N/A</v>
      </c>
      <c r="CD136" t="str">
        <f t="shared" si="26"/>
        <v xml:space="preserve">' TVD </v>
      </c>
      <c r="CO136" t="e">
        <f t="shared" si="27"/>
        <v>#N/A</v>
      </c>
      <c r="CP136" t="str">
        <f t="shared" si="27"/>
        <v xml:space="preserve">' TVD </v>
      </c>
    </row>
    <row r="137" spans="1:94" x14ac:dyDescent="0.25">
      <c r="AD137" s="446">
        <f>IF(AD94="Surface",0,AD94)</f>
        <v>0</v>
      </c>
      <c r="AE137" t="str">
        <f>AE94</f>
        <v>' TOC</v>
      </c>
      <c r="AQ137" s="446">
        <f>IF(AD105="surface",0,AD105)</f>
        <v>0</v>
      </c>
      <c r="AR137" t="str">
        <f>AE105</f>
        <v>' TOC</v>
      </c>
      <c r="AU137" s="446">
        <f>IF(AU94="Surface",0,AU94)</f>
        <v>0</v>
      </c>
      <c r="AV137" t="str">
        <f>AV94</f>
        <v>' TOC</v>
      </c>
      <c r="BG137" s="446">
        <f>IF(AU114="surface",0,AU114)</f>
        <v>0</v>
      </c>
      <c r="BH137" t="str">
        <f>AV114</f>
        <v>' TOC</v>
      </c>
      <c r="BL137" s="446">
        <f>IF(BL102="Surface",0,BL102)</f>
        <v>0</v>
      </c>
      <c r="BM137" t="str">
        <f>BM102</f>
        <v>' TOC</v>
      </c>
      <c r="BX137" s="446">
        <f>IF(BL114="surface",0,BL114)</f>
        <v>0</v>
      </c>
      <c r="BY137" t="str">
        <f>BM114</f>
        <v>' TOC</v>
      </c>
      <c r="CC137" s="446">
        <f>IF(CC101="Surface",0,CC101)</f>
        <v>0</v>
      </c>
      <c r="CD137" t="str">
        <f>CD101</f>
        <v>' TOC</v>
      </c>
      <c r="CO137" s="446">
        <f>IF(CC126="Surface",0,CC126)</f>
        <v>0</v>
      </c>
      <c r="CP137" t="str">
        <f>CD126</f>
        <v>' TOC</v>
      </c>
    </row>
    <row r="138" spans="1:94" x14ac:dyDescent="0.25">
      <c r="AD138" s="446">
        <f>AD95</f>
        <v>0</v>
      </c>
      <c r="AE138" t="str">
        <f>AE95</f>
        <v>' Tail</v>
      </c>
      <c r="AQ138" s="446">
        <f>AD106</f>
        <v>0</v>
      </c>
      <c r="AR138" t="str">
        <f>AE106</f>
        <v>' Tail</v>
      </c>
      <c r="AU138" s="446">
        <f>AU95</f>
        <v>0</v>
      </c>
      <c r="AV138" t="str">
        <f>AV95</f>
        <v>' Tail</v>
      </c>
      <c r="BG138" s="446">
        <f>AU115</f>
        <v>0</v>
      </c>
      <c r="BH138" t="str">
        <f>AV115</f>
        <v>' Tail</v>
      </c>
      <c r="BL138" s="446">
        <f>BL103</f>
        <v>0</v>
      </c>
      <c r="BM138" t="str">
        <f>BM103</f>
        <v>' Tail</v>
      </c>
      <c r="BX138" s="446">
        <f>BL115</f>
        <v>0</v>
      </c>
      <c r="BY138" t="str">
        <f>BM115</f>
        <v>' Tail</v>
      </c>
      <c r="CC138" s="446">
        <f>CC102</f>
        <v>0</v>
      </c>
      <c r="CD138" t="str">
        <f>CD102</f>
        <v>' Tail</v>
      </c>
      <c r="CO138" s="446">
        <f>CC127</f>
        <v>0</v>
      </c>
      <c r="CP138" t="str">
        <f>CD127</f>
        <v>' Tail</v>
      </c>
    </row>
    <row r="140" spans="1:94" x14ac:dyDescent="0.25">
      <c r="AD140">
        <v>1</v>
      </c>
      <c r="AE140">
        <v>0</v>
      </c>
      <c r="AQ140">
        <v>1</v>
      </c>
      <c r="AR140">
        <v>0</v>
      </c>
      <c r="AU140">
        <v>1</v>
      </c>
      <c r="AV140">
        <v>0</v>
      </c>
      <c r="BG140">
        <v>1</v>
      </c>
      <c r="BH140">
        <v>0</v>
      </c>
      <c r="BL140">
        <v>1</v>
      </c>
      <c r="BM140">
        <v>0</v>
      </c>
      <c r="BX140">
        <v>1</v>
      </c>
      <c r="BY140">
        <v>0</v>
      </c>
      <c r="CC140">
        <v>1</v>
      </c>
      <c r="CD140">
        <v>0</v>
      </c>
      <c r="CO140">
        <v>1</v>
      </c>
      <c r="CP140">
        <v>0</v>
      </c>
    </row>
    <row r="141" spans="1:94" x14ac:dyDescent="0.25">
      <c r="AD141">
        <v>2</v>
      </c>
      <c r="AE141" s="446">
        <f>IF($AE161&lt;$AD$135,$AE161,0)</f>
        <v>0</v>
      </c>
      <c r="AQ141">
        <v>2</v>
      </c>
      <c r="AR141" s="446">
        <f t="shared" ref="AR141:AR165" si="28">IF($AE161&lt;$AQ$135,$AE161,0)</f>
        <v>0</v>
      </c>
      <c r="AU141">
        <v>2</v>
      </c>
      <c r="AV141" s="446">
        <f t="shared" ref="AV141:AV152" si="29">IF($AV161&lt;$AU$135,$AV161,0)</f>
        <v>0</v>
      </c>
      <c r="BG141">
        <v>2</v>
      </c>
      <c r="BH141" s="446">
        <f t="shared" ref="BH141:BH177" si="30">IF($AV161&lt;$BG$135,$AV161,0)</f>
        <v>0</v>
      </c>
      <c r="BL141">
        <v>2</v>
      </c>
      <c r="BM141" s="446">
        <f t="shared" ref="BM141:BM174" si="31">IF(BM183&lt;$BL$135,BM183,0)</f>
        <v>0</v>
      </c>
      <c r="BX141">
        <v>2</v>
      </c>
      <c r="BY141" s="446">
        <f t="shared" ref="BY141:BY177" si="32">IF(BM183&lt;$BX$135,BM183,0)</f>
        <v>0</v>
      </c>
      <c r="CC141">
        <v>2</v>
      </c>
      <c r="CD141" s="446">
        <f t="shared" ref="CD141:CD165" si="33">IF(CP141&lt;$CC$135,CP141,0)</f>
        <v>0</v>
      </c>
      <c r="CO141">
        <v>2</v>
      </c>
      <c r="CP141" s="446">
        <f>CO141/38*$CO$135/1.75</f>
        <v>0</v>
      </c>
    </row>
    <row r="142" spans="1:94" x14ac:dyDescent="0.25">
      <c r="AD142">
        <v>3</v>
      </c>
      <c r="AE142" s="446">
        <f t="shared" ref="AE142:AE150" si="34">IF(AE162&lt;$AD$135,AE162,0)</f>
        <v>0</v>
      </c>
      <c r="AQ142">
        <v>3</v>
      </c>
      <c r="AR142" s="446">
        <f t="shared" si="28"/>
        <v>0</v>
      </c>
      <c r="AU142">
        <v>3</v>
      </c>
      <c r="AV142" s="446">
        <f t="shared" si="29"/>
        <v>0</v>
      </c>
      <c r="BG142">
        <v>3</v>
      </c>
      <c r="BH142" s="446">
        <f t="shared" si="30"/>
        <v>0</v>
      </c>
      <c r="BL142">
        <v>3</v>
      </c>
      <c r="BM142" s="446">
        <f t="shared" si="31"/>
        <v>0</v>
      </c>
      <c r="BX142">
        <v>3</v>
      </c>
      <c r="BY142" s="446">
        <f t="shared" si="32"/>
        <v>0</v>
      </c>
      <c r="CC142">
        <v>3</v>
      </c>
      <c r="CD142" s="446">
        <f t="shared" si="33"/>
        <v>0</v>
      </c>
      <c r="CO142">
        <v>3</v>
      </c>
      <c r="CP142" s="446">
        <f>CO142/38*$CO$135/1.31</f>
        <v>0</v>
      </c>
    </row>
    <row r="143" spans="1:94" x14ac:dyDescent="0.25">
      <c r="AD143">
        <v>4</v>
      </c>
      <c r="AE143" s="446">
        <f t="shared" si="34"/>
        <v>0</v>
      </c>
      <c r="AQ143">
        <v>4</v>
      </c>
      <c r="AR143" s="446">
        <f t="shared" si="28"/>
        <v>0</v>
      </c>
      <c r="AU143">
        <v>4</v>
      </c>
      <c r="AV143" s="446">
        <f t="shared" si="29"/>
        <v>0</v>
      </c>
      <c r="BG143">
        <v>4</v>
      </c>
      <c r="BH143" s="446">
        <f t="shared" si="30"/>
        <v>0</v>
      </c>
      <c r="BL143">
        <v>4</v>
      </c>
      <c r="BM143" s="446">
        <f t="shared" si="31"/>
        <v>0</v>
      </c>
      <c r="BX143">
        <v>4</v>
      </c>
      <c r="BY143" s="446">
        <f t="shared" si="32"/>
        <v>0</v>
      </c>
      <c r="CC143">
        <v>4</v>
      </c>
      <c r="CD143" s="446">
        <f t="shared" si="33"/>
        <v>0</v>
      </c>
      <c r="CO143">
        <v>4</v>
      </c>
      <c r="CP143" s="446">
        <f>CO143/38*$CO$135/1.17</f>
        <v>0</v>
      </c>
    </row>
    <row r="144" spans="1:94" x14ac:dyDescent="0.25">
      <c r="AD144">
        <v>5</v>
      </c>
      <c r="AE144" s="446">
        <f t="shared" si="34"/>
        <v>0</v>
      </c>
      <c r="AQ144">
        <v>5</v>
      </c>
      <c r="AR144" s="446">
        <f t="shared" si="28"/>
        <v>0</v>
      </c>
      <c r="AU144">
        <v>5</v>
      </c>
      <c r="AV144" s="446">
        <f t="shared" si="29"/>
        <v>0</v>
      </c>
      <c r="BG144">
        <v>5</v>
      </c>
      <c r="BH144" s="446">
        <f t="shared" si="30"/>
        <v>0</v>
      </c>
      <c r="BL144">
        <v>5</v>
      </c>
      <c r="BM144" s="446">
        <f t="shared" si="31"/>
        <v>0</v>
      </c>
      <c r="BX144">
        <v>5</v>
      </c>
      <c r="BY144" s="446">
        <f t="shared" si="32"/>
        <v>0</v>
      </c>
      <c r="CC144">
        <v>5</v>
      </c>
      <c r="CD144" s="446">
        <f t="shared" si="33"/>
        <v>0</v>
      </c>
      <c r="CO144">
        <v>5</v>
      </c>
      <c r="CP144" s="446">
        <f>CO144/38*$CO$135/1.1</f>
        <v>0</v>
      </c>
    </row>
    <row r="145" spans="30:94" x14ac:dyDescent="0.25">
      <c r="AD145">
        <v>6</v>
      </c>
      <c r="AE145" s="446">
        <f t="shared" si="34"/>
        <v>0</v>
      </c>
      <c r="AQ145">
        <v>6</v>
      </c>
      <c r="AR145" s="446">
        <f t="shared" si="28"/>
        <v>0</v>
      </c>
      <c r="AU145">
        <v>6</v>
      </c>
      <c r="AV145" s="446">
        <f t="shared" si="29"/>
        <v>0</v>
      </c>
      <c r="BG145">
        <v>6</v>
      </c>
      <c r="BH145" s="446">
        <f t="shared" si="30"/>
        <v>0</v>
      </c>
      <c r="BL145">
        <v>6</v>
      </c>
      <c r="BM145" s="446">
        <f t="shared" si="31"/>
        <v>0</v>
      </c>
      <c r="BX145">
        <v>6</v>
      </c>
      <c r="BY145" s="446">
        <f t="shared" si="32"/>
        <v>0</v>
      </c>
      <c r="CC145">
        <v>6</v>
      </c>
      <c r="CD145" s="446">
        <f t="shared" si="33"/>
        <v>0</v>
      </c>
      <c r="CO145">
        <v>6</v>
      </c>
      <c r="CP145" s="446">
        <f>CO145/38*$CO$135/1.05</f>
        <v>0</v>
      </c>
    </row>
    <row r="146" spans="30:94" x14ac:dyDescent="0.25">
      <c r="AD146">
        <v>7</v>
      </c>
      <c r="AE146" s="446">
        <f t="shared" si="34"/>
        <v>0</v>
      </c>
      <c r="AQ146">
        <v>7</v>
      </c>
      <c r="AR146" s="446">
        <f t="shared" si="28"/>
        <v>0</v>
      </c>
      <c r="AU146">
        <v>7</v>
      </c>
      <c r="AV146" s="446">
        <f t="shared" si="29"/>
        <v>0</v>
      </c>
      <c r="BG146">
        <v>7</v>
      </c>
      <c r="BH146" s="446">
        <f t="shared" si="30"/>
        <v>0</v>
      </c>
      <c r="BL146">
        <v>7</v>
      </c>
      <c r="BM146" s="446">
        <f t="shared" si="31"/>
        <v>0</v>
      </c>
      <c r="BX146">
        <v>7</v>
      </c>
      <c r="BY146" s="446">
        <f t="shared" si="32"/>
        <v>0</v>
      </c>
      <c r="CC146">
        <v>7</v>
      </c>
      <c r="CD146" s="446">
        <f t="shared" si="33"/>
        <v>0</v>
      </c>
      <c r="CO146">
        <v>7</v>
      </c>
      <c r="CP146" s="446">
        <f t="shared" ref="CP146:CP177" si="35">CO146/38*$CO$135</f>
        <v>0</v>
      </c>
    </row>
    <row r="147" spans="30:94" x14ac:dyDescent="0.25">
      <c r="AD147">
        <v>8</v>
      </c>
      <c r="AE147" s="446">
        <f t="shared" si="34"/>
        <v>0</v>
      </c>
      <c r="AQ147">
        <v>8</v>
      </c>
      <c r="AR147" s="446">
        <f t="shared" si="28"/>
        <v>0</v>
      </c>
      <c r="AU147">
        <v>8</v>
      </c>
      <c r="AV147" s="446">
        <f t="shared" si="29"/>
        <v>0</v>
      </c>
      <c r="BG147">
        <v>8</v>
      </c>
      <c r="BH147" s="446">
        <f t="shared" si="30"/>
        <v>0</v>
      </c>
      <c r="BL147">
        <v>8</v>
      </c>
      <c r="BM147" s="446">
        <f t="shared" si="31"/>
        <v>0</v>
      </c>
      <c r="BX147">
        <v>8</v>
      </c>
      <c r="BY147" s="446">
        <f t="shared" si="32"/>
        <v>0</v>
      </c>
      <c r="CC147">
        <v>8</v>
      </c>
      <c r="CD147" s="446">
        <f t="shared" si="33"/>
        <v>0</v>
      </c>
      <c r="CO147">
        <v>8</v>
      </c>
      <c r="CP147" s="446">
        <f t="shared" si="35"/>
        <v>0</v>
      </c>
    </row>
    <row r="148" spans="30:94" x14ac:dyDescent="0.25">
      <c r="AD148">
        <v>9</v>
      </c>
      <c r="AE148" s="446">
        <f t="shared" si="34"/>
        <v>0</v>
      </c>
      <c r="AQ148">
        <v>9</v>
      </c>
      <c r="AR148" s="446">
        <f t="shared" si="28"/>
        <v>0</v>
      </c>
      <c r="AU148">
        <v>9</v>
      </c>
      <c r="AV148" s="446">
        <f t="shared" si="29"/>
        <v>0</v>
      </c>
      <c r="BG148">
        <v>9</v>
      </c>
      <c r="BH148" s="446">
        <f t="shared" si="30"/>
        <v>0</v>
      </c>
      <c r="BL148">
        <v>9</v>
      </c>
      <c r="BM148" s="446">
        <f t="shared" si="31"/>
        <v>0</v>
      </c>
      <c r="BX148">
        <v>9</v>
      </c>
      <c r="BY148" s="446">
        <f t="shared" si="32"/>
        <v>0</v>
      </c>
      <c r="CC148">
        <v>9</v>
      </c>
      <c r="CD148" s="446">
        <f t="shared" si="33"/>
        <v>0</v>
      </c>
      <c r="CO148">
        <v>9</v>
      </c>
      <c r="CP148" s="446">
        <f t="shared" si="35"/>
        <v>0</v>
      </c>
    </row>
    <row r="149" spans="30:94" x14ac:dyDescent="0.25">
      <c r="AD149">
        <v>10</v>
      </c>
      <c r="AE149" s="446">
        <f t="shared" si="34"/>
        <v>0</v>
      </c>
      <c r="AQ149">
        <v>10</v>
      </c>
      <c r="AR149" s="446">
        <f t="shared" si="28"/>
        <v>0</v>
      </c>
      <c r="AU149">
        <v>10</v>
      </c>
      <c r="AV149" s="446">
        <f t="shared" si="29"/>
        <v>0</v>
      </c>
      <c r="BG149">
        <v>10</v>
      </c>
      <c r="BH149" s="446">
        <f t="shared" si="30"/>
        <v>0</v>
      </c>
      <c r="BL149">
        <v>10</v>
      </c>
      <c r="BM149" s="446">
        <f t="shared" si="31"/>
        <v>0</v>
      </c>
      <c r="BX149">
        <v>10</v>
      </c>
      <c r="BY149" s="446">
        <f t="shared" si="32"/>
        <v>0</v>
      </c>
      <c r="CC149">
        <v>10</v>
      </c>
      <c r="CD149" s="446">
        <f t="shared" si="33"/>
        <v>0</v>
      </c>
      <c r="CO149">
        <v>10</v>
      </c>
      <c r="CP149" s="446">
        <f t="shared" si="35"/>
        <v>0</v>
      </c>
    </row>
    <row r="150" spans="30:94" x14ac:dyDescent="0.25">
      <c r="AD150">
        <v>11</v>
      </c>
      <c r="AE150" s="446">
        <f t="shared" si="34"/>
        <v>0</v>
      </c>
      <c r="AQ150">
        <v>11</v>
      </c>
      <c r="AR150" s="446">
        <f t="shared" si="28"/>
        <v>0</v>
      </c>
      <c r="AU150">
        <v>11</v>
      </c>
      <c r="AV150" s="446">
        <f t="shared" si="29"/>
        <v>0</v>
      </c>
      <c r="BG150">
        <v>11</v>
      </c>
      <c r="BH150" s="446">
        <f t="shared" si="30"/>
        <v>0</v>
      </c>
      <c r="BL150">
        <v>11</v>
      </c>
      <c r="BM150" s="446">
        <f t="shared" si="31"/>
        <v>0</v>
      </c>
      <c r="BX150">
        <v>11</v>
      </c>
      <c r="BY150" s="446">
        <f t="shared" si="32"/>
        <v>0</v>
      </c>
      <c r="CC150">
        <v>11</v>
      </c>
      <c r="CD150" s="446">
        <f t="shared" si="33"/>
        <v>0</v>
      </c>
      <c r="CO150">
        <v>11</v>
      </c>
      <c r="CP150" s="446">
        <f t="shared" si="35"/>
        <v>0</v>
      </c>
    </row>
    <row r="151" spans="30:94" x14ac:dyDescent="0.25">
      <c r="AQ151">
        <v>12</v>
      </c>
      <c r="AR151" s="446">
        <f t="shared" si="28"/>
        <v>0</v>
      </c>
      <c r="AU151">
        <v>12</v>
      </c>
      <c r="AV151" s="446">
        <f t="shared" si="29"/>
        <v>0</v>
      </c>
      <c r="BG151">
        <v>12</v>
      </c>
      <c r="BH151" s="446">
        <f t="shared" si="30"/>
        <v>0</v>
      </c>
      <c r="BL151">
        <v>12</v>
      </c>
      <c r="BM151" s="446">
        <f t="shared" si="31"/>
        <v>0</v>
      </c>
      <c r="BX151">
        <v>12</v>
      </c>
      <c r="BY151" s="446">
        <f t="shared" si="32"/>
        <v>0</v>
      </c>
      <c r="CC151">
        <v>12</v>
      </c>
      <c r="CD151" s="446">
        <f t="shared" si="33"/>
        <v>0</v>
      </c>
      <c r="CO151">
        <v>12</v>
      </c>
      <c r="CP151" s="446">
        <f t="shared" si="35"/>
        <v>0</v>
      </c>
    </row>
    <row r="152" spans="30:94" x14ac:dyDescent="0.25">
      <c r="AQ152">
        <v>13</v>
      </c>
      <c r="AR152" s="446">
        <f t="shared" si="28"/>
        <v>0</v>
      </c>
      <c r="AU152">
        <v>13</v>
      </c>
      <c r="AV152" s="446">
        <f t="shared" si="29"/>
        <v>0</v>
      </c>
      <c r="BG152">
        <v>13</v>
      </c>
      <c r="BH152" s="446">
        <f t="shared" si="30"/>
        <v>0</v>
      </c>
      <c r="BL152">
        <v>13</v>
      </c>
      <c r="BM152" s="446">
        <f t="shared" si="31"/>
        <v>0</v>
      </c>
      <c r="BX152">
        <v>13</v>
      </c>
      <c r="BY152" s="446">
        <f t="shared" si="32"/>
        <v>0</v>
      </c>
      <c r="CC152">
        <v>13</v>
      </c>
      <c r="CD152" s="446">
        <f t="shared" si="33"/>
        <v>0</v>
      </c>
      <c r="CO152">
        <v>13</v>
      </c>
      <c r="CP152" s="446">
        <f t="shared" si="35"/>
        <v>0</v>
      </c>
    </row>
    <row r="153" spans="30:94" x14ac:dyDescent="0.25">
      <c r="AQ153">
        <v>14</v>
      </c>
      <c r="AR153" s="446">
        <f t="shared" si="28"/>
        <v>0</v>
      </c>
      <c r="BG153">
        <v>14</v>
      </c>
      <c r="BH153" s="446">
        <f t="shared" si="30"/>
        <v>0</v>
      </c>
      <c r="BL153">
        <v>14</v>
      </c>
      <c r="BM153" s="446">
        <f t="shared" si="31"/>
        <v>0</v>
      </c>
      <c r="BX153">
        <v>14</v>
      </c>
      <c r="BY153" s="446">
        <f t="shared" si="32"/>
        <v>0</v>
      </c>
      <c r="CC153">
        <v>14</v>
      </c>
      <c r="CD153" s="446">
        <f t="shared" si="33"/>
        <v>0</v>
      </c>
      <c r="CO153">
        <v>14</v>
      </c>
      <c r="CP153" s="446">
        <f t="shared" si="35"/>
        <v>0</v>
      </c>
    </row>
    <row r="154" spans="30:94" x14ac:dyDescent="0.25">
      <c r="AD154">
        <f t="shared" ref="AD154:AE156" si="36">AD123</f>
        <v>0</v>
      </c>
      <c r="AE154" t="str">
        <f t="shared" si="36"/>
        <v>" Casing</v>
      </c>
      <c r="AQ154">
        <v>15</v>
      </c>
      <c r="AR154" s="446">
        <f t="shared" si="28"/>
        <v>0</v>
      </c>
      <c r="AU154">
        <f t="shared" ref="AU154:AV156" si="37">AU123</f>
        <v>0</v>
      </c>
      <c r="AV154" t="str">
        <f t="shared" si="37"/>
        <v>" Liner</v>
      </c>
      <c r="BG154">
        <v>15</v>
      </c>
      <c r="BH154" s="446">
        <f t="shared" si="30"/>
        <v>0</v>
      </c>
      <c r="BL154">
        <v>15</v>
      </c>
      <c r="BM154" s="446">
        <f t="shared" si="31"/>
        <v>0</v>
      </c>
      <c r="BX154">
        <v>15</v>
      </c>
      <c r="BY154" s="446">
        <f t="shared" si="32"/>
        <v>0</v>
      </c>
      <c r="CC154">
        <v>15</v>
      </c>
      <c r="CD154" s="446">
        <f t="shared" si="33"/>
        <v>0</v>
      </c>
      <c r="CO154">
        <v>15</v>
      </c>
      <c r="CP154" s="446">
        <f t="shared" si="35"/>
        <v>0</v>
      </c>
    </row>
    <row r="155" spans="30:94" x14ac:dyDescent="0.25">
      <c r="AD155">
        <f t="shared" si="36"/>
        <v>0</v>
      </c>
      <c r="AE155" t="str">
        <f t="shared" si="36"/>
        <v>'  MD</v>
      </c>
      <c r="AQ155">
        <v>16</v>
      </c>
      <c r="AR155" s="446">
        <f t="shared" si="28"/>
        <v>0</v>
      </c>
      <c r="AU155">
        <f t="shared" si="37"/>
        <v>0</v>
      </c>
      <c r="AV155" t="str">
        <f t="shared" si="37"/>
        <v>'  MD</v>
      </c>
      <c r="BG155">
        <v>16</v>
      </c>
      <c r="BH155" s="446">
        <f t="shared" si="30"/>
        <v>0</v>
      </c>
      <c r="BL155">
        <v>16</v>
      </c>
      <c r="BM155" s="446">
        <f t="shared" si="31"/>
        <v>0</v>
      </c>
      <c r="BX155">
        <v>16</v>
      </c>
      <c r="BY155" s="446">
        <f t="shared" si="32"/>
        <v>0</v>
      </c>
      <c r="CC155">
        <v>16</v>
      </c>
      <c r="CD155" s="446">
        <f t="shared" si="33"/>
        <v>0</v>
      </c>
      <c r="CO155">
        <v>16</v>
      </c>
      <c r="CP155" s="446">
        <f t="shared" si="35"/>
        <v>0</v>
      </c>
    </row>
    <row r="156" spans="30:94" x14ac:dyDescent="0.25">
      <c r="AD156" s="446" t="e">
        <f t="shared" si="36"/>
        <v>#N/A</v>
      </c>
      <c r="AE156" t="str">
        <f t="shared" si="36"/>
        <v xml:space="preserve">' TVD </v>
      </c>
      <c r="AQ156">
        <v>17</v>
      </c>
      <c r="AR156" s="446">
        <f t="shared" si="28"/>
        <v>0</v>
      </c>
      <c r="AU156" s="446" t="e">
        <f t="shared" si="37"/>
        <v>#N/A</v>
      </c>
      <c r="AV156" t="str">
        <f t="shared" si="37"/>
        <v xml:space="preserve">' TVD </v>
      </c>
      <c r="BG156">
        <v>17</v>
      </c>
      <c r="BH156" s="446">
        <f t="shared" si="30"/>
        <v>0</v>
      </c>
      <c r="BL156">
        <v>17</v>
      </c>
      <c r="BM156" s="446">
        <f t="shared" si="31"/>
        <v>0</v>
      </c>
      <c r="BX156">
        <v>17</v>
      </c>
      <c r="BY156" s="446">
        <f t="shared" si="32"/>
        <v>0</v>
      </c>
      <c r="CC156">
        <v>17</v>
      </c>
      <c r="CD156" s="446">
        <f t="shared" si="33"/>
        <v>0</v>
      </c>
      <c r="CO156">
        <v>17</v>
      </c>
      <c r="CP156" s="446">
        <f t="shared" si="35"/>
        <v>0</v>
      </c>
    </row>
    <row r="157" spans="30:94" x14ac:dyDescent="0.25">
      <c r="AD157" s="446">
        <f>IF(AD126="Surface",0,AD126)</f>
        <v>0</v>
      </c>
      <c r="AE157" t="str">
        <f>AE126</f>
        <v>' TOC</v>
      </c>
      <c r="AQ157">
        <v>18</v>
      </c>
      <c r="AR157" s="446">
        <f t="shared" si="28"/>
        <v>0</v>
      </c>
      <c r="AU157" s="446">
        <f>IF(AU126="TOL",$BI$115,AU126)</f>
        <v>0</v>
      </c>
      <c r="AV157" t="str">
        <f>AV126</f>
        <v>' TOC</v>
      </c>
      <c r="BG157">
        <v>18</v>
      </c>
      <c r="BH157" s="446">
        <f t="shared" si="30"/>
        <v>0</v>
      </c>
      <c r="BL157">
        <v>18</v>
      </c>
      <c r="BM157" s="446">
        <f t="shared" si="31"/>
        <v>0</v>
      </c>
      <c r="BX157">
        <v>18</v>
      </c>
      <c r="BY157" s="446">
        <f t="shared" si="32"/>
        <v>0</v>
      </c>
      <c r="CC157">
        <v>18</v>
      </c>
      <c r="CD157" s="446">
        <f t="shared" si="33"/>
        <v>0</v>
      </c>
      <c r="CO157">
        <v>18</v>
      </c>
      <c r="CP157" s="446">
        <f t="shared" si="35"/>
        <v>0</v>
      </c>
    </row>
    <row r="158" spans="30:94" x14ac:dyDescent="0.25">
      <c r="AD158" s="446">
        <f>AD127</f>
        <v>0</v>
      </c>
      <c r="AE158" t="str">
        <f>AE127</f>
        <v>' Tail</v>
      </c>
      <c r="AQ158">
        <v>19</v>
      </c>
      <c r="AR158" s="446">
        <f t="shared" si="28"/>
        <v>0</v>
      </c>
      <c r="AU158">
        <f>AU127</f>
        <v>0</v>
      </c>
      <c r="AV158" t="str">
        <f>AV127</f>
        <v>' Tail</v>
      </c>
      <c r="BG158">
        <v>19</v>
      </c>
      <c r="BH158" s="446">
        <f t="shared" si="30"/>
        <v>0</v>
      </c>
      <c r="BL158">
        <v>19</v>
      </c>
      <c r="BM158" s="446">
        <f t="shared" si="31"/>
        <v>0</v>
      </c>
      <c r="BX158">
        <v>19</v>
      </c>
      <c r="BY158" s="446">
        <f t="shared" si="32"/>
        <v>0</v>
      </c>
      <c r="CC158">
        <v>19</v>
      </c>
      <c r="CD158" s="446">
        <f t="shared" si="33"/>
        <v>0</v>
      </c>
      <c r="CO158">
        <v>19</v>
      </c>
      <c r="CP158" s="446">
        <f t="shared" si="35"/>
        <v>0</v>
      </c>
    </row>
    <row r="159" spans="30:94" x14ac:dyDescent="0.25">
      <c r="AQ159">
        <v>20</v>
      </c>
      <c r="AR159" s="446">
        <f t="shared" si="28"/>
        <v>0</v>
      </c>
      <c r="BG159">
        <v>20</v>
      </c>
      <c r="BH159" s="446">
        <f t="shared" si="30"/>
        <v>0</v>
      </c>
      <c r="BL159">
        <v>20</v>
      </c>
      <c r="BM159" s="446">
        <f t="shared" si="31"/>
        <v>0</v>
      </c>
      <c r="BX159">
        <v>20</v>
      </c>
      <c r="BY159" s="446">
        <f t="shared" si="32"/>
        <v>0</v>
      </c>
      <c r="CC159">
        <v>20</v>
      </c>
      <c r="CD159" s="446">
        <f t="shared" si="33"/>
        <v>0</v>
      </c>
      <c r="CO159">
        <v>20</v>
      </c>
      <c r="CP159" s="446">
        <f t="shared" si="35"/>
        <v>0</v>
      </c>
    </row>
    <row r="160" spans="30:94" x14ac:dyDescent="0.25">
      <c r="AD160">
        <v>1</v>
      </c>
      <c r="AE160">
        <v>0</v>
      </c>
      <c r="AQ160">
        <v>21</v>
      </c>
      <c r="AR160" s="446">
        <f t="shared" si="28"/>
        <v>0</v>
      </c>
      <c r="AU160">
        <v>1</v>
      </c>
      <c r="AV160">
        <v>0</v>
      </c>
      <c r="BG160">
        <v>21</v>
      </c>
      <c r="BH160" s="446">
        <f t="shared" si="30"/>
        <v>0</v>
      </c>
      <c r="BL160">
        <v>21</v>
      </c>
      <c r="BM160" s="446">
        <f t="shared" si="31"/>
        <v>0</v>
      </c>
      <c r="BX160">
        <v>21</v>
      </c>
      <c r="BY160" s="446">
        <f t="shared" si="32"/>
        <v>0</v>
      </c>
      <c r="CC160">
        <v>21</v>
      </c>
      <c r="CD160" s="446">
        <f t="shared" si="33"/>
        <v>0</v>
      </c>
      <c r="CO160">
        <v>21</v>
      </c>
      <c r="CP160" s="446">
        <f t="shared" si="35"/>
        <v>0</v>
      </c>
    </row>
    <row r="161" spans="30:94" x14ac:dyDescent="0.25">
      <c r="AD161">
        <v>2</v>
      </c>
      <c r="AE161" s="446">
        <f>AD161/38*$AD$155/1.75</f>
        <v>0</v>
      </c>
      <c r="AQ161">
        <v>22</v>
      </c>
      <c r="AR161" s="446">
        <f t="shared" si="28"/>
        <v>0</v>
      </c>
      <c r="AU161">
        <v>2</v>
      </c>
      <c r="AV161" s="446">
        <f>AU161/38*$AU$155/1.75</f>
        <v>0</v>
      </c>
      <c r="BG161">
        <v>22</v>
      </c>
      <c r="BH161" s="446">
        <f t="shared" si="30"/>
        <v>0</v>
      </c>
      <c r="BL161">
        <v>22</v>
      </c>
      <c r="BM161" s="446">
        <f t="shared" si="31"/>
        <v>0</v>
      </c>
      <c r="BX161">
        <v>22</v>
      </c>
      <c r="BY161" s="446">
        <f t="shared" si="32"/>
        <v>0</v>
      </c>
      <c r="CC161">
        <v>22</v>
      </c>
      <c r="CD161" s="446">
        <f t="shared" si="33"/>
        <v>0</v>
      </c>
      <c r="CO161">
        <v>22</v>
      </c>
      <c r="CP161" s="446">
        <f t="shared" si="35"/>
        <v>0</v>
      </c>
    </row>
    <row r="162" spans="30:94" x14ac:dyDescent="0.25">
      <c r="AD162">
        <v>3</v>
      </c>
      <c r="AE162" s="446">
        <f>AD162/38*$AD$155/1.31</f>
        <v>0</v>
      </c>
      <c r="AQ162">
        <v>23</v>
      </c>
      <c r="AR162" s="446">
        <f t="shared" si="28"/>
        <v>0</v>
      </c>
      <c r="AU162">
        <v>3</v>
      </c>
      <c r="AV162" s="446">
        <f>AU162/38*$AU$155/1.31</f>
        <v>0</v>
      </c>
      <c r="BG162">
        <v>23</v>
      </c>
      <c r="BH162" s="446">
        <f t="shared" si="30"/>
        <v>0</v>
      </c>
      <c r="BL162">
        <v>23</v>
      </c>
      <c r="BM162" s="446">
        <f t="shared" si="31"/>
        <v>0</v>
      </c>
      <c r="BX162">
        <v>23</v>
      </c>
      <c r="BY162" s="446">
        <f t="shared" si="32"/>
        <v>0</v>
      </c>
      <c r="CC162">
        <v>23</v>
      </c>
      <c r="CD162" s="446">
        <f t="shared" si="33"/>
        <v>0</v>
      </c>
      <c r="CO162">
        <v>23</v>
      </c>
      <c r="CP162" s="446">
        <f t="shared" si="35"/>
        <v>0</v>
      </c>
    </row>
    <row r="163" spans="30:94" x14ac:dyDescent="0.25">
      <c r="AD163">
        <v>4</v>
      </c>
      <c r="AE163" s="446">
        <f>AD163/38*$AD$155/1.17</f>
        <v>0</v>
      </c>
      <c r="AQ163">
        <v>24</v>
      </c>
      <c r="AR163" s="446">
        <f t="shared" si="28"/>
        <v>0</v>
      </c>
      <c r="AU163">
        <v>4</v>
      </c>
      <c r="AV163" s="446">
        <f>AU163/38*$AU$155/1.17</f>
        <v>0</v>
      </c>
      <c r="BG163">
        <v>24</v>
      </c>
      <c r="BH163" s="446">
        <f t="shared" si="30"/>
        <v>0</v>
      </c>
      <c r="BL163">
        <v>24</v>
      </c>
      <c r="BM163" s="446">
        <f t="shared" si="31"/>
        <v>0</v>
      </c>
      <c r="BX163">
        <v>24</v>
      </c>
      <c r="BY163" s="446">
        <f t="shared" si="32"/>
        <v>0</v>
      </c>
      <c r="CC163">
        <v>24</v>
      </c>
      <c r="CD163" s="446">
        <f t="shared" si="33"/>
        <v>0</v>
      </c>
      <c r="CO163">
        <v>24</v>
      </c>
      <c r="CP163" s="446">
        <f t="shared" si="35"/>
        <v>0</v>
      </c>
    </row>
    <row r="164" spans="30:94" x14ac:dyDescent="0.25">
      <c r="AD164">
        <v>5</v>
      </c>
      <c r="AE164" s="446">
        <f>AD164/38*$AD$155/1.1</f>
        <v>0</v>
      </c>
      <c r="AQ164">
        <v>25</v>
      </c>
      <c r="AR164" s="446">
        <f t="shared" si="28"/>
        <v>0</v>
      </c>
      <c r="AU164">
        <v>5</v>
      </c>
      <c r="AV164" s="446">
        <f>AU164/38*$AU$155/1.1</f>
        <v>0</v>
      </c>
      <c r="BG164">
        <v>25</v>
      </c>
      <c r="BH164" s="446">
        <f t="shared" si="30"/>
        <v>0</v>
      </c>
      <c r="BL164">
        <v>25</v>
      </c>
      <c r="BM164" s="446">
        <f t="shared" si="31"/>
        <v>0</v>
      </c>
      <c r="BX164">
        <v>25</v>
      </c>
      <c r="BY164" s="446">
        <f t="shared" si="32"/>
        <v>0</v>
      </c>
      <c r="CC164">
        <v>25</v>
      </c>
      <c r="CD164" s="446">
        <f t="shared" si="33"/>
        <v>0</v>
      </c>
      <c r="CO164">
        <v>25</v>
      </c>
      <c r="CP164" s="446">
        <f t="shared" si="35"/>
        <v>0</v>
      </c>
    </row>
    <row r="165" spans="30:94" x14ac:dyDescent="0.25">
      <c r="AD165">
        <v>6</v>
      </c>
      <c r="AE165" s="446">
        <f>AD165/38*$AD$155/1.05</f>
        <v>0</v>
      </c>
      <c r="AQ165">
        <v>26</v>
      </c>
      <c r="AR165" s="446">
        <f t="shared" si="28"/>
        <v>0</v>
      </c>
      <c r="AU165">
        <v>6</v>
      </c>
      <c r="AV165" s="446">
        <f>AU165/38*$AU$155/1.05</f>
        <v>0</v>
      </c>
      <c r="BG165">
        <v>26</v>
      </c>
      <c r="BH165" s="446">
        <f t="shared" si="30"/>
        <v>0</v>
      </c>
      <c r="BL165">
        <v>26</v>
      </c>
      <c r="BM165" s="446">
        <f t="shared" si="31"/>
        <v>0</v>
      </c>
      <c r="BX165">
        <v>26</v>
      </c>
      <c r="BY165" s="446">
        <f t="shared" si="32"/>
        <v>0</v>
      </c>
      <c r="CC165">
        <v>26</v>
      </c>
      <c r="CD165" s="446">
        <f t="shared" si="33"/>
        <v>0</v>
      </c>
      <c r="CO165">
        <v>26</v>
      </c>
      <c r="CP165" s="446">
        <f t="shared" si="35"/>
        <v>0</v>
      </c>
    </row>
    <row r="166" spans="30:94" x14ac:dyDescent="0.25">
      <c r="AD166">
        <v>7</v>
      </c>
      <c r="AE166" s="446">
        <f t="shared" ref="AE166:AE197" si="38">AD166/38*$AD$155</f>
        <v>0</v>
      </c>
      <c r="AQ166" s="446"/>
      <c r="AU166">
        <v>7</v>
      </c>
      <c r="AV166" s="446">
        <f t="shared" ref="AV166:AV197" si="39">AU166/38*$AU$155</f>
        <v>0</v>
      </c>
      <c r="BG166">
        <v>27</v>
      </c>
      <c r="BH166" s="446">
        <f t="shared" si="30"/>
        <v>0</v>
      </c>
      <c r="BL166">
        <v>27</v>
      </c>
      <c r="BM166" s="446">
        <f t="shared" si="31"/>
        <v>0</v>
      </c>
      <c r="BX166">
        <v>27</v>
      </c>
      <c r="BY166" s="446">
        <f t="shared" si="32"/>
        <v>0</v>
      </c>
      <c r="CO166">
        <v>27</v>
      </c>
      <c r="CP166" s="446">
        <f t="shared" si="35"/>
        <v>0</v>
      </c>
    </row>
    <row r="167" spans="30:94" x14ac:dyDescent="0.25">
      <c r="AD167">
        <v>8</v>
      </c>
      <c r="AE167" s="446">
        <f t="shared" si="38"/>
        <v>0</v>
      </c>
      <c r="AQ167" s="446"/>
      <c r="AU167">
        <v>8</v>
      </c>
      <c r="AV167" s="446">
        <f t="shared" si="39"/>
        <v>0</v>
      </c>
      <c r="BG167">
        <v>28</v>
      </c>
      <c r="BH167" s="446">
        <f t="shared" si="30"/>
        <v>0</v>
      </c>
      <c r="BL167">
        <v>28</v>
      </c>
      <c r="BM167" s="446">
        <f t="shared" si="31"/>
        <v>0</v>
      </c>
      <c r="BX167">
        <v>28</v>
      </c>
      <c r="BY167" s="446">
        <f t="shared" si="32"/>
        <v>0</v>
      </c>
      <c r="CO167">
        <v>28</v>
      </c>
      <c r="CP167" s="446">
        <f t="shared" si="35"/>
        <v>0</v>
      </c>
    </row>
    <row r="168" spans="30:94" x14ac:dyDescent="0.25">
      <c r="AD168">
        <v>9</v>
      </c>
      <c r="AE168" s="446">
        <f t="shared" si="38"/>
        <v>0</v>
      </c>
      <c r="AQ168" s="446"/>
      <c r="AU168">
        <v>9</v>
      </c>
      <c r="AV168" s="446">
        <f t="shared" si="39"/>
        <v>0</v>
      </c>
      <c r="BG168">
        <v>29</v>
      </c>
      <c r="BH168" s="446">
        <f t="shared" si="30"/>
        <v>0</v>
      </c>
      <c r="BL168">
        <v>29</v>
      </c>
      <c r="BM168" s="446">
        <f t="shared" si="31"/>
        <v>0</v>
      </c>
      <c r="BX168">
        <v>29</v>
      </c>
      <c r="BY168" s="446">
        <f t="shared" si="32"/>
        <v>0</v>
      </c>
      <c r="CO168">
        <v>29</v>
      </c>
      <c r="CP168" s="446">
        <f t="shared" si="35"/>
        <v>0</v>
      </c>
    </row>
    <row r="169" spans="30:94" x14ac:dyDescent="0.25">
      <c r="AD169">
        <v>10</v>
      </c>
      <c r="AE169" s="446">
        <f t="shared" si="38"/>
        <v>0</v>
      </c>
      <c r="AQ169" s="446"/>
      <c r="AU169">
        <v>10</v>
      </c>
      <c r="AV169" s="446">
        <f t="shared" si="39"/>
        <v>0</v>
      </c>
      <c r="BG169">
        <v>30</v>
      </c>
      <c r="BH169" s="446">
        <f t="shared" si="30"/>
        <v>0</v>
      </c>
      <c r="BL169">
        <v>30</v>
      </c>
      <c r="BM169" s="446">
        <f t="shared" si="31"/>
        <v>0</v>
      </c>
      <c r="BX169">
        <v>30</v>
      </c>
      <c r="BY169" s="446">
        <f t="shared" si="32"/>
        <v>0</v>
      </c>
      <c r="CO169">
        <v>30</v>
      </c>
      <c r="CP169" s="446">
        <f t="shared" si="35"/>
        <v>0</v>
      </c>
    </row>
    <row r="170" spans="30:94" x14ac:dyDescent="0.25">
      <c r="AD170">
        <v>11</v>
      </c>
      <c r="AE170" s="446">
        <f t="shared" si="38"/>
        <v>0</v>
      </c>
      <c r="AQ170" s="446"/>
      <c r="AU170">
        <v>11</v>
      </c>
      <c r="AV170" s="446">
        <f t="shared" si="39"/>
        <v>0</v>
      </c>
      <c r="BG170">
        <v>31</v>
      </c>
      <c r="BH170" s="446">
        <f t="shared" si="30"/>
        <v>0</v>
      </c>
      <c r="BL170">
        <v>31</v>
      </c>
      <c r="BM170" s="446">
        <f t="shared" si="31"/>
        <v>0</v>
      </c>
      <c r="BX170">
        <v>31</v>
      </c>
      <c r="BY170" s="446">
        <f t="shared" si="32"/>
        <v>0</v>
      </c>
      <c r="CO170">
        <v>31</v>
      </c>
      <c r="CP170" s="446">
        <f t="shared" si="35"/>
        <v>0</v>
      </c>
    </row>
    <row r="171" spans="30:94" x14ac:dyDescent="0.25">
      <c r="AD171">
        <v>12</v>
      </c>
      <c r="AE171" s="446">
        <f t="shared" si="38"/>
        <v>0</v>
      </c>
      <c r="AQ171" s="446"/>
      <c r="AU171">
        <v>12</v>
      </c>
      <c r="AV171" s="446">
        <f t="shared" si="39"/>
        <v>0</v>
      </c>
      <c r="BG171">
        <v>32</v>
      </c>
      <c r="BH171" s="446">
        <f t="shared" si="30"/>
        <v>0</v>
      </c>
      <c r="BL171">
        <v>32</v>
      </c>
      <c r="BM171" s="446">
        <f t="shared" si="31"/>
        <v>0</v>
      </c>
      <c r="BX171">
        <v>32</v>
      </c>
      <c r="BY171" s="446">
        <f t="shared" si="32"/>
        <v>0</v>
      </c>
      <c r="CO171">
        <v>32</v>
      </c>
      <c r="CP171" s="446">
        <f t="shared" si="35"/>
        <v>0</v>
      </c>
    </row>
    <row r="172" spans="30:94" x14ac:dyDescent="0.25">
      <c r="AD172">
        <v>13</v>
      </c>
      <c r="AE172" s="446">
        <f t="shared" si="38"/>
        <v>0</v>
      </c>
      <c r="AQ172" s="446"/>
      <c r="AU172">
        <v>13</v>
      </c>
      <c r="AV172" s="446">
        <f t="shared" si="39"/>
        <v>0</v>
      </c>
      <c r="BG172">
        <v>33</v>
      </c>
      <c r="BH172" s="446">
        <f t="shared" si="30"/>
        <v>0</v>
      </c>
      <c r="BL172">
        <v>33</v>
      </c>
      <c r="BM172" s="446">
        <f t="shared" si="31"/>
        <v>0</v>
      </c>
      <c r="BX172">
        <v>33</v>
      </c>
      <c r="BY172" s="446">
        <f t="shared" si="32"/>
        <v>0</v>
      </c>
      <c r="CO172">
        <v>33</v>
      </c>
      <c r="CP172" s="446">
        <f t="shared" si="35"/>
        <v>0</v>
      </c>
    </row>
    <row r="173" spans="30:94" x14ac:dyDescent="0.25">
      <c r="AD173">
        <v>14</v>
      </c>
      <c r="AE173" s="446">
        <f t="shared" si="38"/>
        <v>0</v>
      </c>
      <c r="AU173">
        <v>14</v>
      </c>
      <c r="AV173" s="446">
        <f t="shared" si="39"/>
        <v>0</v>
      </c>
      <c r="BG173">
        <v>34</v>
      </c>
      <c r="BH173" s="446">
        <f t="shared" si="30"/>
        <v>0</v>
      </c>
      <c r="BL173">
        <v>34</v>
      </c>
      <c r="BM173" s="446">
        <f t="shared" si="31"/>
        <v>0</v>
      </c>
      <c r="BX173">
        <v>34</v>
      </c>
      <c r="BY173" s="446">
        <f t="shared" si="32"/>
        <v>0</v>
      </c>
      <c r="CO173">
        <v>34</v>
      </c>
      <c r="CP173" s="446">
        <f t="shared" si="35"/>
        <v>0</v>
      </c>
    </row>
    <row r="174" spans="30:94" x14ac:dyDescent="0.25">
      <c r="AD174">
        <v>15</v>
      </c>
      <c r="AE174" s="446">
        <f t="shared" si="38"/>
        <v>0</v>
      </c>
      <c r="AU174">
        <v>15</v>
      </c>
      <c r="AV174" s="446">
        <f t="shared" si="39"/>
        <v>0</v>
      </c>
      <c r="BG174">
        <v>35</v>
      </c>
      <c r="BH174" s="446">
        <f t="shared" si="30"/>
        <v>0</v>
      </c>
      <c r="BL174">
        <v>35</v>
      </c>
      <c r="BM174" s="446">
        <f t="shared" si="31"/>
        <v>0</v>
      </c>
      <c r="BX174">
        <v>35</v>
      </c>
      <c r="BY174" s="446">
        <f t="shared" si="32"/>
        <v>0</v>
      </c>
      <c r="CO174">
        <v>35</v>
      </c>
      <c r="CP174" s="446">
        <f t="shared" si="35"/>
        <v>0</v>
      </c>
    </row>
    <row r="175" spans="30:94" x14ac:dyDescent="0.25">
      <c r="AD175">
        <v>16</v>
      </c>
      <c r="AE175" s="446">
        <f t="shared" si="38"/>
        <v>0</v>
      </c>
      <c r="AU175">
        <v>16</v>
      </c>
      <c r="AV175" s="446">
        <f t="shared" si="39"/>
        <v>0</v>
      </c>
      <c r="BG175">
        <v>36</v>
      </c>
      <c r="BH175" s="446">
        <f t="shared" si="30"/>
        <v>0</v>
      </c>
      <c r="BX175">
        <v>36</v>
      </c>
      <c r="BY175" s="446">
        <f t="shared" si="32"/>
        <v>0</v>
      </c>
      <c r="CO175">
        <v>36</v>
      </c>
      <c r="CP175" s="446">
        <f t="shared" si="35"/>
        <v>0</v>
      </c>
    </row>
    <row r="176" spans="30:94" x14ac:dyDescent="0.25">
      <c r="AD176">
        <v>17</v>
      </c>
      <c r="AE176" s="446">
        <f t="shared" si="38"/>
        <v>0</v>
      </c>
      <c r="AU176">
        <v>17</v>
      </c>
      <c r="AV176" s="446">
        <f t="shared" si="39"/>
        <v>0</v>
      </c>
      <c r="BG176">
        <v>37</v>
      </c>
      <c r="BH176" s="446">
        <f t="shared" si="30"/>
        <v>0</v>
      </c>
      <c r="BL176">
        <f t="shared" ref="BL176:BM178" si="40">BL123</f>
        <v>0</v>
      </c>
      <c r="BM176" t="str">
        <f t="shared" si="40"/>
        <v>'' Casing</v>
      </c>
      <c r="BX176">
        <v>37</v>
      </c>
      <c r="BY176" s="446">
        <f t="shared" si="32"/>
        <v>0</v>
      </c>
      <c r="CO176">
        <v>37</v>
      </c>
      <c r="CP176" s="446">
        <f t="shared" si="35"/>
        <v>0</v>
      </c>
    </row>
    <row r="177" spans="30:94" x14ac:dyDescent="0.25">
      <c r="AD177">
        <v>18</v>
      </c>
      <c r="AE177" s="446">
        <f t="shared" si="38"/>
        <v>0</v>
      </c>
      <c r="AU177">
        <v>18</v>
      </c>
      <c r="AV177" s="446">
        <f t="shared" si="39"/>
        <v>0</v>
      </c>
      <c r="BG177">
        <v>38</v>
      </c>
      <c r="BH177" s="446">
        <f t="shared" si="30"/>
        <v>0</v>
      </c>
      <c r="BL177">
        <f t="shared" si="40"/>
        <v>0</v>
      </c>
      <c r="BM177" t="str">
        <f t="shared" si="40"/>
        <v>'  MD</v>
      </c>
      <c r="BX177">
        <v>38</v>
      </c>
      <c r="BY177" s="446">
        <f t="shared" si="32"/>
        <v>0</v>
      </c>
      <c r="CO177">
        <v>38</v>
      </c>
      <c r="CP177" s="446">
        <f t="shared" si="35"/>
        <v>0</v>
      </c>
    </row>
    <row r="178" spans="30:94" x14ac:dyDescent="0.25">
      <c r="AD178">
        <v>19</v>
      </c>
      <c r="AE178" s="446">
        <f t="shared" si="38"/>
        <v>0</v>
      </c>
      <c r="AU178">
        <v>19</v>
      </c>
      <c r="AV178" s="446">
        <f t="shared" si="39"/>
        <v>0</v>
      </c>
      <c r="BL178" s="446" t="e">
        <f t="shared" si="40"/>
        <v>#N/A</v>
      </c>
      <c r="BM178" t="str">
        <f t="shared" si="40"/>
        <v xml:space="preserve">' TVD </v>
      </c>
    </row>
    <row r="179" spans="30:94" x14ac:dyDescent="0.25">
      <c r="AD179">
        <v>20</v>
      </c>
      <c r="AE179" s="446">
        <f t="shared" si="38"/>
        <v>0</v>
      </c>
      <c r="AU179">
        <v>20</v>
      </c>
      <c r="AV179" s="446">
        <f t="shared" si="39"/>
        <v>0</v>
      </c>
      <c r="BL179" s="446">
        <f>IF(BL126="TOL",$BZ$115,BL126)</f>
        <v>0</v>
      </c>
      <c r="BM179" t="str">
        <f>BM126</f>
        <v>' TOC</v>
      </c>
    </row>
    <row r="180" spans="30:94" x14ac:dyDescent="0.25">
      <c r="AD180">
        <v>21</v>
      </c>
      <c r="AE180" s="446">
        <f t="shared" si="38"/>
        <v>0</v>
      </c>
      <c r="AU180">
        <v>21</v>
      </c>
      <c r="AV180" s="446">
        <f t="shared" si="39"/>
        <v>0</v>
      </c>
      <c r="BL180">
        <f>BL127</f>
        <v>0</v>
      </c>
      <c r="BM180" t="str">
        <f>BM127</f>
        <v>' Tail</v>
      </c>
      <c r="BX180">
        <f t="shared" ref="BX180:BY182" si="41">BL91</f>
        <v>0</v>
      </c>
      <c r="BY180" t="str">
        <f t="shared" si="41"/>
        <v>" Casing</v>
      </c>
    </row>
    <row r="181" spans="30:94" x14ac:dyDescent="0.25">
      <c r="AD181">
        <v>22</v>
      </c>
      <c r="AE181" s="446">
        <f t="shared" si="38"/>
        <v>0</v>
      </c>
      <c r="AU181">
        <v>22</v>
      </c>
      <c r="AV181" s="446">
        <f t="shared" si="39"/>
        <v>0</v>
      </c>
      <c r="BX181">
        <f t="shared" si="41"/>
        <v>0</v>
      </c>
      <c r="BY181" t="str">
        <f t="shared" si="41"/>
        <v>'  MD</v>
      </c>
    </row>
    <row r="182" spans="30:94" x14ac:dyDescent="0.25">
      <c r="AD182">
        <v>23</v>
      </c>
      <c r="AE182" s="446">
        <f t="shared" si="38"/>
        <v>0</v>
      </c>
      <c r="AU182">
        <v>23</v>
      </c>
      <c r="AV182" s="446">
        <f t="shared" si="39"/>
        <v>0</v>
      </c>
      <c r="BL182">
        <v>1</v>
      </c>
      <c r="BM182">
        <v>0</v>
      </c>
      <c r="BX182" t="e">
        <f t="shared" si="41"/>
        <v>#N/A</v>
      </c>
      <c r="BY182" t="str">
        <f t="shared" si="41"/>
        <v xml:space="preserve">' TVD </v>
      </c>
    </row>
    <row r="183" spans="30:94" x14ac:dyDescent="0.25">
      <c r="AD183">
        <v>24</v>
      </c>
      <c r="AE183" s="446">
        <f t="shared" si="38"/>
        <v>0</v>
      </c>
      <c r="AU183">
        <v>24</v>
      </c>
      <c r="AV183" s="446">
        <f t="shared" si="39"/>
        <v>0</v>
      </c>
      <c r="BL183">
        <v>2</v>
      </c>
      <c r="BM183" s="446">
        <f>BL183/38*$BL$177/1.75</f>
        <v>0</v>
      </c>
      <c r="BX183">
        <f>IF(BL94="surface",0,BL94)</f>
        <v>0</v>
      </c>
      <c r="BY183" t="str">
        <f>BM94</f>
        <v>' TOC</v>
      </c>
    </row>
    <row r="184" spans="30:94" x14ac:dyDescent="0.25">
      <c r="AD184">
        <v>25</v>
      </c>
      <c r="AE184" s="446">
        <f t="shared" si="38"/>
        <v>0</v>
      </c>
      <c r="AU184">
        <v>25</v>
      </c>
      <c r="AV184" s="446">
        <f t="shared" si="39"/>
        <v>0</v>
      </c>
      <c r="BL184">
        <v>3</v>
      </c>
      <c r="BM184" s="446">
        <f>BL184/38*$BL$177/1.31</f>
        <v>0</v>
      </c>
      <c r="BX184" s="446">
        <f>BL95</f>
        <v>0</v>
      </c>
      <c r="BY184" t="str">
        <f>BM95</f>
        <v>' Tail</v>
      </c>
    </row>
    <row r="185" spans="30:94" x14ac:dyDescent="0.25">
      <c r="AD185">
        <v>26</v>
      </c>
      <c r="AE185" s="446">
        <f t="shared" si="38"/>
        <v>0</v>
      </c>
      <c r="AU185">
        <v>26</v>
      </c>
      <c r="AV185" s="446">
        <f t="shared" si="39"/>
        <v>0</v>
      </c>
      <c r="BL185">
        <v>4</v>
      </c>
      <c r="BM185" s="446">
        <f>BL185/38*$BL$177/1.17</f>
        <v>0</v>
      </c>
    </row>
    <row r="186" spans="30:94" x14ac:dyDescent="0.25">
      <c r="AD186">
        <v>27</v>
      </c>
      <c r="AE186" s="446">
        <f t="shared" si="38"/>
        <v>0</v>
      </c>
      <c r="AU186">
        <v>27</v>
      </c>
      <c r="AV186" s="446">
        <f t="shared" si="39"/>
        <v>0</v>
      </c>
      <c r="BL186">
        <v>5</v>
      </c>
      <c r="BM186" s="446">
        <f>BL186/38*$BL$177/1.1</f>
        <v>0</v>
      </c>
      <c r="BX186">
        <v>1</v>
      </c>
      <c r="BY186">
        <v>0</v>
      </c>
    </row>
    <row r="187" spans="30:94" x14ac:dyDescent="0.25">
      <c r="AD187">
        <v>28</v>
      </c>
      <c r="AE187" s="446">
        <f t="shared" si="38"/>
        <v>0</v>
      </c>
      <c r="AU187">
        <v>28</v>
      </c>
      <c r="AV187" s="446">
        <f t="shared" si="39"/>
        <v>0</v>
      </c>
      <c r="BL187">
        <v>6</v>
      </c>
      <c r="BM187" s="446">
        <f>BL187/38*$BL$177/1.05</f>
        <v>0</v>
      </c>
      <c r="BX187">
        <v>2</v>
      </c>
      <c r="BY187" s="446">
        <f t="shared" ref="BY187:BY197" si="42">IF(BM183&lt;$BX$181,BM183,0)</f>
        <v>0</v>
      </c>
    </row>
    <row r="188" spans="30:94" x14ac:dyDescent="0.25">
      <c r="AD188">
        <v>29</v>
      </c>
      <c r="AE188" s="446">
        <f t="shared" si="38"/>
        <v>0</v>
      </c>
      <c r="AU188">
        <v>29</v>
      </c>
      <c r="AV188" s="446">
        <f t="shared" si="39"/>
        <v>0</v>
      </c>
      <c r="BL188">
        <v>7</v>
      </c>
      <c r="BM188" s="446">
        <f t="shared" ref="BM188:BM219" si="43">BL188/38*$BL$177</f>
        <v>0</v>
      </c>
      <c r="BX188">
        <v>3</v>
      </c>
      <c r="BY188" s="446">
        <f t="shared" si="42"/>
        <v>0</v>
      </c>
    </row>
    <row r="189" spans="30:94" x14ac:dyDescent="0.25">
      <c r="AD189">
        <v>30</v>
      </c>
      <c r="AE189" s="446">
        <f t="shared" si="38"/>
        <v>0</v>
      </c>
      <c r="AU189">
        <v>30</v>
      </c>
      <c r="AV189" s="446">
        <f t="shared" si="39"/>
        <v>0</v>
      </c>
      <c r="BL189">
        <v>8</v>
      </c>
      <c r="BM189" s="446">
        <f t="shared" si="43"/>
        <v>0</v>
      </c>
      <c r="BX189">
        <v>4</v>
      </c>
      <c r="BY189" s="446">
        <f t="shared" si="42"/>
        <v>0</v>
      </c>
    </row>
    <row r="190" spans="30:94" x14ac:dyDescent="0.25">
      <c r="AD190">
        <v>31</v>
      </c>
      <c r="AE190" s="446">
        <f t="shared" si="38"/>
        <v>0</v>
      </c>
      <c r="AU190">
        <v>31</v>
      </c>
      <c r="AV190" s="446">
        <f t="shared" si="39"/>
        <v>0</v>
      </c>
      <c r="BL190">
        <v>9</v>
      </c>
      <c r="BM190" s="446">
        <f t="shared" si="43"/>
        <v>0</v>
      </c>
      <c r="BX190">
        <v>5</v>
      </c>
      <c r="BY190" s="446">
        <f t="shared" si="42"/>
        <v>0</v>
      </c>
    </row>
    <row r="191" spans="30:94" x14ac:dyDescent="0.25">
      <c r="AD191">
        <v>32</v>
      </c>
      <c r="AE191" s="446">
        <f t="shared" si="38"/>
        <v>0</v>
      </c>
      <c r="AU191">
        <v>32</v>
      </c>
      <c r="AV191" s="446">
        <f t="shared" si="39"/>
        <v>0</v>
      </c>
      <c r="BL191">
        <v>10</v>
      </c>
      <c r="BM191" s="446">
        <f t="shared" si="43"/>
        <v>0</v>
      </c>
      <c r="BX191">
        <v>6</v>
      </c>
      <c r="BY191" s="446">
        <f t="shared" si="42"/>
        <v>0</v>
      </c>
    </row>
    <row r="192" spans="30:94" x14ac:dyDescent="0.25">
      <c r="AD192">
        <v>33</v>
      </c>
      <c r="AE192" s="446">
        <f t="shared" si="38"/>
        <v>0</v>
      </c>
      <c r="AU192">
        <v>33</v>
      </c>
      <c r="AV192" s="446">
        <f t="shared" si="39"/>
        <v>0</v>
      </c>
      <c r="BL192">
        <v>11</v>
      </c>
      <c r="BM192" s="446">
        <f t="shared" si="43"/>
        <v>0</v>
      </c>
      <c r="BX192">
        <v>7</v>
      </c>
      <c r="BY192" s="446">
        <f t="shared" si="42"/>
        <v>0</v>
      </c>
    </row>
    <row r="193" spans="30:77" x14ac:dyDescent="0.25">
      <c r="AD193">
        <v>34</v>
      </c>
      <c r="AE193" s="446">
        <f t="shared" si="38"/>
        <v>0</v>
      </c>
      <c r="AU193">
        <v>34</v>
      </c>
      <c r="AV193" s="446">
        <f t="shared" si="39"/>
        <v>0</v>
      </c>
      <c r="BL193">
        <v>12</v>
      </c>
      <c r="BM193" s="446">
        <f t="shared" si="43"/>
        <v>0</v>
      </c>
      <c r="BX193">
        <v>8</v>
      </c>
      <c r="BY193" s="446">
        <f t="shared" si="42"/>
        <v>0</v>
      </c>
    </row>
    <row r="194" spans="30:77" x14ac:dyDescent="0.25">
      <c r="AD194">
        <v>35</v>
      </c>
      <c r="AE194" s="446">
        <f t="shared" si="38"/>
        <v>0</v>
      </c>
      <c r="AU194">
        <v>35</v>
      </c>
      <c r="AV194" s="446">
        <f t="shared" si="39"/>
        <v>0</v>
      </c>
      <c r="BL194">
        <v>13</v>
      </c>
      <c r="BM194" s="446">
        <f t="shared" si="43"/>
        <v>0</v>
      </c>
      <c r="BX194">
        <v>9</v>
      </c>
      <c r="BY194" s="446">
        <f t="shared" si="42"/>
        <v>0</v>
      </c>
    </row>
    <row r="195" spans="30:77" x14ac:dyDescent="0.25">
      <c r="AD195">
        <v>36</v>
      </c>
      <c r="AE195" s="446">
        <f t="shared" si="38"/>
        <v>0</v>
      </c>
      <c r="AU195">
        <v>36</v>
      </c>
      <c r="AV195" s="446">
        <f t="shared" si="39"/>
        <v>0</v>
      </c>
      <c r="BL195">
        <v>14</v>
      </c>
      <c r="BM195" s="446">
        <f t="shared" si="43"/>
        <v>0</v>
      </c>
      <c r="BX195">
        <v>10</v>
      </c>
      <c r="BY195" s="446">
        <f t="shared" si="42"/>
        <v>0</v>
      </c>
    </row>
    <row r="196" spans="30:77" x14ac:dyDescent="0.25">
      <c r="AD196">
        <v>37</v>
      </c>
      <c r="AE196" s="446">
        <f t="shared" si="38"/>
        <v>0</v>
      </c>
      <c r="AU196">
        <v>37</v>
      </c>
      <c r="AV196" s="446">
        <f t="shared" si="39"/>
        <v>0</v>
      </c>
      <c r="BL196">
        <v>15</v>
      </c>
      <c r="BM196" s="446">
        <f t="shared" si="43"/>
        <v>0</v>
      </c>
      <c r="BX196">
        <v>11</v>
      </c>
      <c r="BY196" s="446">
        <f t="shared" si="42"/>
        <v>0</v>
      </c>
    </row>
    <row r="197" spans="30:77" x14ac:dyDescent="0.25">
      <c r="AD197">
        <v>38</v>
      </c>
      <c r="AE197" s="446">
        <f t="shared" si="38"/>
        <v>0</v>
      </c>
      <c r="AU197">
        <v>38</v>
      </c>
      <c r="AV197" s="446">
        <f t="shared" si="39"/>
        <v>0</v>
      </c>
      <c r="BL197">
        <v>16</v>
      </c>
      <c r="BM197" s="446">
        <f t="shared" si="43"/>
        <v>0</v>
      </c>
      <c r="BX197">
        <v>12</v>
      </c>
      <c r="BY197" s="446">
        <f t="shared" si="42"/>
        <v>0</v>
      </c>
    </row>
    <row r="198" spans="30:77" x14ac:dyDescent="0.25">
      <c r="BL198">
        <v>17</v>
      </c>
      <c r="BM198" s="446">
        <f t="shared" si="43"/>
        <v>0</v>
      </c>
    </row>
    <row r="199" spans="30:77" x14ac:dyDescent="0.25">
      <c r="BL199">
        <v>18</v>
      </c>
      <c r="BM199" s="446">
        <f t="shared" si="43"/>
        <v>0</v>
      </c>
    </row>
    <row r="200" spans="30:77" x14ac:dyDescent="0.25">
      <c r="BL200">
        <v>19</v>
      </c>
      <c r="BM200" s="446">
        <f t="shared" si="43"/>
        <v>0</v>
      </c>
    </row>
    <row r="201" spans="30:77" x14ac:dyDescent="0.25">
      <c r="BL201">
        <v>20</v>
      </c>
      <c r="BM201" s="446">
        <f t="shared" si="43"/>
        <v>0</v>
      </c>
    </row>
    <row r="202" spans="30:77" x14ac:dyDescent="0.25">
      <c r="BL202">
        <v>21</v>
      </c>
      <c r="BM202" s="446">
        <f t="shared" si="43"/>
        <v>0</v>
      </c>
    </row>
    <row r="203" spans="30:77" x14ac:dyDescent="0.25">
      <c r="BL203">
        <v>22</v>
      </c>
      <c r="BM203" s="446">
        <f t="shared" si="43"/>
        <v>0</v>
      </c>
    </row>
    <row r="204" spans="30:77" x14ac:dyDescent="0.25">
      <c r="BL204">
        <v>23</v>
      </c>
      <c r="BM204" s="446">
        <f t="shared" si="43"/>
        <v>0</v>
      </c>
    </row>
    <row r="205" spans="30:77" x14ac:dyDescent="0.25">
      <c r="BL205">
        <v>24</v>
      </c>
      <c r="BM205" s="446">
        <f t="shared" si="43"/>
        <v>0</v>
      </c>
    </row>
    <row r="206" spans="30:77" x14ac:dyDescent="0.25">
      <c r="BL206">
        <v>25</v>
      </c>
      <c r="BM206" s="446">
        <f t="shared" si="43"/>
        <v>0</v>
      </c>
    </row>
    <row r="207" spans="30:77" x14ac:dyDescent="0.25">
      <c r="BL207">
        <v>26</v>
      </c>
      <c r="BM207" s="446">
        <f t="shared" si="43"/>
        <v>0</v>
      </c>
    </row>
    <row r="208" spans="30:77" x14ac:dyDescent="0.25">
      <c r="BL208">
        <v>27</v>
      </c>
      <c r="BM208" s="446">
        <f t="shared" si="43"/>
        <v>0</v>
      </c>
    </row>
    <row r="209" spans="64:65" x14ac:dyDescent="0.25">
      <c r="BL209">
        <v>28</v>
      </c>
      <c r="BM209" s="446">
        <f t="shared" si="43"/>
        <v>0</v>
      </c>
    </row>
    <row r="210" spans="64:65" x14ac:dyDescent="0.25">
      <c r="BL210">
        <v>29</v>
      </c>
      <c r="BM210" s="446">
        <f t="shared" si="43"/>
        <v>0</v>
      </c>
    </row>
    <row r="211" spans="64:65" x14ac:dyDescent="0.25">
      <c r="BL211">
        <v>30</v>
      </c>
      <c r="BM211" s="446">
        <f t="shared" si="43"/>
        <v>0</v>
      </c>
    </row>
    <row r="212" spans="64:65" x14ac:dyDescent="0.25">
      <c r="BL212">
        <v>31</v>
      </c>
      <c r="BM212" s="446">
        <f t="shared" si="43"/>
        <v>0</v>
      </c>
    </row>
    <row r="213" spans="64:65" x14ac:dyDescent="0.25">
      <c r="BL213">
        <v>32</v>
      </c>
      <c r="BM213" s="446">
        <f t="shared" si="43"/>
        <v>0</v>
      </c>
    </row>
    <row r="214" spans="64:65" x14ac:dyDescent="0.25">
      <c r="BL214">
        <v>33</v>
      </c>
      <c r="BM214" s="446">
        <f t="shared" si="43"/>
        <v>0</v>
      </c>
    </row>
    <row r="215" spans="64:65" x14ac:dyDescent="0.25">
      <c r="BL215">
        <v>34</v>
      </c>
      <c r="BM215" s="446">
        <f t="shared" si="43"/>
        <v>0</v>
      </c>
    </row>
    <row r="216" spans="64:65" x14ac:dyDescent="0.25">
      <c r="BL216">
        <v>35</v>
      </c>
      <c r="BM216" s="446">
        <f t="shared" si="43"/>
        <v>0</v>
      </c>
    </row>
    <row r="217" spans="64:65" x14ac:dyDescent="0.25">
      <c r="BL217">
        <v>36</v>
      </c>
      <c r="BM217" s="446">
        <f t="shared" si="43"/>
        <v>0</v>
      </c>
    </row>
    <row r="218" spans="64:65" x14ac:dyDescent="0.25">
      <c r="BL218">
        <v>37</v>
      </c>
      <c r="BM218" s="446">
        <f t="shared" si="43"/>
        <v>0</v>
      </c>
    </row>
    <row r="219" spans="64:65" x14ac:dyDescent="0.25">
      <c r="BL219">
        <v>38</v>
      </c>
      <c r="BM219" s="446">
        <f t="shared" si="43"/>
        <v>0</v>
      </c>
    </row>
  </sheetData>
  <mergeCells count="68">
    <mergeCell ref="CF132:CG132"/>
    <mergeCell ref="CH132:CI132"/>
    <mergeCell ref="CJ132:CK132"/>
    <mergeCell ref="BM132:BN132"/>
    <mergeCell ref="BO132:BP132"/>
    <mergeCell ref="BQ132:BR132"/>
    <mergeCell ref="BS132:BT132"/>
    <mergeCell ref="AE132:AF132"/>
    <mergeCell ref="AG132:AH132"/>
    <mergeCell ref="AI132:AJ132"/>
    <mergeCell ref="AK132:AL132"/>
    <mergeCell ref="CD132:CE132"/>
    <mergeCell ref="CL131:CM131"/>
    <mergeCell ref="AL130:AM130"/>
    <mergeCell ref="BU131:BV131"/>
    <mergeCell ref="BS131:BT131"/>
    <mergeCell ref="BQ131:BR131"/>
    <mergeCell ref="BO131:BP131"/>
    <mergeCell ref="AX131:AY131"/>
    <mergeCell ref="AZ131:BA131"/>
    <mergeCell ref="BB131:BC131"/>
    <mergeCell ref="BD131:BE131"/>
    <mergeCell ref="CL130:CM130"/>
    <mergeCell ref="BD130:BE130"/>
    <mergeCell ref="AN130:AO130"/>
    <mergeCell ref="CF130:CG130"/>
    <mergeCell ref="BO130:BP130"/>
    <mergeCell ref="BQ130:BR130"/>
    <mergeCell ref="CJ131:CK131"/>
    <mergeCell ref="CF131:CG131"/>
    <mergeCell ref="CH131:CI131"/>
    <mergeCell ref="AX130:AY130"/>
    <mergeCell ref="AZ130:BA130"/>
    <mergeCell ref="AU87:BH87"/>
    <mergeCell ref="AU88:BH88"/>
    <mergeCell ref="AU89:BH89"/>
    <mergeCell ref="CJ130:CK130"/>
    <mergeCell ref="BB130:BC130"/>
    <mergeCell ref="BS130:BT130"/>
    <mergeCell ref="BU130:BV130"/>
    <mergeCell ref="CH130:CI130"/>
    <mergeCell ref="CC87:CP87"/>
    <mergeCell ref="CC88:CP88"/>
    <mergeCell ref="CC89:CP89"/>
    <mergeCell ref="BL87:BY87"/>
    <mergeCell ref="BL88:BY88"/>
    <mergeCell ref="BL89:BY89"/>
    <mergeCell ref="AW120:AX120"/>
    <mergeCell ref="AW121:AX121"/>
    <mergeCell ref="AD87:AR87"/>
    <mergeCell ref="AD88:AR88"/>
    <mergeCell ref="AD89:AR89"/>
    <mergeCell ref="AH131:AI131"/>
    <mergeCell ref="AJ131:AK131"/>
    <mergeCell ref="AL131:AM131"/>
    <mergeCell ref="AN131:AO131"/>
    <mergeCell ref="AH130:AI130"/>
    <mergeCell ref="AJ130:AK130"/>
    <mergeCell ref="AF121:AG121"/>
    <mergeCell ref="AF120:AG120"/>
    <mergeCell ref="BN120:BO120"/>
    <mergeCell ref="BN121:BO121"/>
    <mergeCell ref="CE120:CF120"/>
    <mergeCell ref="CE121:CF121"/>
    <mergeCell ref="AF119:AG119"/>
    <mergeCell ref="AW119:AX119"/>
    <mergeCell ref="BN119:BO119"/>
    <mergeCell ref="CE119:CF119"/>
  </mergeCells>
  <conditionalFormatting sqref="AY91 BE91">
    <cfRule type="expression" dxfId="2455" priority="2859">
      <formula>$AU$138=0</formula>
    </cfRule>
    <cfRule type="expression" dxfId="2454" priority="2860">
      <formula>$AU$137=0</formula>
    </cfRule>
  </conditionalFormatting>
  <conditionalFormatting sqref="BE92">
    <cfRule type="expression" dxfId="2453" priority="694">
      <formula>$AV141&gt;$AU$138</formula>
    </cfRule>
    <cfRule type="expression" dxfId="2452" priority="2857">
      <formula>$AV141&gt;$AU$137</formula>
    </cfRule>
    <cfRule type="expression" dxfId="2451" priority="2858">
      <formula>$AV141&gt;0</formula>
    </cfRule>
  </conditionalFormatting>
  <conditionalFormatting sqref="AZ91 BD91">
    <cfRule type="expression" dxfId="2450" priority="2819">
      <formula>$BG$138=0</formula>
    </cfRule>
    <cfRule type="expression" dxfId="2449" priority="2820">
      <formula>$BG$137=0</formula>
    </cfRule>
  </conditionalFormatting>
  <conditionalFormatting sqref="BD92">
    <cfRule type="expression" dxfId="2448" priority="624">
      <formula>$BH141&gt;$BG$138</formula>
    </cfRule>
    <cfRule type="expression" dxfId="2447" priority="2817">
      <formula>$BH141&gt;$BG$137</formula>
    </cfRule>
    <cfRule type="expression" dxfId="2446" priority="2818">
      <formula>$BH141&gt;0</formula>
    </cfRule>
  </conditionalFormatting>
  <conditionalFormatting sqref="BP91 BV91">
    <cfRule type="expression" dxfId="2445" priority="2662">
      <formula>$BL$138=0</formula>
    </cfRule>
    <cfRule type="expression" dxfId="2444" priority="2663">
      <formula>$BL$137=0</formula>
    </cfRule>
  </conditionalFormatting>
  <conditionalFormatting sqref="BP92">
    <cfRule type="expression" dxfId="2443" priority="1320">
      <formula>$BM141&gt;$BL$138</formula>
    </cfRule>
    <cfRule type="expression" dxfId="2442" priority="2660">
      <formula>$BM141&gt;$BL$137</formula>
    </cfRule>
    <cfRule type="expression" dxfId="2441" priority="2661">
      <formula>$BM141&gt;0</formula>
    </cfRule>
  </conditionalFormatting>
  <conditionalFormatting sqref="AI91 AM91">
    <cfRule type="expression" dxfId="2440" priority="2584">
      <formula>$AQ$137=0</formula>
    </cfRule>
  </conditionalFormatting>
  <conditionalFormatting sqref="BQ91 BU91">
    <cfRule type="expression" dxfId="2439" priority="2485">
      <formula>$BX$137=0</formula>
    </cfRule>
  </conditionalFormatting>
  <conditionalFormatting sqref="BQ92 BU92">
    <cfRule type="expression" dxfId="2438" priority="1120">
      <formula>$BY141&gt;$BX$138</formula>
    </cfRule>
    <cfRule type="expression" dxfId="2437" priority="1226">
      <formula>$BY141&gt;$BX$137</formula>
    </cfRule>
  </conditionalFormatting>
  <conditionalFormatting sqref="AJ91 AL91">
    <cfRule type="expression" dxfId="2436" priority="2339">
      <formula>$AD$157=0</formula>
    </cfRule>
  </conditionalFormatting>
  <conditionalFormatting sqref="AJ92 AL92">
    <cfRule type="expression" dxfId="2435" priority="2337">
      <formula>$AE161&gt;$AD$158</formula>
    </cfRule>
    <cfRule type="expression" dxfId="2434" priority="2338">
      <formula>$AE161&gt;$AD$157</formula>
    </cfRule>
  </conditionalFormatting>
  <conditionalFormatting sqref="AJ93">
    <cfRule type="expression" dxfId="2433" priority="2335">
      <formula>$AE162&gt;$AD$158</formula>
    </cfRule>
    <cfRule type="expression" dxfId="2432" priority="2336">
      <formula>$AE162&gt;$AD$157</formula>
    </cfRule>
  </conditionalFormatting>
  <conditionalFormatting sqref="AJ94">
    <cfRule type="expression" dxfId="2431" priority="2333">
      <formula>$AE163&gt;$AD$158</formula>
    </cfRule>
    <cfRule type="expression" dxfId="2430" priority="2334">
      <formula>$AE163&gt;$AD$157</formula>
    </cfRule>
  </conditionalFormatting>
  <conditionalFormatting sqref="AJ95">
    <cfRule type="expression" dxfId="2429" priority="2331">
      <formula>$AE164&gt;$AD$158</formula>
    </cfRule>
    <cfRule type="expression" dxfId="2428" priority="2332">
      <formula>$AE164&gt;$AD$157</formula>
    </cfRule>
  </conditionalFormatting>
  <conditionalFormatting sqref="AJ96">
    <cfRule type="expression" dxfId="2427" priority="2329">
      <formula>$AE165&gt;$AD$158</formula>
    </cfRule>
    <cfRule type="expression" dxfId="2426" priority="2330">
      <formula>$AE165&gt;$AD$157</formula>
    </cfRule>
  </conditionalFormatting>
  <conditionalFormatting sqref="AJ97">
    <cfRule type="expression" dxfId="2425" priority="2327">
      <formula>$AE166&gt;$AD$158</formula>
    </cfRule>
    <cfRule type="expression" dxfId="2424" priority="2328">
      <formula>$AE166&gt;$AD$157</formula>
    </cfRule>
  </conditionalFormatting>
  <conditionalFormatting sqref="AJ98">
    <cfRule type="expression" dxfId="2423" priority="2325">
      <formula>$AE167&gt;$AD$158</formula>
    </cfRule>
    <cfRule type="expression" dxfId="2422" priority="2326">
      <formula>$AE167&gt;$AD$157</formula>
    </cfRule>
  </conditionalFormatting>
  <conditionalFormatting sqref="AJ99">
    <cfRule type="expression" dxfId="2421" priority="2323">
      <formula>$AE168&gt;$AD$158</formula>
    </cfRule>
    <cfRule type="expression" dxfId="2420" priority="2324">
      <formula>$AE168&gt;$AD$157</formula>
    </cfRule>
  </conditionalFormatting>
  <conditionalFormatting sqref="AJ100">
    <cfRule type="expression" dxfId="2419" priority="2321">
      <formula>$AE169&gt;$AD$158</formula>
    </cfRule>
    <cfRule type="expression" dxfId="2418" priority="2322">
      <formula>$AE169&gt;$AD$157</formula>
    </cfRule>
  </conditionalFormatting>
  <conditionalFormatting sqref="AJ101">
    <cfRule type="expression" dxfId="2417" priority="2319">
      <formula>$AE170&gt;$AD$158</formula>
    </cfRule>
    <cfRule type="expression" dxfId="2416" priority="2320">
      <formula>$AE170&gt;$AD$157</formula>
    </cfRule>
  </conditionalFormatting>
  <conditionalFormatting sqref="AJ102">
    <cfRule type="expression" dxfId="2415" priority="2317">
      <formula>$AE171&gt;$AD$158</formula>
    </cfRule>
    <cfRule type="expression" dxfId="2414" priority="2318">
      <formula>$AE171&gt;$AD$157</formula>
    </cfRule>
  </conditionalFormatting>
  <conditionalFormatting sqref="AJ103">
    <cfRule type="expression" dxfId="2413" priority="2315">
      <formula>$AE172&gt;$AD$158</formula>
    </cfRule>
    <cfRule type="expression" dxfId="2412" priority="2316">
      <formula>$AE172&gt;$AD$157</formula>
    </cfRule>
  </conditionalFormatting>
  <conditionalFormatting sqref="AJ104">
    <cfRule type="expression" dxfId="2411" priority="2313">
      <formula>$AE173&gt;$AD$158</formula>
    </cfRule>
    <cfRule type="expression" dxfId="2410" priority="2314">
      <formula>$AE173&gt;$AD$157</formula>
    </cfRule>
  </conditionalFormatting>
  <conditionalFormatting sqref="AJ105">
    <cfRule type="expression" dxfId="2409" priority="2311">
      <formula>$AE174&gt;$AD$158</formula>
    </cfRule>
    <cfRule type="expression" dxfId="2408" priority="2312">
      <formula>$AE174&gt;$AD$157</formula>
    </cfRule>
  </conditionalFormatting>
  <conditionalFormatting sqref="AJ106">
    <cfRule type="expression" dxfId="2407" priority="2309">
      <formula>$AE175&gt;$AD$158</formula>
    </cfRule>
    <cfRule type="expression" dxfId="2406" priority="2310">
      <formula>$AE175&gt;$AD$157</formula>
    </cfRule>
  </conditionalFormatting>
  <conditionalFormatting sqref="AJ107">
    <cfRule type="expression" dxfId="2405" priority="2307">
      <formula>$AE176&gt;$AD$158</formula>
    </cfRule>
    <cfRule type="expression" dxfId="2404" priority="2308">
      <formula>$AE176&gt;$AD$157</formula>
    </cfRule>
  </conditionalFormatting>
  <conditionalFormatting sqref="AJ108">
    <cfRule type="expression" dxfId="2403" priority="2305">
      <formula>$AE177&gt;$AD$158</formula>
    </cfRule>
    <cfRule type="expression" dxfId="2402" priority="2306">
      <formula>$AE177&gt;$AD$157</formula>
    </cfRule>
  </conditionalFormatting>
  <conditionalFormatting sqref="AJ109">
    <cfRule type="expression" dxfId="2401" priority="2303">
      <formula>$AE178&gt;$AD$158</formula>
    </cfRule>
    <cfRule type="expression" dxfId="2400" priority="2304">
      <formula>$AE178&gt;$AD$157</formula>
    </cfRule>
  </conditionalFormatting>
  <conditionalFormatting sqref="AJ110">
    <cfRule type="expression" dxfId="2399" priority="2301">
      <formula>$AE179&gt;$AD$158</formula>
    </cfRule>
    <cfRule type="expression" dxfId="2398" priority="2302">
      <formula>$AE179&gt;$AD$157</formula>
    </cfRule>
  </conditionalFormatting>
  <conditionalFormatting sqref="AJ111">
    <cfRule type="expression" dxfId="2397" priority="2299">
      <formula>$AE180&gt;$AD$158</formula>
    </cfRule>
    <cfRule type="expression" dxfId="2396" priority="2300">
      <formula>$AE180&gt;$AD$157</formula>
    </cfRule>
  </conditionalFormatting>
  <conditionalFormatting sqref="AJ112">
    <cfRule type="expression" dxfId="2395" priority="2297">
      <formula>$AE181&gt;$AD$158</formula>
    </cfRule>
    <cfRule type="expression" dxfId="2394" priority="2298">
      <formula>$AE181&gt;$AD$157</formula>
    </cfRule>
  </conditionalFormatting>
  <conditionalFormatting sqref="AJ113">
    <cfRule type="expression" dxfId="2393" priority="2295">
      <formula>$AE182&gt;$AD$158</formula>
    </cfRule>
    <cfRule type="expression" dxfId="2392" priority="2296">
      <formula>$AE182&gt;$AD$157</formula>
    </cfRule>
  </conditionalFormatting>
  <conditionalFormatting sqref="AJ114">
    <cfRule type="expression" dxfId="2391" priority="2293">
      <formula>$AE183&gt;$AD$158</formula>
    </cfRule>
    <cfRule type="expression" dxfId="2390" priority="2294">
      <formula>$AE183&gt;$AD$157</formula>
    </cfRule>
  </conditionalFormatting>
  <conditionalFormatting sqref="AJ115">
    <cfRule type="expression" dxfId="2389" priority="2291">
      <formula>$AE184&gt;$AD$158</formula>
    </cfRule>
    <cfRule type="expression" dxfId="2388" priority="2292">
      <formula>$AE184&gt;$AD$157</formula>
    </cfRule>
  </conditionalFormatting>
  <conditionalFormatting sqref="AJ116">
    <cfRule type="expression" dxfId="2387" priority="2289">
      <formula>$AE185&gt;$AD$158</formula>
    </cfRule>
    <cfRule type="expression" dxfId="2386" priority="2290">
      <formula>$AE185&gt;$AD$157</formula>
    </cfRule>
  </conditionalFormatting>
  <conditionalFormatting sqref="AJ117">
    <cfRule type="expression" dxfId="2385" priority="2287">
      <formula>$AE186&gt;$AD$158</formula>
    </cfRule>
    <cfRule type="expression" dxfId="2384" priority="2288">
      <formula>$AE186&gt;$AD$157</formula>
    </cfRule>
  </conditionalFormatting>
  <conditionalFormatting sqref="AL93">
    <cfRule type="expression" dxfId="2383" priority="2285">
      <formula>$AE162&gt;$AD$158</formula>
    </cfRule>
    <cfRule type="expression" dxfId="2382" priority="2286">
      <formula>$AE162&gt;$AD$157</formula>
    </cfRule>
  </conditionalFormatting>
  <conditionalFormatting sqref="AL94">
    <cfRule type="expression" dxfId="2381" priority="2283">
      <formula>$AE163&gt;$AD$158</formula>
    </cfRule>
    <cfRule type="expression" dxfId="2380" priority="2284">
      <formula>$AE163&gt;$AD$157</formula>
    </cfRule>
  </conditionalFormatting>
  <conditionalFormatting sqref="AL95">
    <cfRule type="expression" dxfId="2379" priority="2281">
      <formula>$AE164&gt;$AD$158</formula>
    </cfRule>
    <cfRule type="expression" dxfId="2378" priority="2282">
      <formula>$AE164&gt;$AD$157</formula>
    </cfRule>
  </conditionalFormatting>
  <conditionalFormatting sqref="AL96">
    <cfRule type="expression" dxfId="2377" priority="2279">
      <formula>$AE165&gt;$AD$158</formula>
    </cfRule>
    <cfRule type="expression" dxfId="2376" priority="2280">
      <formula>$AE165&gt;$AD$157</formula>
    </cfRule>
  </conditionalFormatting>
  <conditionalFormatting sqref="AL97">
    <cfRule type="expression" dxfId="2375" priority="2277">
      <formula>$AE166&gt;$AD$158</formula>
    </cfRule>
    <cfRule type="expression" dxfId="2374" priority="2278">
      <formula>$AE166&gt;$AD$157</formula>
    </cfRule>
  </conditionalFormatting>
  <conditionalFormatting sqref="AL98">
    <cfRule type="expression" dxfId="2373" priority="2275">
      <formula>$AE167&gt;$AD$158</formula>
    </cfRule>
    <cfRule type="expression" dxfId="2372" priority="2276">
      <formula>$AE167&gt;$AD$157</formula>
    </cfRule>
  </conditionalFormatting>
  <conditionalFormatting sqref="AL99">
    <cfRule type="expression" dxfId="2371" priority="2273">
      <formula>$AE168&gt;$AD$158</formula>
    </cfRule>
    <cfRule type="expression" dxfId="2370" priority="2274">
      <formula>$AE168&gt;$AD$157</formula>
    </cfRule>
  </conditionalFormatting>
  <conditionalFormatting sqref="AL100">
    <cfRule type="expression" dxfId="2369" priority="2271">
      <formula>$AE169&gt;$AD$158</formula>
    </cfRule>
    <cfRule type="expression" dxfId="2368" priority="2272">
      <formula>$AE169&gt;$AD$157</formula>
    </cfRule>
  </conditionalFormatting>
  <conditionalFormatting sqref="AL101">
    <cfRule type="expression" dxfId="2367" priority="2269">
      <formula>$AE170&gt;$AD$158</formula>
    </cfRule>
    <cfRule type="expression" dxfId="2366" priority="2270">
      <formula>$AE170&gt;$AD$157</formula>
    </cfRule>
  </conditionalFormatting>
  <conditionalFormatting sqref="AL102">
    <cfRule type="expression" dxfId="2365" priority="2267">
      <formula>$AE171&gt;$AD$158</formula>
    </cfRule>
    <cfRule type="expression" dxfId="2364" priority="2268">
      <formula>$AE171&gt;$AD$157</formula>
    </cfRule>
  </conditionalFormatting>
  <conditionalFormatting sqref="AL103">
    <cfRule type="expression" dxfId="2363" priority="2265">
      <formula>$AE172&gt;$AD$158</formula>
    </cfRule>
    <cfRule type="expression" dxfId="2362" priority="2266">
      <formula>$AE172&gt;$AD$157</formula>
    </cfRule>
  </conditionalFormatting>
  <conditionalFormatting sqref="AL104">
    <cfRule type="expression" dxfId="2361" priority="2263">
      <formula>$AE173&gt;$AD$158</formula>
    </cfRule>
    <cfRule type="expression" dxfId="2360" priority="2264">
      <formula>$AE173&gt;$AD$157</formula>
    </cfRule>
  </conditionalFormatting>
  <conditionalFormatting sqref="AL105">
    <cfRule type="expression" dxfId="2359" priority="2261">
      <formula>$AE174&gt;$AD$158</formula>
    </cfRule>
    <cfRule type="expression" dxfId="2358" priority="2262">
      <formula>$AE174&gt;$AD$157</formula>
    </cfRule>
  </conditionalFormatting>
  <conditionalFormatting sqref="AL106">
    <cfRule type="expression" dxfId="2357" priority="2259">
      <formula>$AE175&gt;$AD$158</formula>
    </cfRule>
    <cfRule type="expression" dxfId="2356" priority="2260">
      <formula>$AE175&gt;$AD$157</formula>
    </cfRule>
  </conditionalFormatting>
  <conditionalFormatting sqref="AL107">
    <cfRule type="expression" dxfId="2355" priority="2257">
      <formula>$AE176&gt;$AD$158</formula>
    </cfRule>
    <cfRule type="expression" dxfId="2354" priority="2258">
      <formula>$AE176&gt;$AD$157</formula>
    </cfRule>
  </conditionalFormatting>
  <conditionalFormatting sqref="AL108">
    <cfRule type="expression" dxfId="2353" priority="2255">
      <formula>$AE177&gt;$AD$158</formula>
    </cfRule>
    <cfRule type="expression" dxfId="2352" priority="2256">
      <formula>$AE177&gt;$AD$157</formula>
    </cfRule>
  </conditionalFormatting>
  <conditionalFormatting sqref="AL109">
    <cfRule type="expression" dxfId="2351" priority="2253">
      <formula>$AE178&gt;$AD$158</formula>
    </cfRule>
    <cfRule type="expression" dxfId="2350" priority="2254">
      <formula>$AE178&gt;$AD$157</formula>
    </cfRule>
  </conditionalFormatting>
  <conditionalFormatting sqref="AL110">
    <cfRule type="expression" dxfId="2349" priority="2251">
      <formula>$AE179&gt;$AD$158</formula>
    </cfRule>
    <cfRule type="expression" dxfId="2348" priority="2252">
      <formula>$AE179&gt;$AD$157</formula>
    </cfRule>
  </conditionalFormatting>
  <conditionalFormatting sqref="AL111">
    <cfRule type="expression" dxfId="2347" priority="2249">
      <formula>$AE180&gt;$AD$158</formula>
    </cfRule>
    <cfRule type="expression" dxfId="2346" priority="2250">
      <formula>$AE180&gt;$AD$157</formula>
    </cfRule>
  </conditionalFormatting>
  <conditionalFormatting sqref="AL112">
    <cfRule type="expression" dxfId="2345" priority="2247">
      <formula>$AE181&gt;$AD$158</formula>
    </cfRule>
    <cfRule type="expression" dxfId="2344" priority="2248">
      <formula>$AE181&gt;$AD$157</formula>
    </cfRule>
  </conditionalFormatting>
  <conditionalFormatting sqref="AL113">
    <cfRule type="expression" dxfId="2343" priority="2245">
      <formula>$AE182&gt;$AD$158</formula>
    </cfRule>
    <cfRule type="expression" dxfId="2342" priority="2246">
      <formula>$AE182&gt;$AD$157</formula>
    </cfRule>
  </conditionalFormatting>
  <conditionalFormatting sqref="AL114">
    <cfRule type="expression" dxfId="2341" priority="2243">
      <formula>$AE183&gt;$AD$158</formula>
    </cfRule>
    <cfRule type="expression" dxfId="2340" priority="2244">
      <formula>$AE183&gt;$AD$157</formula>
    </cfRule>
  </conditionalFormatting>
  <conditionalFormatting sqref="AL115">
    <cfRule type="expression" dxfId="2339" priority="2241">
      <formula>$AE184&gt;$AD$158</formula>
    </cfRule>
    <cfRule type="expression" dxfId="2338" priority="2242">
      <formula>$AE184&gt;$AD$157</formula>
    </cfRule>
  </conditionalFormatting>
  <conditionalFormatting sqref="AL116">
    <cfRule type="expression" dxfId="2337" priority="2239">
      <formula>$AE185&gt;$AD$158</formula>
    </cfRule>
    <cfRule type="expression" dxfId="2336" priority="2240">
      <formula>$AE185&gt;$AD$157</formula>
    </cfRule>
  </conditionalFormatting>
  <conditionalFormatting sqref="AL117">
    <cfRule type="expression" dxfId="2335" priority="2237">
      <formula>$AE186&gt;$AD$158</formula>
    </cfRule>
    <cfRule type="expression" dxfId="2334" priority="2238">
      <formula>$AE186&gt;$AD$157</formula>
    </cfRule>
  </conditionalFormatting>
  <conditionalFormatting sqref="AL118">
    <cfRule type="expression" dxfId="2333" priority="2235">
      <formula>$AE187&gt;$AD$158</formula>
    </cfRule>
    <cfRule type="expression" dxfId="2332" priority="2236">
      <formula>$AE187&gt;$AD$157</formula>
    </cfRule>
  </conditionalFormatting>
  <conditionalFormatting sqref="AL119">
    <cfRule type="expression" dxfId="2331" priority="2233">
      <formula>$AE188&gt;$AD$158</formula>
    </cfRule>
    <cfRule type="expression" dxfId="2330" priority="2234">
      <formula>$AE188&gt;$AD$157</formula>
    </cfRule>
  </conditionalFormatting>
  <conditionalFormatting sqref="AL120">
    <cfRule type="expression" dxfId="2329" priority="2231">
      <formula>$AE189&gt;$AD$158</formula>
    </cfRule>
    <cfRule type="expression" dxfId="2328" priority="2232">
      <formula>$AE189&gt;$AD$157</formula>
    </cfRule>
  </conditionalFormatting>
  <conditionalFormatting sqref="AL121">
    <cfRule type="expression" dxfId="2327" priority="2229">
      <formula>$AE190&gt;$AD$158</formula>
    </cfRule>
    <cfRule type="expression" dxfId="2326" priority="2230">
      <formula>$AE190&gt;$AD$157</formula>
    </cfRule>
  </conditionalFormatting>
  <conditionalFormatting sqref="AL122">
    <cfRule type="expression" dxfId="2325" priority="2227">
      <formula>$AE191&gt;$AD$158</formula>
    </cfRule>
    <cfRule type="expression" dxfId="2324" priority="2228">
      <formula>$AE191&gt;$AD$157</formula>
    </cfRule>
  </conditionalFormatting>
  <conditionalFormatting sqref="AL123">
    <cfRule type="expression" dxfId="2323" priority="2225">
      <formula>$AE192&gt;$AD$158</formula>
    </cfRule>
    <cfRule type="expression" dxfId="2322" priority="2226">
      <formula>$AE192&gt;$AD$157</formula>
    </cfRule>
  </conditionalFormatting>
  <conditionalFormatting sqref="AL124">
    <cfRule type="expression" dxfId="2321" priority="2223">
      <formula>$AE193&gt;$AD$158</formula>
    </cfRule>
    <cfRule type="expression" dxfId="2320" priority="2224">
      <formula>$AE193&gt;$AD$157</formula>
    </cfRule>
  </conditionalFormatting>
  <conditionalFormatting sqref="AL125">
    <cfRule type="expression" dxfId="2319" priority="2221">
      <formula>$AE194&gt;$AD$158</formula>
    </cfRule>
    <cfRule type="expression" dxfId="2318" priority="2222">
      <formula>$AE194&gt;$AD$157</formula>
    </cfRule>
  </conditionalFormatting>
  <conditionalFormatting sqref="AL126">
    <cfRule type="expression" dxfId="2317" priority="2219">
      <formula>$AE195&gt;$AD$158</formula>
    </cfRule>
    <cfRule type="expression" dxfId="2316" priority="2220">
      <formula>$AE195&gt;$AD$157</formula>
    </cfRule>
  </conditionalFormatting>
  <conditionalFormatting sqref="AL127">
    <cfRule type="expression" dxfId="2315" priority="2217">
      <formula>$AE196&gt;$AD$158</formula>
    </cfRule>
    <cfRule type="expression" dxfId="2314" priority="2218">
      <formula>$AE196&gt;$AD$157</formula>
    </cfRule>
  </conditionalFormatting>
  <conditionalFormatting sqref="AL128">
    <cfRule type="expression" dxfId="2313" priority="2215">
      <formula>$AE197&gt;$AD$158</formula>
    </cfRule>
    <cfRule type="expression" dxfId="2312" priority="2216">
      <formula>$AE197&gt;$AD$157</formula>
    </cfRule>
  </conditionalFormatting>
  <conditionalFormatting sqref="AJ118">
    <cfRule type="expression" dxfId="2311" priority="2213">
      <formula>$AE187&gt;$AD$158</formula>
    </cfRule>
    <cfRule type="expression" dxfId="2310" priority="2214">
      <formula>$AE187&gt;$AD$157</formula>
    </cfRule>
  </conditionalFormatting>
  <conditionalFormatting sqref="AJ119">
    <cfRule type="expression" dxfId="2309" priority="2211">
      <formula>$AE188&gt;$AD$158</formula>
    </cfRule>
    <cfRule type="expression" dxfId="2308" priority="2212">
      <formula>$AE188&gt;$AD$157</formula>
    </cfRule>
  </conditionalFormatting>
  <conditionalFormatting sqref="AJ120">
    <cfRule type="expression" dxfId="2307" priority="2209">
      <formula>$AE189&gt;$AD$158</formula>
    </cfRule>
    <cfRule type="expression" dxfId="2306" priority="2210">
      <formula>$AE189&gt;$AD$157</formula>
    </cfRule>
  </conditionalFormatting>
  <conditionalFormatting sqref="AJ121">
    <cfRule type="expression" dxfId="2305" priority="2207">
      <formula>$AE190&gt;$AD$158</formula>
    </cfRule>
    <cfRule type="expression" dxfId="2304" priority="2208">
      <formula>$AE190&gt;$AD$157</formula>
    </cfRule>
  </conditionalFormatting>
  <conditionalFormatting sqref="AJ122">
    <cfRule type="expression" dxfId="2303" priority="2205">
      <formula>$AE191&gt;$AD$158</formula>
    </cfRule>
    <cfRule type="expression" dxfId="2302" priority="2206">
      <formula>$AE191&gt;$AD$157</formula>
    </cfRule>
  </conditionalFormatting>
  <conditionalFormatting sqref="AJ123">
    <cfRule type="expression" dxfId="2301" priority="2203">
      <formula>$AE192&gt;$AD$158</formula>
    </cfRule>
    <cfRule type="expression" dxfId="2300" priority="2204">
      <formula>$AE192&gt;$AD$157</formula>
    </cfRule>
  </conditionalFormatting>
  <conditionalFormatting sqref="AJ124">
    <cfRule type="expression" dxfId="2299" priority="2201">
      <formula>$AE193&gt;$AD$158</formula>
    </cfRule>
    <cfRule type="expression" dxfId="2298" priority="2202">
      <formula>$AE193&gt;$AD$157</formula>
    </cfRule>
  </conditionalFormatting>
  <conditionalFormatting sqref="AJ125">
    <cfRule type="expression" dxfId="2297" priority="2199">
      <formula>$AE194&gt;$AD$158</formula>
    </cfRule>
    <cfRule type="expression" dxfId="2296" priority="2200">
      <formula>$AE194&gt;$AD$157</formula>
    </cfRule>
  </conditionalFormatting>
  <conditionalFormatting sqref="AJ126">
    <cfRule type="expression" dxfId="2295" priority="2197">
      <formula>$AE195&gt;$AD$158</formula>
    </cfRule>
    <cfRule type="expression" dxfId="2294" priority="2198">
      <formula>$AE195&gt;$AD$157</formula>
    </cfRule>
  </conditionalFormatting>
  <conditionalFormatting sqref="AJ127">
    <cfRule type="expression" dxfId="2293" priority="2195">
      <formula>$AE196&gt;$AD$158</formula>
    </cfRule>
    <cfRule type="expression" dxfId="2292" priority="2196">
      <formula>$AE196&gt;$AD$157</formula>
    </cfRule>
  </conditionalFormatting>
  <conditionalFormatting sqref="AJ128">
    <cfRule type="expression" dxfId="2291" priority="2193">
      <formula>$AE197&gt;$AD$158</formula>
    </cfRule>
    <cfRule type="expression" dxfId="2290" priority="2194">
      <formula>$AE197&gt;$AD$157</formula>
    </cfRule>
  </conditionalFormatting>
  <conditionalFormatting sqref="BR91 BT91">
    <cfRule type="expression" dxfId="2289" priority="2184">
      <formula>$BM182&gt;$BL$180</formula>
    </cfRule>
    <cfRule type="expression" dxfId="2288" priority="2190">
      <formula>$BM182+1&gt;$BL$179</formula>
    </cfRule>
  </conditionalFormatting>
  <conditionalFormatting sqref="BR92">
    <cfRule type="expression" dxfId="2287" priority="2182">
      <formula>$BM183&gt;$BL$180</formula>
    </cfRule>
    <cfRule type="expression" dxfId="2286" priority="2183">
      <formula>$BM183+1&gt;$BL$179</formula>
    </cfRule>
  </conditionalFormatting>
  <conditionalFormatting sqref="BR93">
    <cfRule type="expression" dxfId="2285" priority="2180">
      <formula>$BM184&gt;$BL$180</formula>
    </cfRule>
    <cfRule type="expression" dxfId="2284" priority="2181">
      <formula>$BM184+1&gt;$BL$179</formula>
    </cfRule>
  </conditionalFormatting>
  <conditionalFormatting sqref="BR94">
    <cfRule type="expression" dxfId="2283" priority="2178">
      <formula>$BM185&gt;$BL$180</formula>
    </cfRule>
    <cfRule type="expression" dxfId="2282" priority="2179">
      <formula>$BM185+1&gt;$BL$179</formula>
    </cfRule>
  </conditionalFormatting>
  <conditionalFormatting sqref="BR95">
    <cfRule type="expression" dxfId="2281" priority="2176">
      <formula>$BM186&gt;$BL$180</formula>
    </cfRule>
    <cfRule type="expression" dxfId="2280" priority="2177">
      <formula>$BM186+1&gt;$BL$179</formula>
    </cfRule>
  </conditionalFormatting>
  <conditionalFormatting sqref="BR96">
    <cfRule type="expression" dxfId="2279" priority="2174">
      <formula>$BM187&gt;$BL$180</formula>
    </cfRule>
    <cfRule type="expression" dxfId="2278" priority="2175">
      <formula>$BM187+1&gt;$BL$179</formula>
    </cfRule>
  </conditionalFormatting>
  <conditionalFormatting sqref="BR97">
    <cfRule type="expression" dxfId="2277" priority="2172">
      <formula>$BM188&gt;$BL$180</formula>
    </cfRule>
    <cfRule type="expression" dxfId="2276" priority="2173">
      <formula>$BM188+1&gt;$BL$179</formula>
    </cfRule>
  </conditionalFormatting>
  <conditionalFormatting sqref="BR98">
    <cfRule type="expression" dxfId="2275" priority="2170">
      <formula>$BM189&gt;$BL$180</formula>
    </cfRule>
    <cfRule type="expression" dxfId="2274" priority="2171">
      <formula>$BM189+1&gt;$BL$179</formula>
    </cfRule>
  </conditionalFormatting>
  <conditionalFormatting sqref="BR99">
    <cfRule type="expression" dxfId="2273" priority="2168">
      <formula>$BM190&gt;$BL$180</formula>
    </cfRule>
    <cfRule type="expression" dxfId="2272" priority="2169">
      <formula>$BM190+1&gt;$BL$179</formula>
    </cfRule>
  </conditionalFormatting>
  <conditionalFormatting sqref="BR100">
    <cfRule type="expression" dxfId="2271" priority="2166">
      <formula>$BM191&gt;$BL$180</formula>
    </cfRule>
    <cfRule type="expression" dxfId="2270" priority="2167">
      <formula>$BM191+1&gt;$BL$179</formula>
    </cfRule>
  </conditionalFormatting>
  <conditionalFormatting sqref="BR101">
    <cfRule type="expression" dxfId="2269" priority="2164">
      <formula>$BM192&gt;$BL$180</formula>
    </cfRule>
    <cfRule type="expression" dxfId="2268" priority="2165">
      <formula>$BM192+1&gt;$BL$179</formula>
    </cfRule>
  </conditionalFormatting>
  <conditionalFormatting sqref="BR102">
    <cfRule type="expression" dxfId="2267" priority="2162">
      <formula>$BM193&gt;$BL$180</formula>
    </cfRule>
    <cfRule type="expression" dxfId="2266" priority="2163">
      <formula>$BM193+1&gt;$BL$179</formula>
    </cfRule>
  </conditionalFormatting>
  <conditionalFormatting sqref="BR103">
    <cfRule type="expression" dxfId="2265" priority="2160">
      <formula>$BM194&gt;$BL$180</formula>
    </cfRule>
    <cfRule type="expression" dxfId="2264" priority="2161">
      <formula>$BM194+1&gt;$BL$179</formula>
    </cfRule>
  </conditionalFormatting>
  <conditionalFormatting sqref="BR104">
    <cfRule type="expression" dxfId="2263" priority="2158">
      <formula>$BM195&gt;$BL$180</formula>
    </cfRule>
    <cfRule type="expression" dxfId="2262" priority="2159">
      <formula>$BM195+1&gt;$BL$179</formula>
    </cfRule>
  </conditionalFormatting>
  <conditionalFormatting sqref="BR105">
    <cfRule type="expression" dxfId="2261" priority="2156">
      <formula>$BM196&gt;$BL$180</formula>
    </cfRule>
    <cfRule type="expression" dxfId="2260" priority="2157">
      <formula>$BM196+1&gt;$BL$179</formula>
    </cfRule>
  </conditionalFormatting>
  <conditionalFormatting sqref="BR106">
    <cfRule type="expression" dxfId="2259" priority="2154">
      <formula>$BM197&gt;$BL$180</formula>
    </cfRule>
    <cfRule type="expression" dxfId="2258" priority="2155">
      <formula>$BM197+1&gt;$BL$179</formula>
    </cfRule>
  </conditionalFormatting>
  <conditionalFormatting sqref="BR107">
    <cfRule type="expression" dxfId="2257" priority="2152">
      <formula>$BM198&gt;$BL$180</formula>
    </cfRule>
    <cfRule type="expression" dxfId="2256" priority="2153">
      <formula>$BM198+1&gt;$BL$179</formula>
    </cfRule>
  </conditionalFormatting>
  <conditionalFormatting sqref="BR108">
    <cfRule type="expression" dxfId="2255" priority="2150">
      <formula>$BM199&gt;$BL$180</formula>
    </cfRule>
    <cfRule type="expression" dxfId="2254" priority="2151">
      <formula>$BM199+1&gt;$BL$179</formula>
    </cfRule>
  </conditionalFormatting>
  <conditionalFormatting sqref="BR109">
    <cfRule type="expression" dxfId="2253" priority="2148">
      <formula>$BM200&gt;$BL$180</formula>
    </cfRule>
    <cfRule type="expression" dxfId="2252" priority="2149">
      <formula>$BM200+1&gt;$BL$179</formula>
    </cfRule>
  </conditionalFormatting>
  <conditionalFormatting sqref="BR110">
    <cfRule type="expression" dxfId="2251" priority="2146">
      <formula>$BM201&gt;$BL$180</formula>
    </cfRule>
    <cfRule type="expression" dxfId="2250" priority="2147">
      <formula>$BM201+1&gt;$BL$179</formula>
    </cfRule>
  </conditionalFormatting>
  <conditionalFormatting sqref="BR111">
    <cfRule type="expression" dxfId="2249" priority="2144">
      <formula>$BM202&gt;$BL$180</formula>
    </cfRule>
    <cfRule type="expression" dxfId="2248" priority="2145">
      <formula>$BM202+1&gt;$BL$179</formula>
    </cfRule>
  </conditionalFormatting>
  <conditionalFormatting sqref="BR112">
    <cfRule type="expression" dxfId="2247" priority="2142">
      <formula>$BM203&gt;$BL$180</formula>
    </cfRule>
    <cfRule type="expression" dxfId="2246" priority="2143">
      <formula>$BM203+1&gt;$BL$179</formula>
    </cfRule>
  </conditionalFormatting>
  <conditionalFormatting sqref="BR113">
    <cfRule type="expression" dxfId="2245" priority="2140">
      <formula>$BM204&gt;$BL$180</formula>
    </cfRule>
    <cfRule type="expression" dxfId="2244" priority="2141">
      <formula>$BM204+1&gt;$BL$179</formula>
    </cfRule>
  </conditionalFormatting>
  <conditionalFormatting sqref="BR114">
    <cfRule type="expression" dxfId="2243" priority="2138">
      <formula>$BM205&gt;$BL$180</formula>
    </cfRule>
    <cfRule type="expression" dxfId="2242" priority="2139">
      <formula>$BM205+1&gt;$BL$179</formula>
    </cfRule>
  </conditionalFormatting>
  <conditionalFormatting sqref="BR115">
    <cfRule type="expression" dxfId="2241" priority="2136">
      <formula>$BM206&gt;$BL$180</formula>
    </cfRule>
    <cfRule type="expression" dxfId="2240" priority="2137">
      <formula>$BM206+1&gt;$BL$179</formula>
    </cfRule>
  </conditionalFormatting>
  <conditionalFormatting sqref="BR116">
    <cfRule type="expression" dxfId="2239" priority="2134">
      <formula>$BM207&gt;$BL$180</formula>
    </cfRule>
    <cfRule type="expression" dxfId="2238" priority="2135">
      <formula>$BM207+1&gt;$BL$179</formula>
    </cfRule>
  </conditionalFormatting>
  <conditionalFormatting sqref="BR117">
    <cfRule type="expression" dxfId="2237" priority="2132">
      <formula>$BM208&gt;$BL$180</formula>
    </cfRule>
    <cfRule type="expression" dxfId="2236" priority="2133">
      <formula>$BM208+1&gt;$BL$179</formula>
    </cfRule>
  </conditionalFormatting>
  <conditionalFormatting sqref="BR118">
    <cfRule type="expression" dxfId="2235" priority="2130">
      <formula>$BM209&gt;$BL$180</formula>
    </cfRule>
    <cfRule type="expression" dxfId="2234" priority="2131">
      <formula>$BM209+1&gt;$BL$179</formula>
    </cfRule>
  </conditionalFormatting>
  <conditionalFormatting sqref="BR119">
    <cfRule type="expression" dxfId="2233" priority="2128">
      <formula>$BM210&gt;$BL$180</formula>
    </cfRule>
    <cfRule type="expression" dxfId="2232" priority="2129">
      <formula>$BM210+1&gt;$BL$179</formula>
    </cfRule>
  </conditionalFormatting>
  <conditionalFormatting sqref="BR120">
    <cfRule type="expression" dxfId="2231" priority="2126">
      <formula>$BM211&gt;$BL$180</formula>
    </cfRule>
    <cfRule type="expression" dxfId="2230" priority="2127">
      <formula>$BM211+1&gt;$BL$179</formula>
    </cfRule>
  </conditionalFormatting>
  <conditionalFormatting sqref="BR121">
    <cfRule type="expression" dxfId="2229" priority="2124">
      <formula>$BM212&gt;$BL$180</formula>
    </cfRule>
    <cfRule type="expression" dxfId="2228" priority="2125">
      <formula>$BM212+1&gt;$BL$179</formula>
    </cfRule>
  </conditionalFormatting>
  <conditionalFormatting sqref="BR122">
    <cfRule type="expression" dxfId="2227" priority="2122">
      <formula>$BM213&gt;$BL$180</formula>
    </cfRule>
    <cfRule type="expression" dxfId="2226" priority="2123">
      <formula>$BM213+1&gt;$BL$179</formula>
    </cfRule>
  </conditionalFormatting>
  <conditionalFormatting sqref="BR123">
    <cfRule type="expression" dxfId="2225" priority="2120">
      <formula>$BM214&gt;$BL$180</formula>
    </cfRule>
    <cfRule type="expression" dxfId="2224" priority="2121">
      <formula>$BM214+1&gt;$BL$179</formula>
    </cfRule>
  </conditionalFormatting>
  <conditionalFormatting sqref="BR124">
    <cfRule type="expression" dxfId="2223" priority="2118">
      <formula>$BM215&gt;$BL$180</formula>
    </cfRule>
    <cfRule type="expression" dxfId="2222" priority="2119">
      <formula>$BM215+1&gt;$BL$179</formula>
    </cfRule>
  </conditionalFormatting>
  <conditionalFormatting sqref="BR125">
    <cfRule type="expression" dxfId="2221" priority="2116">
      <formula>$BM216&gt;$BL$180</formula>
    </cfRule>
    <cfRule type="expression" dxfId="2220" priority="2117">
      <formula>$BM216+1&gt;$BL$179</formula>
    </cfRule>
  </conditionalFormatting>
  <conditionalFormatting sqref="BR126">
    <cfRule type="expression" dxfId="2219" priority="2114">
      <formula>$BM217&gt;$BL$180</formula>
    </cfRule>
    <cfRule type="expression" dxfId="2218" priority="2115">
      <formula>$BM217+1&gt;$BL$179</formula>
    </cfRule>
  </conditionalFormatting>
  <conditionalFormatting sqref="BR127">
    <cfRule type="expression" dxfId="2217" priority="2112">
      <formula>$BM218&gt;$BL$180</formula>
    </cfRule>
    <cfRule type="expression" dxfId="2216" priority="2113">
      <formula>$BM218+1&gt;$BL$179</formula>
    </cfRule>
  </conditionalFormatting>
  <conditionalFormatting sqref="BR128">
    <cfRule type="expression" dxfId="2215" priority="2110">
      <formula>$BM219&gt;$BL$180</formula>
    </cfRule>
    <cfRule type="expression" dxfId="2214" priority="2111">
      <formula>$BM219+1&gt;$BL$179</formula>
    </cfRule>
  </conditionalFormatting>
  <conditionalFormatting sqref="BT92">
    <cfRule type="expression" dxfId="2213" priority="2108">
      <formula>$BM183&gt;$BL$180</formula>
    </cfRule>
    <cfRule type="expression" dxfId="2212" priority="2109">
      <formula>$BM183+1&gt;$BL$179</formula>
    </cfRule>
  </conditionalFormatting>
  <conditionalFormatting sqref="BT93">
    <cfRule type="expression" dxfId="2211" priority="2106">
      <formula>$BM184&gt;$BL$180</formula>
    </cfRule>
    <cfRule type="expression" dxfId="2210" priority="2107">
      <formula>$BM184+1&gt;$BL$179</formula>
    </cfRule>
  </conditionalFormatting>
  <conditionalFormatting sqref="BT94">
    <cfRule type="expression" dxfId="2209" priority="2104">
      <formula>$BM185&gt;$BL$180</formula>
    </cfRule>
    <cfRule type="expression" dxfId="2208" priority="2105">
      <formula>$BM185+1&gt;$BL$179</formula>
    </cfRule>
  </conditionalFormatting>
  <conditionalFormatting sqref="BT95">
    <cfRule type="expression" dxfId="2207" priority="2102">
      <formula>$BM186&gt;$BL$180</formula>
    </cfRule>
    <cfRule type="expression" dxfId="2206" priority="2103">
      <formula>$BM186+1&gt;$BL$179</formula>
    </cfRule>
  </conditionalFormatting>
  <conditionalFormatting sqref="BT96">
    <cfRule type="expression" dxfId="2205" priority="2100">
      <formula>$BM187&gt;$BL$180</formula>
    </cfRule>
    <cfRule type="expression" dxfId="2204" priority="2101">
      <formula>$BM187+1&gt;$BL$179</formula>
    </cfRule>
  </conditionalFormatting>
  <conditionalFormatting sqref="BT97">
    <cfRule type="expression" dxfId="2203" priority="2098">
      <formula>$BM188&gt;$BL$180</formula>
    </cfRule>
    <cfRule type="expression" dxfId="2202" priority="2099">
      <formula>$BM188+1&gt;$BL$179</formula>
    </cfRule>
  </conditionalFormatting>
  <conditionalFormatting sqref="BT98">
    <cfRule type="expression" dxfId="2201" priority="2096">
      <formula>$BM189&gt;$BL$180</formula>
    </cfRule>
    <cfRule type="expression" dxfId="2200" priority="2097">
      <formula>$BM189+1&gt;$BL$179</formula>
    </cfRule>
  </conditionalFormatting>
  <conditionalFormatting sqref="BT99">
    <cfRule type="expression" dxfId="2199" priority="2094">
      <formula>$BM190&gt;$BL$180</formula>
    </cfRule>
    <cfRule type="expression" dxfId="2198" priority="2095">
      <formula>$BM190+1&gt;$BL$179</formula>
    </cfRule>
  </conditionalFormatting>
  <conditionalFormatting sqref="BT100">
    <cfRule type="expression" dxfId="2197" priority="2092">
      <formula>$BM191&gt;$BL$180</formula>
    </cfRule>
    <cfRule type="expression" dxfId="2196" priority="2093">
      <formula>$BM191+1&gt;$BL$179</formula>
    </cfRule>
  </conditionalFormatting>
  <conditionalFormatting sqref="BT101">
    <cfRule type="expression" dxfId="2195" priority="2090">
      <formula>$BM192&gt;$BL$180</formula>
    </cfRule>
    <cfRule type="expression" dxfId="2194" priority="2091">
      <formula>$BM192+1&gt;$BL$179</formula>
    </cfRule>
  </conditionalFormatting>
  <conditionalFormatting sqref="BT102">
    <cfRule type="expression" dxfId="2193" priority="2088">
      <formula>$BM193&gt;$BL$180</formula>
    </cfRule>
    <cfRule type="expression" dxfId="2192" priority="2089">
      <formula>$BM193+1&gt;$BL$179</formula>
    </cfRule>
  </conditionalFormatting>
  <conditionalFormatting sqref="BT103">
    <cfRule type="expression" dxfId="2191" priority="2086">
      <formula>$BM194&gt;$BL$180</formula>
    </cfRule>
    <cfRule type="expression" dxfId="2190" priority="2087">
      <formula>$BM194+1&gt;$BL$179</formula>
    </cfRule>
  </conditionalFormatting>
  <conditionalFormatting sqref="BT104">
    <cfRule type="expression" dxfId="2189" priority="2084">
      <formula>$BM195&gt;$BL$180</formula>
    </cfRule>
    <cfRule type="expression" dxfId="2188" priority="2085">
      <formula>$BM195+1&gt;$BL$179</formula>
    </cfRule>
  </conditionalFormatting>
  <conditionalFormatting sqref="BT105">
    <cfRule type="expression" dxfId="2187" priority="2082">
      <formula>$BM196&gt;$BL$180</formula>
    </cfRule>
    <cfRule type="expression" dxfId="2186" priority="2083">
      <formula>$BM196+1&gt;$BL$179</formula>
    </cfRule>
  </conditionalFormatting>
  <conditionalFormatting sqref="BT106">
    <cfRule type="expression" dxfId="2185" priority="2080">
      <formula>$BM197&gt;$BL$180</formula>
    </cfRule>
    <cfRule type="expression" dxfId="2184" priority="2081">
      <formula>$BM197+1&gt;$BL$179</formula>
    </cfRule>
  </conditionalFormatting>
  <conditionalFormatting sqref="BT107">
    <cfRule type="expression" dxfId="2183" priority="2078">
      <formula>$BM198&gt;$BL$180</formula>
    </cfRule>
    <cfRule type="expression" dxfId="2182" priority="2079">
      <formula>$BM198+1&gt;$BL$179</formula>
    </cfRule>
  </conditionalFormatting>
  <conditionalFormatting sqref="BT108">
    <cfRule type="expression" dxfId="2181" priority="2076">
      <formula>$BM199&gt;$BL$180</formula>
    </cfRule>
    <cfRule type="expression" dxfId="2180" priority="2077">
      <formula>$BM199+1&gt;$BL$179</formula>
    </cfRule>
  </conditionalFormatting>
  <conditionalFormatting sqref="BT109">
    <cfRule type="expression" dxfId="2179" priority="2074">
      <formula>$BM200&gt;$BL$180</formula>
    </cfRule>
    <cfRule type="expression" dxfId="2178" priority="2075">
      <formula>$BM200+1&gt;$BL$179</formula>
    </cfRule>
  </conditionalFormatting>
  <conditionalFormatting sqref="BT110">
    <cfRule type="expression" dxfId="2177" priority="2072">
      <formula>$BM201&gt;$BL$180</formula>
    </cfRule>
    <cfRule type="expression" dxfId="2176" priority="2073">
      <formula>$BM201+1&gt;$BL$179</formula>
    </cfRule>
  </conditionalFormatting>
  <conditionalFormatting sqref="BT111">
    <cfRule type="expression" dxfId="2175" priority="2070">
      <formula>$BM202&gt;$BL$180</formula>
    </cfRule>
    <cfRule type="expression" dxfId="2174" priority="2071">
      <formula>$BM202+1&gt;$BL$179</formula>
    </cfRule>
  </conditionalFormatting>
  <conditionalFormatting sqref="BT112">
    <cfRule type="expression" dxfId="2173" priority="2068">
      <formula>$BM203&gt;$BL$180</formula>
    </cfRule>
    <cfRule type="expression" dxfId="2172" priority="2069">
      <formula>$BM203+1&gt;$BL$179</formula>
    </cfRule>
  </conditionalFormatting>
  <conditionalFormatting sqref="BT113">
    <cfRule type="expression" dxfId="2171" priority="2066">
      <formula>$BM204&gt;$BL$180</formula>
    </cfRule>
    <cfRule type="expression" dxfId="2170" priority="2067">
      <formula>$BM204+1&gt;$BL$179</formula>
    </cfRule>
  </conditionalFormatting>
  <conditionalFormatting sqref="BT114">
    <cfRule type="expression" dxfId="2169" priority="2064">
      <formula>$BM205&gt;$BL$180</formula>
    </cfRule>
    <cfRule type="expression" dxfId="2168" priority="2065">
      <formula>$BM205+1&gt;$BL$179</formula>
    </cfRule>
  </conditionalFormatting>
  <conditionalFormatting sqref="BT115">
    <cfRule type="expression" dxfId="2167" priority="2062">
      <formula>$BM206&gt;$BL$180</formula>
    </cfRule>
    <cfRule type="expression" dxfId="2166" priority="2063">
      <formula>$BM206+1&gt;$BL$179</formula>
    </cfRule>
  </conditionalFormatting>
  <conditionalFormatting sqref="BT116">
    <cfRule type="expression" dxfId="2165" priority="2060">
      <formula>$BM207&gt;$BL$180</formula>
    </cfRule>
    <cfRule type="expression" dxfId="2164" priority="2061">
      <formula>$BM207+1&gt;$BL$179</formula>
    </cfRule>
  </conditionalFormatting>
  <conditionalFormatting sqref="BT117">
    <cfRule type="expression" dxfId="2163" priority="2058">
      <formula>$BM208&gt;$BL$180</formula>
    </cfRule>
    <cfRule type="expression" dxfId="2162" priority="2059">
      <formula>$BM208+1&gt;$BL$179</formula>
    </cfRule>
  </conditionalFormatting>
  <conditionalFormatting sqref="BT118">
    <cfRule type="expression" dxfId="2161" priority="2056">
      <formula>$BM209&gt;$BL$180</formula>
    </cfRule>
    <cfRule type="expression" dxfId="2160" priority="2057">
      <formula>$BM209+1&gt;$BL$179</formula>
    </cfRule>
  </conditionalFormatting>
  <conditionalFormatting sqref="BT119">
    <cfRule type="expression" dxfId="2159" priority="2054">
      <formula>$BM210&gt;$BL$180</formula>
    </cfRule>
    <cfRule type="expression" dxfId="2158" priority="2055">
      <formula>$BM210+1&gt;$BL$179</formula>
    </cfRule>
  </conditionalFormatting>
  <conditionalFormatting sqref="BT120">
    <cfRule type="expression" dxfId="2157" priority="2052">
      <formula>$BM211&gt;$BL$180</formula>
    </cfRule>
    <cfRule type="expression" dxfId="2156" priority="2053">
      <formula>$BM211+1&gt;$BL$179</formula>
    </cfRule>
  </conditionalFormatting>
  <conditionalFormatting sqref="BT121">
    <cfRule type="expression" dxfId="2155" priority="2050">
      <formula>$BM212&gt;$BL$180</formula>
    </cfRule>
    <cfRule type="expression" dxfId="2154" priority="2051">
      <formula>$BM212+1&gt;$BL$179</formula>
    </cfRule>
  </conditionalFormatting>
  <conditionalFormatting sqref="BT122">
    <cfRule type="expression" dxfId="2153" priority="2048">
      <formula>$BM213&gt;$BL$180</formula>
    </cfRule>
    <cfRule type="expression" dxfId="2152" priority="2049">
      <formula>$BM213+1&gt;$BL$179</formula>
    </cfRule>
  </conditionalFormatting>
  <conditionalFormatting sqref="BT123">
    <cfRule type="expression" dxfId="2151" priority="2046">
      <formula>$BM214&gt;$BL$180</formula>
    </cfRule>
    <cfRule type="expression" dxfId="2150" priority="2047">
      <formula>$BM214+1&gt;$BL$179</formula>
    </cfRule>
  </conditionalFormatting>
  <conditionalFormatting sqref="BT124">
    <cfRule type="expression" dxfId="2149" priority="2044">
      <formula>$BM215&gt;$BL$180</formula>
    </cfRule>
    <cfRule type="expression" dxfId="2148" priority="2045">
      <formula>$BM215+1&gt;$BL$179</formula>
    </cfRule>
  </conditionalFormatting>
  <conditionalFormatting sqref="BT125">
    <cfRule type="expression" dxfId="2147" priority="2042">
      <formula>$BM216&gt;$BL$180</formula>
    </cfRule>
    <cfRule type="expression" dxfId="2146" priority="2043">
      <formula>$BM216+1&gt;$BL$179</formula>
    </cfRule>
  </conditionalFormatting>
  <conditionalFormatting sqref="BT126">
    <cfRule type="expression" dxfId="2145" priority="2040">
      <formula>$BM217&gt;$BL$180</formula>
    </cfRule>
    <cfRule type="expression" dxfId="2144" priority="2041">
      <formula>$BM217+1&gt;$BL$179</formula>
    </cfRule>
  </conditionalFormatting>
  <conditionalFormatting sqref="BT127">
    <cfRule type="expression" dxfId="2143" priority="2038">
      <formula>$BM218&gt;$BL$180</formula>
    </cfRule>
    <cfRule type="expression" dxfId="2142" priority="2039">
      <formula>$BM218+1&gt;$BL$179</formula>
    </cfRule>
  </conditionalFormatting>
  <conditionalFormatting sqref="BT128">
    <cfRule type="expression" dxfId="2141" priority="2036">
      <formula>$BM219&gt;$BL$180</formula>
    </cfRule>
    <cfRule type="expression" dxfId="2140" priority="2037">
      <formula>$BM219+1&gt;$BL$179</formula>
    </cfRule>
  </conditionalFormatting>
  <conditionalFormatting sqref="AN91 AH91">
    <cfRule type="expression" dxfId="2139" priority="2010">
      <formula>$AE$140=$AD$138</formula>
    </cfRule>
    <cfRule type="expression" dxfId="2138" priority="2011">
      <formula>$AE$140=$AD$137</formula>
    </cfRule>
  </conditionalFormatting>
  <conditionalFormatting sqref="AN92">
    <cfRule type="expression" dxfId="2137" priority="1996">
      <formula>$AE141&gt;$AD$138</formula>
    </cfRule>
    <cfRule type="expression" dxfId="2136" priority="1997">
      <formula>$AE141&gt;$AD$137</formula>
    </cfRule>
    <cfRule type="expression" dxfId="2135" priority="2009">
      <formula>$AE141&gt;0</formula>
    </cfRule>
  </conditionalFormatting>
  <conditionalFormatting sqref="AH92">
    <cfRule type="expression" dxfId="2134" priority="1993">
      <formula>$AE141&gt;$AD$138</formula>
    </cfRule>
    <cfRule type="expression" dxfId="2133" priority="1994">
      <formula>$AE141&gt;$AD$137</formula>
    </cfRule>
    <cfRule type="expression" dxfId="2132" priority="1995">
      <formula>$AE141&gt;0</formula>
    </cfRule>
  </conditionalFormatting>
  <conditionalFormatting sqref="AN93">
    <cfRule type="expression" dxfId="2131" priority="1936">
      <formula>$AE142&gt;$AD$138</formula>
    </cfRule>
    <cfRule type="expression" dxfId="2130" priority="1937">
      <formula>$AE142&gt;$AD$137</formula>
    </cfRule>
    <cfRule type="expression" dxfId="2129" priority="1938">
      <formula>$AE142&gt;0</formula>
    </cfRule>
  </conditionalFormatting>
  <conditionalFormatting sqref="AN94">
    <cfRule type="expression" dxfId="2128" priority="1894">
      <formula>$AE143&gt;$AD$138</formula>
    </cfRule>
    <cfRule type="expression" dxfId="2127" priority="1895">
      <formula>$AE143&gt;$AD$137</formula>
    </cfRule>
    <cfRule type="expression" dxfId="2126" priority="1896">
      <formula>$AE143&gt;0</formula>
    </cfRule>
  </conditionalFormatting>
  <conditionalFormatting sqref="AN95">
    <cfRule type="expression" dxfId="2125" priority="1891">
      <formula>$AE144&gt;$AD$138</formula>
    </cfRule>
    <cfRule type="expression" dxfId="2124" priority="1892">
      <formula>$AE144&gt;$AD$137</formula>
    </cfRule>
    <cfRule type="expression" dxfId="2123" priority="1893">
      <formula>$AE144&gt;0</formula>
    </cfRule>
  </conditionalFormatting>
  <conditionalFormatting sqref="AN96">
    <cfRule type="expression" dxfId="2122" priority="1888">
      <formula>$AE145&gt;$AD$138</formula>
    </cfRule>
    <cfRule type="expression" dxfId="2121" priority="1889">
      <formula>$AE145&gt;$AD$137</formula>
    </cfRule>
    <cfRule type="expression" dxfId="2120" priority="1890">
      <formula>$AE145&gt;0</formula>
    </cfRule>
  </conditionalFormatting>
  <conditionalFormatting sqref="AN97">
    <cfRule type="expression" dxfId="2119" priority="1885">
      <formula>$AE146&gt;$AD$138</formula>
    </cfRule>
    <cfRule type="expression" dxfId="2118" priority="1886">
      <formula>$AE146&gt;$AD$137</formula>
    </cfRule>
    <cfRule type="expression" dxfId="2117" priority="1887">
      <formula>$AE146&gt;0</formula>
    </cfRule>
  </conditionalFormatting>
  <conditionalFormatting sqref="AN98">
    <cfRule type="expression" dxfId="2116" priority="1882">
      <formula>$AE147&gt;$AD$138</formula>
    </cfRule>
    <cfRule type="expression" dxfId="2115" priority="1883">
      <formula>$AE147&gt;$AD$137</formula>
    </cfRule>
    <cfRule type="expression" dxfId="2114" priority="1884">
      <formula>$AE147&gt;0</formula>
    </cfRule>
  </conditionalFormatting>
  <conditionalFormatting sqref="AN99">
    <cfRule type="expression" dxfId="2113" priority="1879">
      <formula>$AE148&gt;$AD$138</formula>
    </cfRule>
    <cfRule type="expression" dxfId="2112" priority="1880">
      <formula>$AE148&gt;$AD$137</formula>
    </cfRule>
    <cfRule type="expression" dxfId="2111" priority="1881">
      <formula>$AE148&gt;0</formula>
    </cfRule>
  </conditionalFormatting>
  <conditionalFormatting sqref="AN100">
    <cfRule type="expression" dxfId="2110" priority="1876">
      <formula>$AE149&gt;$AD$138</formula>
    </cfRule>
    <cfRule type="expression" dxfId="2109" priority="1877">
      <formula>$AE149&gt;$AD$137</formula>
    </cfRule>
    <cfRule type="expression" dxfId="2108" priority="1878">
      <formula>$AE149&gt;0</formula>
    </cfRule>
  </conditionalFormatting>
  <conditionalFormatting sqref="AN101">
    <cfRule type="expression" dxfId="2107" priority="1873">
      <formula>$AE150&gt;$AD$138</formula>
    </cfRule>
    <cfRule type="expression" dxfId="2106" priority="1874">
      <formula>$AE150&gt;$AD$137</formula>
    </cfRule>
    <cfRule type="expression" dxfId="2105" priority="1875">
      <formula>$AE150&gt;0</formula>
    </cfRule>
  </conditionalFormatting>
  <conditionalFormatting sqref="AH100">
    <cfRule type="expression" dxfId="2104" priority="1843">
      <formula>$AE149&gt;$AD$138</formula>
    </cfRule>
    <cfRule type="expression" dxfId="2103" priority="1844">
      <formula>$AE149&gt;$AD$137</formula>
    </cfRule>
    <cfRule type="expression" dxfId="2102" priority="1845">
      <formula>$AE149&gt;0</formula>
    </cfRule>
  </conditionalFormatting>
  <conditionalFormatting sqref="AH101">
    <cfRule type="expression" dxfId="2101" priority="1840">
      <formula>$AE150&gt;$AD$138</formula>
    </cfRule>
    <cfRule type="expression" dxfId="2100" priority="1841">
      <formula>$AE150&gt;$AD$137</formula>
    </cfRule>
    <cfRule type="expression" dxfId="2099" priority="1842">
      <formula>$AE150&gt;0</formula>
    </cfRule>
  </conditionalFormatting>
  <conditionalFormatting sqref="AH93">
    <cfRule type="expression" dxfId="2098" priority="1864">
      <formula>$AE142&gt;$AD$138</formula>
    </cfRule>
    <cfRule type="expression" dxfId="2097" priority="1865">
      <formula>$AE142&gt;$AD$137</formula>
    </cfRule>
    <cfRule type="expression" dxfId="2096" priority="1866">
      <formula>$AE142&gt;0</formula>
    </cfRule>
  </conditionalFormatting>
  <conditionalFormatting sqref="AH94">
    <cfRule type="expression" dxfId="2095" priority="1861">
      <formula>$AE143&gt;$AD$138</formula>
    </cfRule>
    <cfRule type="expression" dxfId="2094" priority="1862">
      <formula>$AE143&gt;$AD$137</formula>
    </cfRule>
    <cfRule type="expression" dxfId="2093" priority="1863">
      <formula>$AE143&gt;0</formula>
    </cfRule>
  </conditionalFormatting>
  <conditionalFormatting sqref="AH95">
    <cfRule type="expression" dxfId="2092" priority="1858">
      <formula>$AE144&gt;$AD$138</formula>
    </cfRule>
    <cfRule type="expression" dxfId="2091" priority="1859">
      <formula>$AE144&gt;$AD$137</formula>
    </cfRule>
    <cfRule type="expression" dxfId="2090" priority="1860">
      <formula>$AE144&gt;0</formula>
    </cfRule>
  </conditionalFormatting>
  <conditionalFormatting sqref="AH96">
    <cfRule type="expression" dxfId="2089" priority="1855">
      <formula>$AE145&gt;$AD$138</formula>
    </cfRule>
    <cfRule type="expression" dxfId="2088" priority="1856">
      <formula>$AE145&gt;$AD$137</formula>
    </cfRule>
    <cfRule type="expression" dxfId="2087" priority="1857">
      <formula>$AE145&gt;0</formula>
    </cfRule>
  </conditionalFormatting>
  <conditionalFormatting sqref="AH97">
    <cfRule type="expression" dxfId="2086" priority="1852">
      <formula>$AE146&gt;$AD$138</formula>
    </cfRule>
    <cfRule type="expression" dxfId="2085" priority="1853">
      <formula>$AE146&gt;$AD$137</formula>
    </cfRule>
    <cfRule type="expression" dxfId="2084" priority="1854">
      <formula>$AE146&gt;0</formula>
    </cfRule>
  </conditionalFormatting>
  <conditionalFormatting sqref="AH98">
    <cfRule type="expression" dxfId="2083" priority="1849">
      <formula>$AE147&gt;$AD$138</formula>
    </cfRule>
    <cfRule type="expression" dxfId="2082" priority="1850">
      <formula>$AE147&gt;$AD$137</formula>
    </cfRule>
    <cfRule type="expression" dxfId="2081" priority="1851">
      <formula>$AE147&gt;0</formula>
    </cfRule>
  </conditionalFormatting>
  <conditionalFormatting sqref="AH99">
    <cfRule type="expression" dxfId="2080" priority="1846">
      <formula>$AE148&gt;$AD$138</formula>
    </cfRule>
    <cfRule type="expression" dxfId="2079" priority="1847">
      <formula>$AE148&gt;$AD$137</formula>
    </cfRule>
    <cfRule type="expression" dxfId="2078" priority="1848">
      <formula>$AE148&gt;0</formula>
    </cfRule>
  </conditionalFormatting>
  <conditionalFormatting sqref="AM92">
    <cfRule type="expression" dxfId="2077" priority="1836">
      <formula>$AR141&gt;$AQ$138</formula>
    </cfRule>
    <cfRule type="expression" dxfId="2076" priority="1837">
      <formula>$AR141&gt;$AQ$137</formula>
    </cfRule>
    <cfRule type="expression" dxfId="2075" priority="1838">
      <formula>$AR141&gt;0</formula>
    </cfRule>
  </conditionalFormatting>
  <conditionalFormatting sqref="AM93">
    <cfRule type="expression" dxfId="2074" priority="1833">
      <formula>$AR142&gt;$AQ$138</formula>
    </cfRule>
    <cfRule type="expression" dxfId="2073" priority="1834">
      <formula>$AR142&gt;$AQ$137</formula>
    </cfRule>
    <cfRule type="expression" dxfId="2072" priority="1835">
      <formula>$AR142&gt;0</formula>
    </cfRule>
  </conditionalFormatting>
  <conditionalFormatting sqref="AM94">
    <cfRule type="expression" dxfId="2071" priority="1830">
      <formula>$AR143&gt;$AQ$138</formula>
    </cfRule>
    <cfRule type="expression" dxfId="2070" priority="1831">
      <formula>$AR143&gt;$AQ$137</formula>
    </cfRule>
    <cfRule type="expression" dxfId="2069" priority="1832">
      <formula>$AR143&gt;0</formula>
    </cfRule>
  </conditionalFormatting>
  <conditionalFormatting sqref="AM95">
    <cfRule type="expression" dxfId="2068" priority="1827">
      <formula>$AR144&gt;$AQ$138</formula>
    </cfRule>
    <cfRule type="expression" dxfId="2067" priority="1828">
      <formula>$AR144&gt;$AQ$137</formula>
    </cfRule>
    <cfRule type="expression" dxfId="2066" priority="1829">
      <formula>$AR144&gt;0</formula>
    </cfRule>
  </conditionalFormatting>
  <conditionalFormatting sqref="AM96">
    <cfRule type="expression" dxfId="2065" priority="1824">
      <formula>$AR145&gt;$AQ$138</formula>
    </cfRule>
    <cfRule type="expression" dxfId="2064" priority="1825">
      <formula>$AR145&gt;$AQ$137</formula>
    </cfRule>
    <cfRule type="expression" dxfId="2063" priority="1826">
      <formula>$AR145&gt;0</formula>
    </cfRule>
  </conditionalFormatting>
  <conditionalFormatting sqref="AM97">
    <cfRule type="expression" dxfId="2062" priority="1821">
      <formula>$AR146&gt;$AQ$138</formula>
    </cfRule>
    <cfRule type="expression" dxfId="2061" priority="1822">
      <formula>$AR146&gt;$AQ$137</formula>
    </cfRule>
    <cfRule type="expression" dxfId="2060" priority="1823">
      <formula>$AR146&gt;0</formula>
    </cfRule>
  </conditionalFormatting>
  <conditionalFormatting sqref="AM98">
    <cfRule type="expression" dxfId="2059" priority="1818">
      <formula>$AR147&gt;$AQ$138</formula>
    </cfRule>
    <cfRule type="expression" dxfId="2058" priority="1819">
      <formula>$AR147&gt;$AQ$137</formula>
    </cfRule>
    <cfRule type="expression" dxfId="2057" priority="1820">
      <formula>$AR147&gt;0</formula>
    </cfRule>
  </conditionalFormatting>
  <conditionalFormatting sqref="AM99">
    <cfRule type="expression" dxfId="2056" priority="1815">
      <formula>$AR148&gt;$AQ$138</formula>
    </cfRule>
    <cfRule type="expression" dxfId="2055" priority="1816">
      <formula>$AR148&gt;$AQ$137</formula>
    </cfRule>
    <cfRule type="expression" dxfId="2054" priority="1817">
      <formula>$AR148&gt;0</formula>
    </cfRule>
  </conditionalFormatting>
  <conditionalFormatting sqref="AM100">
    <cfRule type="expression" dxfId="2053" priority="1812">
      <formula>$AR149&gt;$AQ$138</formula>
    </cfRule>
    <cfRule type="expression" dxfId="2052" priority="1813">
      <formula>$AR149&gt;$AQ$137</formula>
    </cfRule>
    <cfRule type="expression" dxfId="2051" priority="1814">
      <formula>$AR149&gt;0</formula>
    </cfRule>
  </conditionalFormatting>
  <conditionalFormatting sqref="AM101">
    <cfRule type="expression" dxfId="2050" priority="1809">
      <formula>$AR150&gt;$AQ$138</formula>
    </cfRule>
    <cfRule type="expression" dxfId="2049" priority="1810">
      <formula>$AR150&gt;$AQ$137</formula>
    </cfRule>
    <cfRule type="expression" dxfId="2048" priority="1811">
      <formula>$AR150&gt;0</formula>
    </cfRule>
  </conditionalFormatting>
  <conditionalFormatting sqref="AM102">
    <cfRule type="expression" dxfId="2047" priority="1806">
      <formula>$AR151&gt;$AQ$138</formula>
    </cfRule>
    <cfRule type="expression" dxfId="2046" priority="1807">
      <formula>$AR151&gt;$AQ$137</formula>
    </cfRule>
    <cfRule type="expression" dxfId="2045" priority="1808">
      <formula>$AR151&gt;0</formula>
    </cfRule>
  </conditionalFormatting>
  <conditionalFormatting sqref="AM103">
    <cfRule type="expression" dxfId="2044" priority="1803">
      <formula>$AR152&gt;$AQ$138</formula>
    </cfRule>
    <cfRule type="expression" dxfId="2043" priority="1804">
      <formula>$AR152&gt;$AQ$137</formula>
    </cfRule>
    <cfRule type="expression" dxfId="2042" priority="1805">
      <formula>$AR152&gt;0</formula>
    </cfRule>
  </conditionalFormatting>
  <conditionalFormatting sqref="AM104">
    <cfRule type="expression" dxfId="2041" priority="1800">
      <formula>$AR153&gt;$AQ$138</formula>
    </cfRule>
    <cfRule type="expression" dxfId="2040" priority="1801">
      <formula>$AR153&gt;$AQ$137</formula>
    </cfRule>
    <cfRule type="expression" dxfId="2039" priority="1802">
      <formula>$AR153&gt;0</formula>
    </cfRule>
  </conditionalFormatting>
  <conditionalFormatting sqref="AM105">
    <cfRule type="expression" dxfId="2038" priority="1797">
      <formula>$AR154&gt;$AQ$138</formula>
    </cfRule>
    <cfRule type="expression" dxfId="2037" priority="1798">
      <formula>$AR154&gt;$AQ$137</formula>
    </cfRule>
    <cfRule type="expression" dxfId="2036" priority="1799">
      <formula>$AR154&gt;0</formula>
    </cfRule>
  </conditionalFormatting>
  <conditionalFormatting sqref="AM106">
    <cfRule type="expression" dxfId="2035" priority="1794">
      <formula>$AR155&gt;$AQ$138</formula>
    </cfRule>
    <cfRule type="expression" dxfId="2034" priority="1795">
      <formula>$AR155&gt;$AQ$137</formula>
    </cfRule>
    <cfRule type="expression" dxfId="2033" priority="1796">
      <formula>$AR155&gt;0</formula>
    </cfRule>
  </conditionalFormatting>
  <conditionalFormatting sqref="AM107">
    <cfRule type="expression" dxfId="2032" priority="1791">
      <formula>$AR156&gt;$AQ$138</formula>
    </cfRule>
    <cfRule type="expression" dxfId="2031" priority="1792">
      <formula>$AR156&gt;$AQ$137</formula>
    </cfRule>
    <cfRule type="expression" dxfId="2030" priority="1793">
      <formula>$AR156&gt;0</formula>
    </cfRule>
  </conditionalFormatting>
  <conditionalFormatting sqref="AM108">
    <cfRule type="expression" dxfId="2029" priority="1788">
      <formula>$AR157&gt;$AQ$138</formula>
    </cfRule>
    <cfRule type="expression" dxfId="2028" priority="1789">
      <formula>$AR157&gt;$AQ$137</formula>
    </cfRule>
    <cfRule type="expression" dxfId="2027" priority="1790">
      <formula>$AR157&gt;0</formula>
    </cfRule>
  </conditionalFormatting>
  <conditionalFormatting sqref="AM109">
    <cfRule type="expression" dxfId="2026" priority="1785">
      <formula>$AR158&gt;$AQ$138</formula>
    </cfRule>
    <cfRule type="expression" dxfId="2025" priority="1786">
      <formula>$AR158&gt;$AQ$137</formula>
    </cfRule>
    <cfRule type="expression" dxfId="2024" priority="1787">
      <formula>$AR158&gt;0</formula>
    </cfRule>
  </conditionalFormatting>
  <conditionalFormatting sqref="AM110">
    <cfRule type="expression" dxfId="2023" priority="1782">
      <formula>$AR159&gt;$AQ$138</formula>
    </cfRule>
    <cfRule type="expression" dxfId="2022" priority="1783">
      <formula>$AR159&gt;$AQ$137</formula>
    </cfRule>
    <cfRule type="expression" dxfId="2021" priority="1784">
      <formula>$AR159&gt;0</formula>
    </cfRule>
  </conditionalFormatting>
  <conditionalFormatting sqref="AM111">
    <cfRule type="expression" dxfId="2020" priority="1779">
      <formula>$AR160&gt;$AQ$138</formula>
    </cfRule>
    <cfRule type="expression" dxfId="2019" priority="1780">
      <formula>$AR160&gt;$AQ$137</formula>
    </cfRule>
    <cfRule type="expression" dxfId="2018" priority="1781">
      <formula>$AR160&gt;0</formula>
    </cfRule>
  </conditionalFormatting>
  <conditionalFormatting sqref="AM112">
    <cfRule type="expression" dxfId="2017" priority="1776">
      <formula>$AR161&gt;$AQ$138</formula>
    </cfRule>
    <cfRule type="expression" dxfId="2016" priority="1777">
      <formula>$AR161&gt;$AQ$137</formula>
    </cfRule>
    <cfRule type="expression" dxfId="2015" priority="1778">
      <formula>$AR161&gt;0</formula>
    </cfRule>
  </conditionalFormatting>
  <conditionalFormatting sqref="AM113">
    <cfRule type="expression" dxfId="2014" priority="1773">
      <formula>$AR162&gt;$AQ$138</formula>
    </cfRule>
    <cfRule type="expression" dxfId="2013" priority="1774">
      <formula>$AR162&gt;$AQ$137</formula>
    </cfRule>
    <cfRule type="expression" dxfId="2012" priority="1775">
      <formula>$AR162&gt;0</formula>
    </cfRule>
  </conditionalFormatting>
  <conditionalFormatting sqref="AM114">
    <cfRule type="expression" dxfId="2011" priority="1770">
      <formula>$AR163&gt;$AQ$138</formula>
    </cfRule>
    <cfRule type="expression" dxfId="2010" priority="1771">
      <formula>$AR163&gt;$AQ$137</formula>
    </cfRule>
    <cfRule type="expression" dxfId="2009" priority="1772">
      <formula>$AR163&gt;0</formula>
    </cfRule>
  </conditionalFormatting>
  <conditionalFormatting sqref="AM115">
    <cfRule type="expression" dxfId="2008" priority="1767">
      <formula>$AR164&gt;$AQ$138</formula>
    </cfRule>
    <cfRule type="expression" dxfId="2007" priority="1768">
      <formula>$AR164&gt;$AQ$137</formula>
    </cfRule>
    <cfRule type="expression" dxfId="2006" priority="1769">
      <formula>$AR164&gt;0</formula>
    </cfRule>
  </conditionalFormatting>
  <conditionalFormatting sqref="AM116">
    <cfRule type="expression" dxfId="2005" priority="1764">
      <formula>$AR165&gt;$AQ$138</formula>
    </cfRule>
    <cfRule type="expression" dxfId="2004" priority="1765">
      <formula>$AR165&gt;$AQ$137</formula>
    </cfRule>
    <cfRule type="expression" dxfId="2003" priority="1766">
      <formula>$AR165&gt;0</formula>
    </cfRule>
  </conditionalFormatting>
  <conditionalFormatting sqref="AI92">
    <cfRule type="expression" dxfId="2002" priority="1761">
      <formula>$AR141&gt;$AQ$138</formula>
    </cfRule>
    <cfRule type="expression" dxfId="2001" priority="1762">
      <formula>$AR141&gt;$AQ$137</formula>
    </cfRule>
    <cfRule type="expression" dxfId="2000" priority="1763">
      <formula>$AR141&gt;0</formula>
    </cfRule>
  </conditionalFormatting>
  <conditionalFormatting sqref="AI93">
    <cfRule type="expression" dxfId="1999" priority="1758">
      <formula>$AR142&gt;$AQ$138</formula>
    </cfRule>
    <cfRule type="expression" dxfId="1998" priority="1759">
      <formula>$AR142&gt;$AQ$137</formula>
    </cfRule>
    <cfRule type="expression" dxfId="1997" priority="1760">
      <formula>$AR142&gt;0</formula>
    </cfRule>
  </conditionalFormatting>
  <conditionalFormatting sqref="AI94">
    <cfRule type="expression" dxfId="1996" priority="1755">
      <formula>$AR143&gt;$AQ$138</formula>
    </cfRule>
    <cfRule type="expression" dxfId="1995" priority="1756">
      <formula>$AR143&gt;$AQ$137</formula>
    </cfRule>
    <cfRule type="expression" dxfId="1994" priority="1757">
      <formula>$AR143&gt;0</formula>
    </cfRule>
  </conditionalFormatting>
  <conditionalFormatting sqref="AI95">
    <cfRule type="expression" dxfId="1993" priority="1752">
      <formula>$AR144&gt;$AQ$138</formula>
    </cfRule>
    <cfRule type="expression" dxfId="1992" priority="1753">
      <formula>$AR144&gt;$AQ$137</formula>
    </cfRule>
    <cfRule type="expression" dxfId="1991" priority="1754">
      <formula>$AR144&gt;0</formula>
    </cfRule>
  </conditionalFormatting>
  <conditionalFormatting sqref="AI96">
    <cfRule type="expression" dxfId="1990" priority="1749">
      <formula>$AR145&gt;$AQ$138</formula>
    </cfRule>
    <cfRule type="expression" dxfId="1989" priority="1750">
      <formula>$AR145&gt;$AQ$137</formula>
    </cfRule>
    <cfRule type="expression" dxfId="1988" priority="1751">
      <formula>$AR145&gt;0</formula>
    </cfRule>
  </conditionalFormatting>
  <conditionalFormatting sqref="AI97">
    <cfRule type="expression" dxfId="1987" priority="1746">
      <formula>$AR146&gt;$AQ$138</formula>
    </cfRule>
    <cfRule type="expression" dxfId="1986" priority="1747">
      <formula>$AR146&gt;$AQ$137</formula>
    </cfRule>
    <cfRule type="expression" dxfId="1985" priority="1748">
      <formula>$AR146&gt;0</formula>
    </cfRule>
  </conditionalFormatting>
  <conditionalFormatting sqref="AI98">
    <cfRule type="expression" dxfId="1984" priority="1743">
      <formula>$AR147&gt;$AQ$138</formula>
    </cfRule>
    <cfRule type="expression" dxfId="1983" priority="1744">
      <formula>$AR147&gt;$AQ$137</formula>
    </cfRule>
    <cfRule type="expression" dxfId="1982" priority="1745">
      <formula>$AR147&gt;0</formula>
    </cfRule>
  </conditionalFormatting>
  <conditionalFormatting sqref="AI99">
    <cfRule type="expression" dxfId="1981" priority="1740">
      <formula>$AR148&gt;$AQ$138</formula>
    </cfRule>
    <cfRule type="expression" dxfId="1980" priority="1741">
      <formula>$AR148&gt;$AQ$137</formula>
    </cfRule>
    <cfRule type="expression" dxfId="1979" priority="1742">
      <formula>$AR148&gt;0</formula>
    </cfRule>
  </conditionalFormatting>
  <conditionalFormatting sqref="AI100">
    <cfRule type="expression" dxfId="1978" priority="1737">
      <formula>$AR149&gt;$AQ$138</formula>
    </cfRule>
    <cfRule type="expression" dxfId="1977" priority="1738">
      <formula>$AR149&gt;$AQ$137</formula>
    </cfRule>
    <cfRule type="expression" dxfId="1976" priority="1739">
      <formula>$AR149&gt;0</formula>
    </cfRule>
  </conditionalFormatting>
  <conditionalFormatting sqref="AI101">
    <cfRule type="expression" dxfId="1975" priority="1734">
      <formula>$AR150&gt;$AQ$138</formula>
    </cfRule>
    <cfRule type="expression" dxfId="1974" priority="1735">
      <formula>$AR150&gt;$AQ$137</formula>
    </cfRule>
    <cfRule type="expression" dxfId="1973" priority="1736">
      <formula>$AR150&gt;0</formula>
    </cfRule>
  </conditionalFormatting>
  <conditionalFormatting sqref="AI102">
    <cfRule type="expression" dxfId="1972" priority="1731">
      <formula>$AR151&gt;$AQ$138</formula>
    </cfRule>
    <cfRule type="expression" dxfId="1971" priority="1732">
      <formula>$AR151&gt;$AQ$137</formula>
    </cfRule>
    <cfRule type="expression" dxfId="1970" priority="1733">
      <formula>$AR151&gt;0</formula>
    </cfRule>
  </conditionalFormatting>
  <conditionalFormatting sqref="AI103">
    <cfRule type="expression" dxfId="1969" priority="1728">
      <formula>$AR152&gt;$AQ$138</formula>
    </cfRule>
    <cfRule type="expression" dxfId="1968" priority="1729">
      <formula>$AR152&gt;$AQ$137</formula>
    </cfRule>
    <cfRule type="expression" dxfId="1967" priority="1730">
      <formula>$AR152&gt;0</formula>
    </cfRule>
  </conditionalFormatting>
  <conditionalFormatting sqref="AI104">
    <cfRule type="expression" dxfId="1966" priority="1725">
      <formula>$AR153&gt;$AQ$138</formula>
    </cfRule>
    <cfRule type="expression" dxfId="1965" priority="1726">
      <formula>$AR153&gt;$AQ$137</formula>
    </cfRule>
    <cfRule type="expression" dxfId="1964" priority="1727">
      <formula>$AR153&gt;0</formula>
    </cfRule>
  </conditionalFormatting>
  <conditionalFormatting sqref="AI105">
    <cfRule type="expression" dxfId="1963" priority="1722">
      <formula>$AR154&gt;$AQ$138</formula>
    </cfRule>
    <cfRule type="expression" dxfId="1962" priority="1723">
      <formula>$AR154&gt;$AQ$137</formula>
    </cfRule>
    <cfRule type="expression" dxfId="1961" priority="1724">
      <formula>$AR154&gt;0</formula>
    </cfRule>
  </conditionalFormatting>
  <conditionalFormatting sqref="AI106">
    <cfRule type="expression" dxfId="1960" priority="1719">
      <formula>$AR155&gt;$AQ$138</formula>
    </cfRule>
    <cfRule type="expression" dxfId="1959" priority="1720">
      <formula>$AR155&gt;$AQ$137</formula>
    </cfRule>
    <cfRule type="expression" dxfId="1958" priority="1721">
      <formula>$AR155&gt;0</formula>
    </cfRule>
  </conditionalFormatting>
  <conditionalFormatting sqref="AI107">
    <cfRule type="expression" dxfId="1957" priority="1716">
      <formula>$AR156&gt;$AQ$138</formula>
    </cfRule>
    <cfRule type="expression" dxfId="1956" priority="1717">
      <formula>$AR156&gt;$AQ$137</formula>
    </cfRule>
    <cfRule type="expression" dxfId="1955" priority="1718">
      <formula>$AR156&gt;0</formula>
    </cfRule>
  </conditionalFormatting>
  <conditionalFormatting sqref="AI108">
    <cfRule type="expression" dxfId="1954" priority="1713">
      <formula>$AR157&gt;$AQ$138</formula>
    </cfRule>
    <cfRule type="expression" dxfId="1953" priority="1714">
      <formula>$AR157&gt;$AQ$137</formula>
    </cfRule>
    <cfRule type="expression" dxfId="1952" priority="1715">
      <formula>$AR157&gt;0</formula>
    </cfRule>
  </conditionalFormatting>
  <conditionalFormatting sqref="AI109">
    <cfRule type="expression" dxfId="1951" priority="1710">
      <formula>$AR158&gt;$AQ$138</formula>
    </cfRule>
    <cfRule type="expression" dxfId="1950" priority="1711">
      <formula>$AR158&gt;$AQ$137</formula>
    </cfRule>
    <cfRule type="expression" dxfId="1949" priority="1712">
      <formula>$AR158&gt;0</formula>
    </cfRule>
  </conditionalFormatting>
  <conditionalFormatting sqref="AI110">
    <cfRule type="expression" dxfId="1948" priority="1707">
      <formula>$AR159&gt;$AQ$138</formula>
    </cfRule>
    <cfRule type="expression" dxfId="1947" priority="1708">
      <formula>$AR159&gt;$AQ$137</formula>
    </cfRule>
    <cfRule type="expression" dxfId="1946" priority="1709">
      <formula>$AR159&gt;0</formula>
    </cfRule>
  </conditionalFormatting>
  <conditionalFormatting sqref="AI111">
    <cfRule type="expression" dxfId="1945" priority="1704">
      <formula>$AR160&gt;$AQ$138</formula>
    </cfRule>
    <cfRule type="expression" dxfId="1944" priority="1705">
      <formula>$AR160&gt;$AQ$137</formula>
    </cfRule>
    <cfRule type="expression" dxfId="1943" priority="1706">
      <formula>$AR160&gt;0</formula>
    </cfRule>
  </conditionalFormatting>
  <conditionalFormatting sqref="AI112">
    <cfRule type="expression" dxfId="1942" priority="1701">
      <formula>$AR161&gt;$AQ$138</formula>
    </cfRule>
    <cfRule type="expression" dxfId="1941" priority="1702">
      <formula>$AR161&gt;$AQ$137</formula>
    </cfRule>
    <cfRule type="expression" dxfId="1940" priority="1703">
      <formula>$AR161&gt;0</formula>
    </cfRule>
  </conditionalFormatting>
  <conditionalFormatting sqref="AI113">
    <cfRule type="expression" dxfId="1939" priority="1698">
      <formula>$AR162&gt;$AQ$138</formula>
    </cfRule>
    <cfRule type="expression" dxfId="1938" priority="1699">
      <formula>$AR162&gt;$AQ$137</formula>
    </cfRule>
    <cfRule type="expression" dxfId="1937" priority="1700">
      <formula>$AR162&gt;0</formula>
    </cfRule>
  </conditionalFormatting>
  <conditionalFormatting sqref="AI114">
    <cfRule type="expression" dxfId="1936" priority="1695">
      <formula>$AR163&gt;$AQ$138</formula>
    </cfRule>
    <cfRule type="expression" dxfId="1935" priority="1696">
      <formula>$AR163&gt;$AQ$137</formula>
    </cfRule>
    <cfRule type="expression" dxfId="1934" priority="1697">
      <formula>$AR163&gt;0</formula>
    </cfRule>
  </conditionalFormatting>
  <conditionalFormatting sqref="AI115">
    <cfRule type="expression" dxfId="1933" priority="1692">
      <formula>$AR164&gt;$AQ$138</formula>
    </cfRule>
    <cfRule type="expression" dxfId="1932" priority="1693">
      <formula>$AR164&gt;$AQ$137</formula>
    </cfRule>
    <cfRule type="expression" dxfId="1931" priority="1694">
      <formula>$AR164&gt;0</formula>
    </cfRule>
  </conditionalFormatting>
  <conditionalFormatting sqref="AI116">
    <cfRule type="expression" dxfId="1930" priority="1689">
      <formula>$AR165&gt;$AQ$138</formula>
    </cfRule>
    <cfRule type="expression" dxfId="1929" priority="1690">
      <formula>$AR165&gt;$AQ$137</formula>
    </cfRule>
    <cfRule type="expression" dxfId="1928" priority="1691">
      <formula>$AR165&gt;0</formula>
    </cfRule>
  </conditionalFormatting>
  <conditionalFormatting sqref="CG91 CM91">
    <cfRule type="expression" dxfId="1927" priority="1687">
      <formula>$CD$140=$CC$138</formula>
    </cfRule>
    <cfRule type="expression" dxfId="1926" priority="1688">
      <formula>$CD$140=$CC$137</formula>
    </cfRule>
  </conditionalFormatting>
  <conditionalFormatting sqref="CG92">
    <cfRule type="expression" dxfId="1925" priority="1684">
      <formula>$CD141&gt;$CC$138</formula>
    </cfRule>
    <cfRule type="expression" dxfId="1924" priority="1685">
      <formula>$CD141&gt;$CC$137</formula>
    </cfRule>
    <cfRule type="expression" dxfId="1923" priority="1686">
      <formula>$CD141&gt;0</formula>
    </cfRule>
  </conditionalFormatting>
  <conditionalFormatting sqref="CM92">
    <cfRule type="expression" dxfId="1922" priority="1681">
      <formula>$CD141&gt;$CC$138</formula>
    </cfRule>
    <cfRule type="expression" dxfId="1921" priority="1682">
      <formula>$CD141&gt;$CC$137</formula>
    </cfRule>
    <cfRule type="expression" dxfId="1920" priority="1683">
      <formula>$CD141&gt;0</formula>
    </cfRule>
  </conditionalFormatting>
  <conditionalFormatting sqref="CG93">
    <cfRule type="expression" dxfId="1919" priority="1678">
      <formula>$CD142&gt;$CC$138</formula>
    </cfRule>
    <cfRule type="expression" dxfId="1918" priority="1679">
      <formula>$CD142&gt;$CC$137</formula>
    </cfRule>
    <cfRule type="expression" dxfId="1917" priority="1680">
      <formula>$CD142&gt;0</formula>
    </cfRule>
  </conditionalFormatting>
  <conditionalFormatting sqref="CG94">
    <cfRule type="expression" dxfId="1916" priority="1675">
      <formula>$CD143&gt;$CC$138</formula>
    </cfRule>
    <cfRule type="expression" dxfId="1915" priority="1676">
      <formula>$CD143&gt;$CC$137</formula>
    </cfRule>
    <cfRule type="expression" dxfId="1914" priority="1677">
      <formula>$CD143&gt;0</formula>
    </cfRule>
  </conditionalFormatting>
  <conditionalFormatting sqref="CG95">
    <cfRule type="expression" dxfId="1913" priority="1672">
      <formula>$CD144&gt;$CC$138</formula>
    </cfRule>
    <cfRule type="expression" dxfId="1912" priority="1673">
      <formula>$CD144&gt;$CC$137</formula>
    </cfRule>
    <cfRule type="expression" dxfId="1911" priority="1674">
      <formula>$CD144&gt;0</formula>
    </cfRule>
  </conditionalFormatting>
  <conditionalFormatting sqref="CG96">
    <cfRule type="expression" dxfId="1910" priority="1669">
      <formula>$CD145&gt;$CC$138</formula>
    </cfRule>
    <cfRule type="expression" dxfId="1909" priority="1670">
      <formula>$CD145&gt;$CC$137</formula>
    </cfRule>
    <cfRule type="expression" dxfId="1908" priority="1671">
      <formula>$CD145&gt;0</formula>
    </cfRule>
  </conditionalFormatting>
  <conditionalFormatting sqref="CG97">
    <cfRule type="expression" dxfId="1907" priority="1666">
      <formula>$CD146&gt;$CC$138</formula>
    </cfRule>
    <cfRule type="expression" dxfId="1906" priority="1667">
      <formula>$CD146&gt;$CC$137</formula>
    </cfRule>
    <cfRule type="expression" dxfId="1905" priority="1668">
      <formula>$CD146&gt;0</formula>
    </cfRule>
  </conditionalFormatting>
  <conditionalFormatting sqref="CG98">
    <cfRule type="expression" dxfId="1904" priority="1663">
      <formula>$CD147&gt;$CC$138</formula>
    </cfRule>
    <cfRule type="expression" dxfId="1903" priority="1664">
      <formula>$CD147&gt;$CC$137</formula>
    </cfRule>
    <cfRule type="expression" dxfId="1902" priority="1665">
      <formula>$CD147&gt;0</formula>
    </cfRule>
  </conditionalFormatting>
  <conditionalFormatting sqref="CG99">
    <cfRule type="expression" dxfId="1901" priority="1660">
      <formula>$CD148&gt;$CC$138</formula>
    </cfRule>
    <cfRule type="expression" dxfId="1900" priority="1661">
      <formula>$CD148&gt;$CC$137</formula>
    </cfRule>
    <cfRule type="expression" dxfId="1899" priority="1662">
      <formula>$CD148&gt;0</formula>
    </cfRule>
  </conditionalFormatting>
  <conditionalFormatting sqref="CG100">
    <cfRule type="expression" dxfId="1898" priority="1657">
      <formula>$CD149&gt;$CC$138</formula>
    </cfRule>
    <cfRule type="expression" dxfId="1897" priority="1658">
      <formula>$CD149&gt;$CC$137</formula>
    </cfRule>
    <cfRule type="expression" dxfId="1896" priority="1659">
      <formula>$CD149&gt;0</formula>
    </cfRule>
  </conditionalFormatting>
  <conditionalFormatting sqref="CG101">
    <cfRule type="expression" dxfId="1895" priority="1654">
      <formula>$CD150&gt;$CC$138</formula>
    </cfRule>
    <cfRule type="expression" dxfId="1894" priority="1655">
      <formula>$CD150&gt;$CC$137</formula>
    </cfRule>
    <cfRule type="expression" dxfId="1893" priority="1656">
      <formula>$CD150&gt;0</formula>
    </cfRule>
  </conditionalFormatting>
  <conditionalFormatting sqref="CG102">
    <cfRule type="expression" dxfId="1892" priority="1651">
      <formula>$CD151&gt;$CC$138</formula>
    </cfRule>
    <cfRule type="expression" dxfId="1891" priority="1652">
      <formula>$CD151&gt;$CC$137</formula>
    </cfRule>
    <cfRule type="expression" dxfId="1890" priority="1653">
      <formula>$CD151&gt;0</formula>
    </cfRule>
  </conditionalFormatting>
  <conditionalFormatting sqref="CG103">
    <cfRule type="expression" dxfId="1889" priority="1648">
      <formula>$CD152&gt;$CC$138</formula>
    </cfRule>
    <cfRule type="expression" dxfId="1888" priority="1649">
      <formula>$CD152&gt;$CC$137</formula>
    </cfRule>
    <cfRule type="expression" dxfId="1887" priority="1650">
      <formula>$CD152&gt;0</formula>
    </cfRule>
  </conditionalFormatting>
  <conditionalFormatting sqref="CG104">
    <cfRule type="expression" dxfId="1886" priority="1645">
      <formula>$CD153&gt;$CC$138</formula>
    </cfRule>
    <cfRule type="expression" dxfId="1885" priority="1646">
      <formula>$CD153&gt;$CC$137</formula>
    </cfRule>
    <cfRule type="expression" dxfId="1884" priority="1647">
      <formula>$CD153&gt;0</formula>
    </cfRule>
  </conditionalFormatting>
  <conditionalFormatting sqref="CG105">
    <cfRule type="expression" dxfId="1883" priority="1642">
      <formula>$CD154&gt;$CC$138</formula>
    </cfRule>
    <cfRule type="expression" dxfId="1882" priority="1643">
      <formula>$CD154&gt;$CC$137</formula>
    </cfRule>
    <cfRule type="expression" dxfId="1881" priority="1644">
      <formula>$CD154&gt;0</formula>
    </cfRule>
  </conditionalFormatting>
  <conditionalFormatting sqref="CG106">
    <cfRule type="expression" dxfId="1880" priority="1639">
      <formula>$CD155&gt;$CC$138</formula>
    </cfRule>
    <cfRule type="expression" dxfId="1879" priority="1640">
      <formula>$CD155&gt;$CC$137</formula>
    </cfRule>
    <cfRule type="expression" dxfId="1878" priority="1641">
      <formula>$CD155&gt;0</formula>
    </cfRule>
  </conditionalFormatting>
  <conditionalFormatting sqref="CG107">
    <cfRule type="expression" dxfId="1877" priority="1636">
      <formula>$CD156&gt;$CC$138</formula>
    </cfRule>
    <cfRule type="expression" dxfId="1876" priority="1637">
      <formula>$CD156&gt;$CC$137</formula>
    </cfRule>
    <cfRule type="expression" dxfId="1875" priority="1638">
      <formula>$CD156&gt;0</formula>
    </cfRule>
  </conditionalFormatting>
  <conditionalFormatting sqref="CG108">
    <cfRule type="expression" dxfId="1874" priority="1633">
      <formula>$CD157&gt;$CC$138</formula>
    </cfRule>
    <cfRule type="expression" dxfId="1873" priority="1634">
      <formula>$CD157&gt;$CC$137</formula>
    </cfRule>
    <cfRule type="expression" dxfId="1872" priority="1635">
      <formula>$CD157&gt;0</formula>
    </cfRule>
  </conditionalFormatting>
  <conditionalFormatting sqref="CG109">
    <cfRule type="expression" dxfId="1871" priority="1630">
      <formula>$CD158&gt;$CC$138</formula>
    </cfRule>
    <cfRule type="expression" dxfId="1870" priority="1631">
      <formula>$CD158&gt;$CC$137</formula>
    </cfRule>
    <cfRule type="expression" dxfId="1869" priority="1632">
      <formula>$CD158&gt;0</formula>
    </cfRule>
  </conditionalFormatting>
  <conditionalFormatting sqref="CG110">
    <cfRule type="expression" dxfId="1868" priority="1627">
      <formula>$CD159&gt;$CC$138</formula>
    </cfRule>
    <cfRule type="expression" dxfId="1867" priority="1628">
      <formula>$CD159&gt;$CC$137</formula>
    </cfRule>
    <cfRule type="expression" dxfId="1866" priority="1629">
      <formula>$CD159&gt;0</formula>
    </cfRule>
  </conditionalFormatting>
  <conditionalFormatting sqref="CG111">
    <cfRule type="expression" dxfId="1865" priority="1624">
      <formula>$CD160&gt;$CC$138</formula>
    </cfRule>
    <cfRule type="expression" dxfId="1864" priority="1625">
      <formula>$CD160&gt;$CC$137</formula>
    </cfRule>
    <cfRule type="expression" dxfId="1863" priority="1626">
      <formula>$CD160&gt;0</formula>
    </cfRule>
  </conditionalFormatting>
  <conditionalFormatting sqref="CG112">
    <cfRule type="expression" dxfId="1862" priority="1621">
      <formula>$CD161&gt;$CC$138</formula>
    </cfRule>
    <cfRule type="expression" dxfId="1861" priority="1622">
      <formula>$CD161&gt;$CC$137</formula>
    </cfRule>
    <cfRule type="expression" dxfId="1860" priority="1623">
      <formula>$CD161&gt;0</formula>
    </cfRule>
  </conditionalFormatting>
  <conditionalFormatting sqref="CG113">
    <cfRule type="expression" dxfId="1859" priority="1618">
      <formula>$CD162&gt;$CC$138</formula>
    </cfRule>
    <cfRule type="expression" dxfId="1858" priority="1619">
      <formula>$CD162&gt;$CC$137</formula>
    </cfRule>
    <cfRule type="expression" dxfId="1857" priority="1620">
      <formula>$CD162&gt;0</formula>
    </cfRule>
  </conditionalFormatting>
  <conditionalFormatting sqref="CG114">
    <cfRule type="expression" dxfId="1856" priority="1615">
      <formula>$CD163&gt;$CC$138</formula>
    </cfRule>
    <cfRule type="expression" dxfId="1855" priority="1616">
      <formula>$CD163&gt;$CC$137</formula>
    </cfRule>
    <cfRule type="expression" dxfId="1854" priority="1617">
      <formula>$CD163&gt;0</formula>
    </cfRule>
  </conditionalFormatting>
  <conditionalFormatting sqref="CM93">
    <cfRule type="expression" dxfId="1853" priority="1612">
      <formula>$CD142&gt;$CC$138</formula>
    </cfRule>
    <cfRule type="expression" dxfId="1852" priority="1613">
      <formula>$CD142&gt;$CC$137</formula>
    </cfRule>
    <cfRule type="expression" dxfId="1851" priority="1614">
      <formula>$CD142&gt;0</formula>
    </cfRule>
  </conditionalFormatting>
  <conditionalFormatting sqref="CM94">
    <cfRule type="expression" dxfId="1850" priority="1609">
      <formula>$CD143&gt;$CC$138</formula>
    </cfRule>
    <cfRule type="expression" dxfId="1849" priority="1610">
      <formula>$CD143&gt;$CC$137</formula>
    </cfRule>
    <cfRule type="expression" dxfId="1848" priority="1611">
      <formula>$CD143&gt;0</formula>
    </cfRule>
  </conditionalFormatting>
  <conditionalFormatting sqref="CM95">
    <cfRule type="expression" dxfId="1847" priority="1606">
      <formula>$CD144&gt;$CC$138</formula>
    </cfRule>
    <cfRule type="expression" dxfId="1846" priority="1607">
      <formula>$CD144&gt;$CC$137</formula>
    </cfRule>
    <cfRule type="expression" dxfId="1845" priority="1608">
      <formula>$CD144&gt;0</formula>
    </cfRule>
  </conditionalFormatting>
  <conditionalFormatting sqref="CM96">
    <cfRule type="expression" dxfId="1844" priority="1603">
      <formula>$CD145&gt;$CC$138</formula>
    </cfRule>
    <cfRule type="expression" dxfId="1843" priority="1604">
      <formula>$CD145&gt;$CC$137</formula>
    </cfRule>
    <cfRule type="expression" dxfId="1842" priority="1605">
      <formula>$CD145&gt;0</formula>
    </cfRule>
  </conditionalFormatting>
  <conditionalFormatting sqref="CM97">
    <cfRule type="expression" dxfId="1841" priority="1600">
      <formula>$CD146&gt;$CC$138</formula>
    </cfRule>
    <cfRule type="expression" dxfId="1840" priority="1601">
      <formula>$CD146&gt;$CC$137</formula>
    </cfRule>
    <cfRule type="expression" dxfId="1839" priority="1602">
      <formula>$CD146&gt;0</formula>
    </cfRule>
  </conditionalFormatting>
  <conditionalFormatting sqref="CM98">
    <cfRule type="expression" dxfId="1838" priority="1597">
      <formula>$CD147&gt;$CC$138</formula>
    </cfRule>
    <cfRule type="expression" dxfId="1837" priority="1598">
      <formula>$CD147&gt;$CC$137</formula>
    </cfRule>
    <cfRule type="expression" dxfId="1836" priority="1599">
      <formula>$CD147&gt;0</formula>
    </cfRule>
  </conditionalFormatting>
  <conditionalFormatting sqref="CM99">
    <cfRule type="expression" dxfId="1835" priority="1594">
      <formula>$CD148&gt;$CC$138</formula>
    </cfRule>
    <cfRule type="expression" dxfId="1834" priority="1595">
      <formula>$CD148&gt;$CC$137</formula>
    </cfRule>
    <cfRule type="expression" dxfId="1833" priority="1596">
      <formula>$CD148&gt;0</formula>
    </cfRule>
  </conditionalFormatting>
  <conditionalFormatting sqref="CM100">
    <cfRule type="expression" dxfId="1832" priority="1591">
      <formula>$CD149&gt;$CC$138</formula>
    </cfRule>
    <cfRule type="expression" dxfId="1831" priority="1592">
      <formula>$CD149&gt;$CC$137</formula>
    </cfRule>
    <cfRule type="expression" dxfId="1830" priority="1593">
      <formula>$CD149&gt;0</formula>
    </cfRule>
  </conditionalFormatting>
  <conditionalFormatting sqref="CM101">
    <cfRule type="expression" dxfId="1829" priority="1588">
      <formula>$CD150&gt;$CC$138</formula>
    </cfRule>
    <cfRule type="expression" dxfId="1828" priority="1589">
      <formula>$CD150&gt;$CC$137</formula>
    </cfRule>
    <cfRule type="expression" dxfId="1827" priority="1590">
      <formula>$CD150&gt;0</formula>
    </cfRule>
  </conditionalFormatting>
  <conditionalFormatting sqref="CM102">
    <cfRule type="expression" dxfId="1826" priority="1585">
      <formula>$CD151&gt;$CC$138</formula>
    </cfRule>
    <cfRule type="expression" dxfId="1825" priority="1586">
      <formula>$CD151&gt;$CC$137</formula>
    </cfRule>
    <cfRule type="expression" dxfId="1824" priority="1587">
      <formula>$CD151&gt;0</formula>
    </cfRule>
  </conditionalFormatting>
  <conditionalFormatting sqref="CM103">
    <cfRule type="expression" dxfId="1823" priority="1582">
      <formula>$CD152&gt;$CC$138</formula>
    </cfRule>
    <cfRule type="expression" dxfId="1822" priority="1583">
      <formula>$CD152&gt;$CC$137</formula>
    </cfRule>
    <cfRule type="expression" dxfId="1821" priority="1584">
      <formula>$CD152&gt;0</formula>
    </cfRule>
  </conditionalFormatting>
  <conditionalFormatting sqref="CM104">
    <cfRule type="expression" dxfId="1820" priority="1579">
      <formula>$CD153&gt;$CC$138</formula>
    </cfRule>
    <cfRule type="expression" dxfId="1819" priority="1580">
      <formula>$CD153&gt;$CC$137</formula>
    </cfRule>
    <cfRule type="expression" dxfId="1818" priority="1581">
      <formula>$CD153&gt;0</formula>
    </cfRule>
  </conditionalFormatting>
  <conditionalFormatting sqref="CM105">
    <cfRule type="expression" dxfId="1817" priority="1576">
      <formula>$CD154&gt;$CC$138</formula>
    </cfRule>
    <cfRule type="expression" dxfId="1816" priority="1577">
      <formula>$CD154&gt;$CC$137</formula>
    </cfRule>
    <cfRule type="expression" dxfId="1815" priority="1578">
      <formula>$CD154&gt;0</formula>
    </cfRule>
  </conditionalFormatting>
  <conditionalFormatting sqref="CM106">
    <cfRule type="expression" dxfId="1814" priority="1573">
      <formula>$CD155&gt;$CC$138</formula>
    </cfRule>
    <cfRule type="expression" dxfId="1813" priority="1574">
      <formula>$CD155&gt;$CC$137</formula>
    </cfRule>
    <cfRule type="expression" dxfId="1812" priority="1575">
      <formula>$CD155&gt;0</formula>
    </cfRule>
  </conditionalFormatting>
  <conditionalFormatting sqref="CM107">
    <cfRule type="expression" dxfId="1811" priority="1570">
      <formula>$CD156&gt;$CC$138</formula>
    </cfRule>
    <cfRule type="expression" dxfId="1810" priority="1571">
      <formula>$CD156&gt;$CC$137</formula>
    </cfRule>
    <cfRule type="expression" dxfId="1809" priority="1572">
      <formula>$CD156&gt;0</formula>
    </cfRule>
  </conditionalFormatting>
  <conditionalFormatting sqref="CM108">
    <cfRule type="expression" dxfId="1808" priority="1567">
      <formula>$CD157&gt;$CC$138</formula>
    </cfRule>
    <cfRule type="expression" dxfId="1807" priority="1568">
      <formula>$CD157&gt;$CC$137</formula>
    </cfRule>
    <cfRule type="expression" dxfId="1806" priority="1569">
      <formula>$CD157&gt;0</formula>
    </cfRule>
  </conditionalFormatting>
  <conditionalFormatting sqref="CM109">
    <cfRule type="expression" dxfId="1805" priority="1564">
      <formula>$CD158&gt;$CC$138</formula>
    </cfRule>
    <cfRule type="expression" dxfId="1804" priority="1565">
      <formula>$CD158&gt;$CC$137</formula>
    </cfRule>
    <cfRule type="expression" dxfId="1803" priority="1566">
      <formula>$CD158&gt;0</formula>
    </cfRule>
  </conditionalFormatting>
  <conditionalFormatting sqref="CM110">
    <cfRule type="expression" dxfId="1802" priority="1561">
      <formula>$CD159&gt;$CC$138</formula>
    </cfRule>
    <cfRule type="expression" dxfId="1801" priority="1562">
      <formula>$CD159&gt;$CC$137</formula>
    </cfRule>
    <cfRule type="expression" dxfId="1800" priority="1563">
      <formula>$CD159&gt;0</formula>
    </cfRule>
  </conditionalFormatting>
  <conditionalFormatting sqref="CM111">
    <cfRule type="expression" dxfId="1799" priority="1558">
      <formula>$CD160&gt;$CC$138</formula>
    </cfRule>
    <cfRule type="expression" dxfId="1798" priority="1559">
      <formula>$CD160&gt;$CC$137</formula>
    </cfRule>
    <cfRule type="expression" dxfId="1797" priority="1560">
      <formula>$CD160&gt;0</formula>
    </cfRule>
  </conditionalFormatting>
  <conditionalFormatting sqref="CM112">
    <cfRule type="expression" dxfId="1796" priority="1555">
      <formula>$CD161&gt;$CC$138</formula>
    </cfRule>
    <cfRule type="expression" dxfId="1795" priority="1556">
      <formula>$CD161&gt;$CC$137</formula>
    </cfRule>
    <cfRule type="expression" dxfId="1794" priority="1557">
      <formula>$CD161&gt;0</formula>
    </cfRule>
  </conditionalFormatting>
  <conditionalFormatting sqref="CM113">
    <cfRule type="expression" dxfId="1793" priority="1552">
      <formula>$CD162&gt;$CC$138</formula>
    </cfRule>
    <cfRule type="expression" dxfId="1792" priority="1553">
      <formula>$CD162&gt;$CC$137</formula>
    </cfRule>
    <cfRule type="expression" dxfId="1791" priority="1554">
      <formula>$CD162&gt;0</formula>
    </cfRule>
  </conditionalFormatting>
  <conditionalFormatting sqref="CM114">
    <cfRule type="expression" dxfId="1790" priority="1549">
      <formula>$CD163&gt;$CC$138</formula>
    </cfRule>
    <cfRule type="expression" dxfId="1789" priority="1550">
      <formula>$CD163&gt;$CC$137</formula>
    </cfRule>
    <cfRule type="expression" dxfId="1788" priority="1551">
      <formula>$CD163&gt;0</formula>
    </cfRule>
  </conditionalFormatting>
  <conditionalFormatting sqref="CH91 CL91">
    <cfRule type="expression" dxfId="1787" priority="1547">
      <formula>$CO$138=0</formula>
    </cfRule>
    <cfRule type="expression" dxfId="1786" priority="1548">
      <formula>$CO$137=0</formula>
    </cfRule>
  </conditionalFormatting>
  <conditionalFormatting sqref="CH92 CL92">
    <cfRule type="expression" dxfId="1785" priority="1545">
      <formula>$CP141&gt;$CO$138</formula>
    </cfRule>
    <cfRule type="expression" dxfId="1784" priority="1546">
      <formula>$CP141&gt;$CO$137</formula>
    </cfRule>
  </conditionalFormatting>
  <conditionalFormatting sqref="CH93">
    <cfRule type="expression" dxfId="1783" priority="1543">
      <formula>$CP142&gt;$CO$138</formula>
    </cfRule>
    <cfRule type="expression" dxfId="1782" priority="1544">
      <formula>$CP142&gt;$CO$137</formula>
    </cfRule>
  </conditionalFormatting>
  <conditionalFormatting sqref="CH94">
    <cfRule type="expression" dxfId="1781" priority="1541">
      <formula>$CP143&gt;$CO$138</formula>
    </cfRule>
    <cfRule type="expression" dxfId="1780" priority="1542">
      <formula>$CP143&gt;$CO$137</formula>
    </cfRule>
  </conditionalFormatting>
  <conditionalFormatting sqref="CH95">
    <cfRule type="expression" dxfId="1779" priority="1539">
      <formula>$CP144&gt;$CO$138</formula>
    </cfRule>
    <cfRule type="expression" dxfId="1778" priority="1540">
      <formula>$CP144&gt;$CO$137</formula>
    </cfRule>
  </conditionalFormatting>
  <conditionalFormatting sqref="CH96">
    <cfRule type="expression" dxfId="1777" priority="1537">
      <formula>$CP145&gt;$CO$138</formula>
    </cfRule>
    <cfRule type="expression" dxfId="1776" priority="1538">
      <formula>$CP145&gt;$CO$137</formula>
    </cfRule>
  </conditionalFormatting>
  <conditionalFormatting sqref="CH97">
    <cfRule type="expression" dxfId="1775" priority="1535">
      <formula>$CP146&gt;$CO$138</formula>
    </cfRule>
    <cfRule type="expression" dxfId="1774" priority="1536">
      <formula>$CP146&gt;$CO$137</formula>
    </cfRule>
  </conditionalFormatting>
  <conditionalFormatting sqref="CH98">
    <cfRule type="expression" dxfId="1773" priority="1533">
      <formula>$CP147&gt;$CO$138</formula>
    </cfRule>
    <cfRule type="expression" dxfId="1772" priority="1534">
      <formula>$CP147&gt;$CO$137</formula>
    </cfRule>
  </conditionalFormatting>
  <conditionalFormatting sqref="CH99">
    <cfRule type="expression" dxfId="1771" priority="1531">
      <formula>$CP148&gt;$CO$138</formula>
    </cfRule>
    <cfRule type="expression" dxfId="1770" priority="1532">
      <formula>$CP148&gt;$CO$137</formula>
    </cfRule>
  </conditionalFormatting>
  <conditionalFormatting sqref="CH100">
    <cfRule type="expression" dxfId="1769" priority="1529">
      <formula>$CP149&gt;$CO$138</formula>
    </cfRule>
    <cfRule type="expression" dxfId="1768" priority="1530">
      <formula>$CP149&gt;$CO$137</formula>
    </cfRule>
  </conditionalFormatting>
  <conditionalFormatting sqref="CH101">
    <cfRule type="expression" dxfId="1767" priority="1527">
      <formula>$CP150&gt;$CO$138</formula>
    </cfRule>
    <cfRule type="expression" dxfId="1766" priority="1528">
      <formula>$CP150&gt;$CO$137</formula>
    </cfRule>
  </conditionalFormatting>
  <conditionalFormatting sqref="CH102">
    <cfRule type="expression" dxfId="1765" priority="1525">
      <formula>$CP151&gt;$CO$138</formula>
    </cfRule>
    <cfRule type="expression" dxfId="1764" priority="1526">
      <formula>$CP151&gt;$CO$137</formula>
    </cfRule>
  </conditionalFormatting>
  <conditionalFormatting sqref="CH103">
    <cfRule type="expression" dxfId="1763" priority="1523">
      <formula>$CP152&gt;$CO$138</formula>
    </cfRule>
    <cfRule type="expression" dxfId="1762" priority="1524">
      <formula>$CP152&gt;$CO$137</formula>
    </cfRule>
  </conditionalFormatting>
  <conditionalFormatting sqref="CH104">
    <cfRule type="expression" dxfId="1761" priority="1521">
      <formula>$CP153&gt;$CO$138</formula>
    </cfRule>
    <cfRule type="expression" dxfId="1760" priority="1522">
      <formula>$CP153&gt;$CO$137</formula>
    </cfRule>
  </conditionalFormatting>
  <conditionalFormatting sqref="CH105">
    <cfRule type="expression" dxfId="1759" priority="1519">
      <formula>$CP154&gt;$CO$138</formula>
    </cfRule>
    <cfRule type="expression" dxfId="1758" priority="1520">
      <formula>$CP154&gt;$CO$137</formula>
    </cfRule>
  </conditionalFormatting>
  <conditionalFormatting sqref="CH106">
    <cfRule type="expression" dxfId="1757" priority="1517">
      <formula>$CP155&gt;$CO$138</formula>
    </cfRule>
    <cfRule type="expression" dxfId="1756" priority="1518">
      <formula>$CP155&gt;$CO$137</formula>
    </cfRule>
  </conditionalFormatting>
  <conditionalFormatting sqref="CH107">
    <cfRule type="expression" dxfId="1755" priority="1515">
      <formula>$CP156&gt;$CO$138</formula>
    </cfRule>
    <cfRule type="expression" dxfId="1754" priority="1516">
      <formula>$CP156&gt;$CO$137</formula>
    </cfRule>
  </conditionalFormatting>
  <conditionalFormatting sqref="CH108">
    <cfRule type="expression" dxfId="1753" priority="1513">
      <formula>$CP157&gt;$CO$138</formula>
    </cfRule>
    <cfRule type="expression" dxfId="1752" priority="1514">
      <formula>$CP157&gt;$CO$137</formula>
    </cfRule>
  </conditionalFormatting>
  <conditionalFormatting sqref="CH109">
    <cfRule type="expression" dxfId="1751" priority="1511">
      <formula>$CP158&gt;$CO$138</formula>
    </cfRule>
    <cfRule type="expression" dxfId="1750" priority="1512">
      <formula>$CP158&gt;$CO$137</formula>
    </cfRule>
  </conditionalFormatting>
  <conditionalFormatting sqref="CH110">
    <cfRule type="expression" dxfId="1749" priority="1509">
      <formula>$CP159&gt;$CO$138</formula>
    </cfRule>
    <cfRule type="expression" dxfId="1748" priority="1510">
      <formula>$CP159&gt;$CO$137</formula>
    </cfRule>
  </conditionalFormatting>
  <conditionalFormatting sqref="CH111">
    <cfRule type="expression" dxfId="1747" priority="1507">
      <formula>$CP160&gt;$CO$138</formula>
    </cfRule>
    <cfRule type="expression" dxfId="1746" priority="1508">
      <formula>$CP160&gt;$CO$137</formula>
    </cfRule>
  </conditionalFormatting>
  <conditionalFormatting sqref="CH112">
    <cfRule type="expression" dxfId="1745" priority="1505">
      <formula>$CP161&gt;$CO$138</formula>
    </cfRule>
    <cfRule type="expression" dxfId="1744" priority="1506">
      <formula>$CP161&gt;$CO$137</formula>
    </cfRule>
  </conditionalFormatting>
  <conditionalFormatting sqref="CH113">
    <cfRule type="expression" dxfId="1743" priority="1503">
      <formula>$CP162&gt;$CO$138</formula>
    </cfRule>
    <cfRule type="expression" dxfId="1742" priority="1504">
      <formula>$CP162&gt;$CO$137</formula>
    </cfRule>
  </conditionalFormatting>
  <conditionalFormatting sqref="CH114">
    <cfRule type="expression" dxfId="1741" priority="1501">
      <formula>$CP163&gt;$CO$138</formula>
    </cfRule>
    <cfRule type="expression" dxfId="1740" priority="1502">
      <formula>$CP163&gt;$CO$137</formula>
    </cfRule>
  </conditionalFormatting>
  <conditionalFormatting sqref="CH115">
    <cfRule type="expression" dxfId="1739" priority="1499">
      <formula>$CP164&gt;$CO$138</formula>
    </cfRule>
    <cfRule type="expression" dxfId="1738" priority="1500">
      <formula>$CP164&gt;$CO$137</formula>
    </cfRule>
  </conditionalFormatting>
  <conditionalFormatting sqref="CH116">
    <cfRule type="expression" dxfId="1737" priority="1497">
      <formula>$CP165&gt;$CO$138</formula>
    </cfRule>
    <cfRule type="expression" dxfId="1736" priority="1498">
      <formula>$CP165&gt;$CO$137</formula>
    </cfRule>
  </conditionalFormatting>
  <conditionalFormatting sqref="CH117">
    <cfRule type="expression" dxfId="1735" priority="1495">
      <formula>$CP166&gt;$CO$138</formula>
    </cfRule>
    <cfRule type="expression" dxfId="1734" priority="1496">
      <formula>$CP166&gt;$CO$137</formula>
    </cfRule>
  </conditionalFormatting>
  <conditionalFormatting sqref="CH118">
    <cfRule type="expression" dxfId="1733" priority="1493">
      <formula>$CP167&gt;$CO$138</formula>
    </cfRule>
    <cfRule type="expression" dxfId="1732" priority="1494">
      <formula>$CP167&gt;$CO$137</formula>
    </cfRule>
  </conditionalFormatting>
  <conditionalFormatting sqref="CH119">
    <cfRule type="expression" dxfId="1731" priority="1491">
      <formula>$CP168&gt;$CO$138</formula>
    </cfRule>
    <cfRule type="expression" dxfId="1730" priority="1492">
      <formula>$CP168&gt;$CO$137</formula>
    </cfRule>
  </conditionalFormatting>
  <conditionalFormatting sqref="CH120">
    <cfRule type="expression" dxfId="1729" priority="1489">
      <formula>$CP169&gt;$CO$138</formula>
    </cfRule>
    <cfRule type="expression" dxfId="1728" priority="1490">
      <formula>$CP169&gt;$CO$137</formula>
    </cfRule>
  </conditionalFormatting>
  <conditionalFormatting sqref="CH121">
    <cfRule type="expression" dxfId="1727" priority="1487">
      <formula>$CP170&gt;$CO$138</formula>
    </cfRule>
    <cfRule type="expression" dxfId="1726" priority="1488">
      <formula>$CP170&gt;$CO$137</formula>
    </cfRule>
  </conditionalFormatting>
  <conditionalFormatting sqref="CH122">
    <cfRule type="expression" dxfId="1725" priority="1485">
      <formula>$CP171&gt;$CO$138</formula>
    </cfRule>
    <cfRule type="expression" dxfId="1724" priority="1486">
      <formula>$CP171&gt;$CO$137</formula>
    </cfRule>
  </conditionalFormatting>
  <conditionalFormatting sqref="CH123">
    <cfRule type="expression" dxfId="1723" priority="1483">
      <formula>$CP172&gt;$CO$138</formula>
    </cfRule>
    <cfRule type="expression" dxfId="1722" priority="1484">
      <formula>$CP172&gt;$CO$137</formula>
    </cfRule>
  </conditionalFormatting>
  <conditionalFormatting sqref="CH124">
    <cfRule type="expression" dxfId="1721" priority="1481">
      <formula>$CP173&gt;$CO$138</formula>
    </cfRule>
    <cfRule type="expression" dxfId="1720" priority="1482">
      <formula>$CP173&gt;$CO$137</formula>
    </cfRule>
  </conditionalFormatting>
  <conditionalFormatting sqref="CH125">
    <cfRule type="expression" dxfId="1719" priority="1479">
      <formula>$CP174&gt;$CO$138</formula>
    </cfRule>
    <cfRule type="expression" dxfId="1718" priority="1480">
      <formula>$CP174&gt;$CO$137</formula>
    </cfRule>
  </conditionalFormatting>
  <conditionalFormatting sqref="CH126">
    <cfRule type="expression" dxfId="1717" priority="1477">
      <formula>$CP175&gt;$CO$138</formula>
    </cfRule>
    <cfRule type="expression" dxfId="1716" priority="1478">
      <formula>$CP175&gt;$CO$137</formula>
    </cfRule>
  </conditionalFormatting>
  <conditionalFormatting sqref="CH127">
    <cfRule type="expression" dxfId="1715" priority="1475">
      <formula>$CP176&gt;$CO$138</formula>
    </cfRule>
    <cfRule type="expression" dxfId="1714" priority="1476">
      <formula>$CP176&gt;$CO$137</formula>
    </cfRule>
  </conditionalFormatting>
  <conditionalFormatting sqref="CH128">
    <cfRule type="expression" dxfId="1713" priority="1473">
      <formula>$CP177&gt;$CO$138</formula>
    </cfRule>
    <cfRule type="expression" dxfId="1712" priority="1474">
      <formula>$CP177&gt;$CO$137</formula>
    </cfRule>
  </conditionalFormatting>
  <conditionalFormatting sqref="CL93">
    <cfRule type="expression" dxfId="1711" priority="1471">
      <formula>$CP142&gt;$CO$138</formula>
    </cfRule>
    <cfRule type="expression" dxfId="1710" priority="1472">
      <formula>$CP142&gt;$CO$137</formula>
    </cfRule>
  </conditionalFormatting>
  <conditionalFormatting sqref="CL94">
    <cfRule type="expression" dxfId="1709" priority="1469">
      <formula>$CP143&gt;$CO$138</formula>
    </cfRule>
    <cfRule type="expression" dxfId="1708" priority="1470">
      <formula>$CP143&gt;$CO$137</formula>
    </cfRule>
  </conditionalFormatting>
  <conditionalFormatting sqref="CL95">
    <cfRule type="expression" dxfId="1707" priority="1467">
      <formula>$CP144&gt;$CO$138</formula>
    </cfRule>
    <cfRule type="expression" dxfId="1706" priority="1468">
      <formula>$CP144&gt;$CO$137</formula>
    </cfRule>
  </conditionalFormatting>
  <conditionalFormatting sqref="CL96">
    <cfRule type="expression" dxfId="1705" priority="1465">
      <formula>$CP145&gt;$CO$138</formula>
    </cfRule>
    <cfRule type="expression" dxfId="1704" priority="1466">
      <formula>$CP145&gt;$CO$137</formula>
    </cfRule>
  </conditionalFormatting>
  <conditionalFormatting sqref="CL97">
    <cfRule type="expression" dxfId="1703" priority="1463">
      <formula>$CP146&gt;$CO$138</formula>
    </cfRule>
    <cfRule type="expression" dxfId="1702" priority="1464">
      <formula>$CP146&gt;$CO$137</formula>
    </cfRule>
  </conditionalFormatting>
  <conditionalFormatting sqref="CL98">
    <cfRule type="expression" dxfId="1701" priority="1461">
      <formula>$CP147&gt;$CO$138</formula>
    </cfRule>
    <cfRule type="expression" dxfId="1700" priority="1462">
      <formula>$CP147&gt;$CO$137</formula>
    </cfRule>
  </conditionalFormatting>
  <conditionalFormatting sqref="CL99">
    <cfRule type="expression" dxfId="1699" priority="1459">
      <formula>$CP148&gt;$CO$138</formula>
    </cfRule>
    <cfRule type="expression" dxfId="1698" priority="1460">
      <formula>$CP148&gt;$CO$137</formula>
    </cfRule>
  </conditionalFormatting>
  <conditionalFormatting sqref="CL100">
    <cfRule type="expression" dxfId="1697" priority="1457">
      <formula>$CP149&gt;$CO$138</formula>
    </cfRule>
    <cfRule type="expression" dxfId="1696" priority="1458">
      <formula>$CP149&gt;$CO$137</formula>
    </cfRule>
  </conditionalFormatting>
  <conditionalFormatting sqref="CL101">
    <cfRule type="expression" dxfId="1695" priority="1455">
      <formula>$CP150&gt;$CO$138</formula>
    </cfRule>
    <cfRule type="expression" dxfId="1694" priority="1456">
      <formula>$CP150&gt;$CO$137</formula>
    </cfRule>
  </conditionalFormatting>
  <conditionalFormatting sqref="CL102">
    <cfRule type="expression" dxfId="1693" priority="1453">
      <formula>$CP151&gt;$CO$138</formula>
    </cfRule>
    <cfRule type="expression" dxfId="1692" priority="1454">
      <formula>$CP151&gt;$CO$137</formula>
    </cfRule>
  </conditionalFormatting>
  <conditionalFormatting sqref="CL103">
    <cfRule type="expression" dxfId="1691" priority="1451">
      <formula>$CP152&gt;$CO$138</formula>
    </cfRule>
    <cfRule type="expression" dxfId="1690" priority="1452">
      <formula>$CP152&gt;$CO$137</formula>
    </cfRule>
  </conditionalFormatting>
  <conditionalFormatting sqref="CL104">
    <cfRule type="expression" dxfId="1689" priority="1449">
      <formula>$CP153&gt;$CO$138</formula>
    </cfRule>
    <cfRule type="expression" dxfId="1688" priority="1450">
      <formula>$CP153&gt;$CO$137</formula>
    </cfRule>
  </conditionalFormatting>
  <conditionalFormatting sqref="CL105">
    <cfRule type="expression" dxfId="1687" priority="1447">
      <formula>$CP154&gt;$CO$138</formula>
    </cfRule>
    <cfRule type="expression" dxfId="1686" priority="1448">
      <formula>$CP154&gt;$CO$137</formula>
    </cfRule>
  </conditionalFormatting>
  <conditionalFormatting sqref="CL106">
    <cfRule type="expression" dxfId="1685" priority="1445">
      <formula>$CP155&gt;$CO$138</formula>
    </cfRule>
    <cfRule type="expression" dxfId="1684" priority="1446">
      <formula>$CP155&gt;$CO$137</formula>
    </cfRule>
  </conditionalFormatting>
  <conditionalFormatting sqref="CL107">
    <cfRule type="expression" dxfId="1683" priority="1443">
      <formula>$CP156&gt;$CO$138</formula>
    </cfRule>
    <cfRule type="expression" dxfId="1682" priority="1444">
      <formula>$CP156&gt;$CO$137</formula>
    </cfRule>
  </conditionalFormatting>
  <conditionalFormatting sqref="CL108">
    <cfRule type="expression" dxfId="1681" priority="1441">
      <formula>$CP157&gt;$CO$138</formula>
    </cfRule>
    <cfRule type="expression" dxfId="1680" priority="1442">
      <formula>$CP157&gt;$CO$137</formula>
    </cfRule>
  </conditionalFormatting>
  <conditionalFormatting sqref="CL109">
    <cfRule type="expression" dxfId="1679" priority="1439">
      <formula>$CP158&gt;$CO$138</formula>
    </cfRule>
    <cfRule type="expression" dxfId="1678" priority="1440">
      <formula>$CP158&gt;$CO$137</formula>
    </cfRule>
  </conditionalFormatting>
  <conditionalFormatting sqref="CL110">
    <cfRule type="expression" dxfId="1677" priority="1437">
      <formula>$CP159&gt;$CO$138</formula>
    </cfRule>
    <cfRule type="expression" dxfId="1676" priority="1438">
      <formula>$CP159&gt;$CO$137</formula>
    </cfRule>
  </conditionalFormatting>
  <conditionalFormatting sqref="CL111">
    <cfRule type="expression" dxfId="1675" priority="1435">
      <formula>$CP160&gt;$CO$138</formula>
    </cfRule>
    <cfRule type="expression" dxfId="1674" priority="1436">
      <formula>$CP160&gt;$CO$137</formula>
    </cfRule>
  </conditionalFormatting>
  <conditionalFormatting sqref="CL112">
    <cfRule type="expression" dxfId="1673" priority="1433">
      <formula>$CP161&gt;$CO$138</formula>
    </cfRule>
    <cfRule type="expression" dxfId="1672" priority="1434">
      <formula>$CP161&gt;$CO$137</formula>
    </cfRule>
  </conditionalFormatting>
  <conditionalFormatting sqref="CL113">
    <cfRule type="expression" dxfId="1671" priority="1431">
      <formula>$CP162&gt;$CO$138</formula>
    </cfRule>
    <cfRule type="expression" dxfId="1670" priority="1432">
      <formula>$CP162&gt;$CO$137</formula>
    </cfRule>
  </conditionalFormatting>
  <conditionalFormatting sqref="CL114">
    <cfRule type="expression" dxfId="1669" priority="1429">
      <formula>$CP163&gt;$CO$138</formula>
    </cfRule>
    <cfRule type="expression" dxfId="1668" priority="1430">
      <formula>$CP163&gt;$CO$137</formula>
    </cfRule>
  </conditionalFormatting>
  <conditionalFormatting sqref="CL115">
    <cfRule type="expression" dxfId="1667" priority="1427">
      <formula>$CP164&gt;$CO$138</formula>
    </cfRule>
    <cfRule type="expression" dxfId="1666" priority="1428">
      <formula>$CP164&gt;$CO$137</formula>
    </cfRule>
  </conditionalFormatting>
  <conditionalFormatting sqref="CL116">
    <cfRule type="expression" dxfId="1665" priority="1425">
      <formula>$CP165&gt;$CO$138</formula>
    </cfRule>
    <cfRule type="expression" dxfId="1664" priority="1426">
      <formula>$CP165&gt;$CO$137</formula>
    </cfRule>
  </conditionalFormatting>
  <conditionalFormatting sqref="CL117">
    <cfRule type="expression" dxfId="1663" priority="1423">
      <formula>$CP166&gt;$CO$138</formula>
    </cfRule>
    <cfRule type="expression" dxfId="1662" priority="1424">
      <formula>$CP166&gt;$CO$137</formula>
    </cfRule>
  </conditionalFormatting>
  <conditionalFormatting sqref="CL118">
    <cfRule type="expression" dxfId="1661" priority="1421">
      <formula>$CP167&gt;$CO$138</formula>
    </cfRule>
    <cfRule type="expression" dxfId="1660" priority="1422">
      <formula>$CP167&gt;$CO$137</formula>
    </cfRule>
  </conditionalFormatting>
  <conditionalFormatting sqref="CL119">
    <cfRule type="expression" dxfId="1659" priority="1419">
      <formula>$CP168&gt;$CO$138</formula>
    </cfRule>
    <cfRule type="expression" dxfId="1658" priority="1420">
      <formula>$CP168&gt;$CO$137</formula>
    </cfRule>
  </conditionalFormatting>
  <conditionalFormatting sqref="CL120">
    <cfRule type="expression" dxfId="1657" priority="1417">
      <formula>$CP169&gt;$CO$138</formula>
    </cfRule>
    <cfRule type="expression" dxfId="1656" priority="1418">
      <formula>$CP169&gt;$CO$137</formula>
    </cfRule>
  </conditionalFormatting>
  <conditionalFormatting sqref="CL121">
    <cfRule type="expression" dxfId="1655" priority="1415">
      <formula>$CP170&gt;$CO$138</formula>
    </cfRule>
    <cfRule type="expression" dxfId="1654" priority="1416">
      <formula>$CP170&gt;$CO$137</formula>
    </cfRule>
  </conditionalFormatting>
  <conditionalFormatting sqref="CL122">
    <cfRule type="expression" dxfId="1653" priority="1413">
      <formula>$CP171&gt;$CO$138</formula>
    </cfRule>
    <cfRule type="expression" dxfId="1652" priority="1414">
      <formula>$CP171&gt;$CO$137</formula>
    </cfRule>
  </conditionalFormatting>
  <conditionalFormatting sqref="CL123">
    <cfRule type="expression" dxfId="1651" priority="1411">
      <formula>$CP172&gt;$CO$138</formula>
    </cfRule>
    <cfRule type="expression" dxfId="1650" priority="1412">
      <formula>$CP172&gt;$CO$137</formula>
    </cfRule>
  </conditionalFormatting>
  <conditionalFormatting sqref="CL124">
    <cfRule type="expression" dxfId="1649" priority="1409">
      <formula>$CP173&gt;$CO$138</formula>
    </cfRule>
    <cfRule type="expression" dxfId="1648" priority="1410">
      <formula>$CP173&gt;$CO$137</formula>
    </cfRule>
  </conditionalFormatting>
  <conditionalFormatting sqref="CL125">
    <cfRule type="expression" dxfId="1647" priority="1407">
      <formula>$CP174&gt;$CO$138</formula>
    </cfRule>
    <cfRule type="expression" dxfId="1646" priority="1408">
      <formula>$CP174&gt;$CO$137</formula>
    </cfRule>
  </conditionalFormatting>
  <conditionalFormatting sqref="CL126">
    <cfRule type="expression" dxfId="1645" priority="1405">
      <formula>$CP175&gt;$CO$138</formula>
    </cfRule>
    <cfRule type="expression" dxfId="1644" priority="1406">
      <formula>$CP175&gt;$CO$137</formula>
    </cfRule>
  </conditionalFormatting>
  <conditionalFormatting sqref="CL127">
    <cfRule type="expression" dxfId="1643" priority="1403">
      <formula>$CP176&gt;$CO$138</formula>
    </cfRule>
    <cfRule type="expression" dxfId="1642" priority="1404">
      <formula>$CP176&gt;$CO$137</formula>
    </cfRule>
  </conditionalFormatting>
  <conditionalFormatting sqref="CL128">
    <cfRule type="expression" dxfId="1641" priority="1401">
      <formula>$CP177&gt;$CO$138</formula>
    </cfRule>
    <cfRule type="expression" dxfId="1640" priority="1402">
      <formula>$CP177&gt;$CO$137</formula>
    </cfRule>
  </conditionalFormatting>
  <conditionalFormatting sqref="BO91 BW91">
    <cfRule type="expression" dxfId="1639" priority="2873">
      <formula>$BX$184=0</formula>
    </cfRule>
    <cfRule type="expression" dxfId="1638" priority="2874">
      <formula>$BX$183=0</formula>
    </cfRule>
  </conditionalFormatting>
  <conditionalFormatting sqref="BO92">
    <cfRule type="expression" dxfId="1637" priority="1378">
      <formula>$BY187&gt;$BX$184</formula>
    </cfRule>
    <cfRule type="expression" dxfId="1636" priority="1399">
      <formula>$BY187&gt;$BX$183</formula>
    </cfRule>
    <cfRule type="expression" dxfId="1635" priority="2877">
      <formula>$BY187&gt;0</formula>
    </cfRule>
  </conditionalFormatting>
  <conditionalFormatting sqref="BX184">
    <cfRule type="expression" dxfId="1634" priority="1400">
      <formula>$BY187&gt;$BX$184</formula>
    </cfRule>
  </conditionalFormatting>
  <conditionalFormatting sqref="BO93">
    <cfRule type="expression" dxfId="1633" priority="1375">
      <formula>$BY188&gt;$BX$184</formula>
    </cfRule>
    <cfRule type="expression" dxfId="1632" priority="1376">
      <formula>$BY188&gt;$BX$183</formula>
    </cfRule>
    <cfRule type="expression" dxfId="1631" priority="1377">
      <formula>$BY188&gt;0</formula>
    </cfRule>
  </conditionalFormatting>
  <conditionalFormatting sqref="BO94">
    <cfRule type="expression" dxfId="1630" priority="1372">
      <formula>$BY189&gt;$BX$184</formula>
    </cfRule>
    <cfRule type="expression" dxfId="1629" priority="1373">
      <formula>$BY189&gt;$BX$183</formula>
    </cfRule>
    <cfRule type="expression" dxfId="1628" priority="1374">
      <formula>$BY189&gt;0</formula>
    </cfRule>
  </conditionalFormatting>
  <conditionalFormatting sqref="BO95">
    <cfRule type="expression" dxfId="1627" priority="1369">
      <formula>$BY190&gt;$BX$184</formula>
    </cfRule>
    <cfRule type="expression" dxfId="1626" priority="1370">
      <formula>$BY190&gt;$BX$183</formula>
    </cfRule>
    <cfRule type="expression" dxfId="1625" priority="1371">
      <formula>$BY190&gt;0</formula>
    </cfRule>
  </conditionalFormatting>
  <conditionalFormatting sqref="BO96">
    <cfRule type="expression" dxfId="1624" priority="1366">
      <formula>$BY191&gt;$BX$184</formula>
    </cfRule>
    <cfRule type="expression" dxfId="1623" priority="1367">
      <formula>$BY191&gt;$BX$183</formula>
    </cfRule>
    <cfRule type="expression" dxfId="1622" priority="1368">
      <formula>$BY191&gt;0</formula>
    </cfRule>
  </conditionalFormatting>
  <conditionalFormatting sqref="BO97">
    <cfRule type="expression" dxfId="1621" priority="1363">
      <formula>$BY192&gt;$BX$184</formula>
    </cfRule>
    <cfRule type="expression" dxfId="1620" priority="1364">
      <formula>$BY192&gt;$BX$183</formula>
    </cfRule>
    <cfRule type="expression" dxfId="1619" priority="1365">
      <formula>$BY192&gt;0</formula>
    </cfRule>
  </conditionalFormatting>
  <conditionalFormatting sqref="BO98">
    <cfRule type="expression" dxfId="1618" priority="1360">
      <formula>$BY193&gt;$BX$184</formula>
    </cfRule>
    <cfRule type="expression" dxfId="1617" priority="1361">
      <formula>$BY193&gt;$BX$183</formula>
    </cfRule>
    <cfRule type="expression" dxfId="1616" priority="1362">
      <formula>$BY193&gt;0</formula>
    </cfRule>
  </conditionalFormatting>
  <conditionalFormatting sqref="BO99">
    <cfRule type="expression" dxfId="1615" priority="1357">
      <formula>$BY194&gt;$BX$184</formula>
    </cfRule>
    <cfRule type="expression" dxfId="1614" priority="1358">
      <formula>$BY194&gt;$BX$183</formula>
    </cfRule>
    <cfRule type="expression" dxfId="1613" priority="1359">
      <formula>$BY194&gt;0</formula>
    </cfRule>
  </conditionalFormatting>
  <conditionalFormatting sqref="BO100">
    <cfRule type="expression" dxfId="1612" priority="1354">
      <formula>$BY195&gt;$BX$184</formula>
    </cfRule>
    <cfRule type="expression" dxfId="1611" priority="1355">
      <formula>$BY195&gt;$BX$183</formula>
    </cfRule>
    <cfRule type="expression" dxfId="1610" priority="1356">
      <formula>$BY195&gt;0</formula>
    </cfRule>
  </conditionalFormatting>
  <conditionalFormatting sqref="BO101">
    <cfRule type="expression" dxfId="1609" priority="1351">
      <formula>$BY196&gt;$BX$184</formula>
    </cfRule>
    <cfRule type="expression" dxfId="1608" priority="1352">
      <formula>$BY196&gt;$BX$183</formula>
    </cfRule>
    <cfRule type="expression" dxfId="1607" priority="1353">
      <formula>$BY196&gt;0</formula>
    </cfRule>
  </conditionalFormatting>
  <conditionalFormatting sqref="BW92">
    <cfRule type="expression" dxfId="1606" priority="1348">
      <formula>$BY187&gt;$BX$184</formula>
    </cfRule>
    <cfRule type="expression" dxfId="1605" priority="1349">
      <formula>$BY187&gt;$BX$183</formula>
    </cfRule>
    <cfRule type="expression" dxfId="1604" priority="1350">
      <formula>$BY187&gt;0</formula>
    </cfRule>
  </conditionalFormatting>
  <conditionalFormatting sqref="BW93">
    <cfRule type="expression" dxfId="1603" priority="1345">
      <formula>$BY188&gt;$BX$184</formula>
    </cfRule>
    <cfRule type="expression" dxfId="1602" priority="1346">
      <formula>$BY188&gt;$BX$183</formula>
    </cfRule>
    <cfRule type="expression" dxfId="1601" priority="1347">
      <formula>$BY188&gt;0</formula>
    </cfRule>
  </conditionalFormatting>
  <conditionalFormatting sqref="BW94">
    <cfRule type="expression" dxfId="1600" priority="1342">
      <formula>$BY189&gt;$BX$184</formula>
    </cfRule>
    <cfRule type="expression" dxfId="1599" priority="1343">
      <formula>$BY189&gt;$BX$183</formula>
    </cfRule>
    <cfRule type="expression" dxfId="1598" priority="1344">
      <formula>$BY189&gt;0</formula>
    </cfRule>
  </conditionalFormatting>
  <conditionalFormatting sqref="BW95">
    <cfRule type="expression" dxfId="1597" priority="1339">
      <formula>$BY190&gt;$BX$184</formula>
    </cfRule>
    <cfRule type="expression" dxfId="1596" priority="1340">
      <formula>$BY190&gt;$BX$183</formula>
    </cfRule>
    <cfRule type="expression" dxfId="1595" priority="1341">
      <formula>$BY190&gt;0</formula>
    </cfRule>
  </conditionalFormatting>
  <conditionalFormatting sqref="BW96">
    <cfRule type="expression" dxfId="1594" priority="1336">
      <formula>$BY191&gt;$BX$184</formula>
    </cfRule>
    <cfRule type="expression" dxfId="1593" priority="1337">
      <formula>$BY191&gt;$BX$183</formula>
    </cfRule>
    <cfRule type="expression" dxfId="1592" priority="1338">
      <formula>$BY191&gt;0</formula>
    </cfRule>
  </conditionalFormatting>
  <conditionalFormatting sqref="BW97">
    <cfRule type="expression" dxfId="1591" priority="1333">
      <formula>$BY192&gt;$BX$184</formula>
    </cfRule>
    <cfRule type="expression" dxfId="1590" priority="1334">
      <formula>$BY192&gt;$BX$183</formula>
    </cfRule>
    <cfRule type="expression" dxfId="1589" priority="1335">
      <formula>$BY192&gt;0</formula>
    </cfRule>
  </conditionalFormatting>
  <conditionalFormatting sqref="BW98">
    <cfRule type="expression" dxfId="1588" priority="1330">
      <formula>$BY193&gt;$BX$184</formula>
    </cfRule>
    <cfRule type="expression" dxfId="1587" priority="1331">
      <formula>$BY193&gt;$BX$183</formula>
    </cfRule>
    <cfRule type="expression" dxfId="1586" priority="1332">
      <formula>$BY193&gt;0</formula>
    </cfRule>
  </conditionalFormatting>
  <conditionalFormatting sqref="BW99">
    <cfRule type="expression" dxfId="1585" priority="1327">
      <formula>$BY194&gt;$BX$184</formula>
    </cfRule>
    <cfRule type="expression" dxfId="1584" priority="1328">
      <formula>$BY194&gt;$BX$183</formula>
    </cfRule>
    <cfRule type="expression" dxfId="1583" priority="1329">
      <formula>$BY194&gt;0</formula>
    </cfRule>
  </conditionalFormatting>
  <conditionalFormatting sqref="BW100">
    <cfRule type="expression" dxfId="1582" priority="1324">
      <formula>$BY195&gt;$BX$184</formula>
    </cfRule>
    <cfRule type="expression" dxfId="1581" priority="1325">
      <formula>$BY195&gt;$BX$183</formula>
    </cfRule>
    <cfRule type="expression" dxfId="1580" priority="1326">
      <formula>$BY195&gt;0</formula>
    </cfRule>
  </conditionalFormatting>
  <conditionalFormatting sqref="BW101">
    <cfRule type="expression" dxfId="1579" priority="1321">
      <formula>$BY196&gt;$BX$184</formula>
    </cfRule>
    <cfRule type="expression" dxfId="1578" priority="1322">
      <formula>$BY196&gt;$BX$183</formula>
    </cfRule>
    <cfRule type="expression" dxfId="1577" priority="1323">
      <formula>$BY196&gt;0</formula>
    </cfRule>
  </conditionalFormatting>
  <conditionalFormatting sqref="BP93">
    <cfRule type="expression" dxfId="1576" priority="1317">
      <formula>$BM142&gt;$BL$138</formula>
    </cfRule>
    <cfRule type="expression" dxfId="1575" priority="1318">
      <formula>$BM142&gt;$BL$137</formula>
    </cfRule>
    <cfRule type="expression" dxfId="1574" priority="1319">
      <formula>$BM142&gt;0</formula>
    </cfRule>
  </conditionalFormatting>
  <conditionalFormatting sqref="BP94">
    <cfRule type="expression" dxfId="1573" priority="1314">
      <formula>$BM143&gt;$BL$138</formula>
    </cfRule>
    <cfRule type="expression" dxfId="1572" priority="1315">
      <formula>$BM143&gt;$BL$137</formula>
    </cfRule>
    <cfRule type="expression" dxfId="1571" priority="1316">
      <formula>$BM143&gt;0</formula>
    </cfRule>
  </conditionalFormatting>
  <conditionalFormatting sqref="BP95">
    <cfRule type="expression" dxfId="1570" priority="1311">
      <formula>$BM144&gt;$BL$138</formula>
    </cfRule>
    <cfRule type="expression" dxfId="1569" priority="1312">
      <formula>$BM144&gt;$BL$137</formula>
    </cfRule>
    <cfRule type="expression" dxfId="1568" priority="1313">
      <formula>$BM144&gt;0</formula>
    </cfRule>
  </conditionalFormatting>
  <conditionalFormatting sqref="BP96">
    <cfRule type="expression" dxfId="1567" priority="1308">
      <formula>$BM145&gt;$BL$138</formula>
    </cfRule>
    <cfRule type="expression" dxfId="1566" priority="1309">
      <formula>$BM145&gt;$BL$137</formula>
    </cfRule>
    <cfRule type="expression" dxfId="1565" priority="1310">
      <formula>$BM145&gt;0</formula>
    </cfRule>
  </conditionalFormatting>
  <conditionalFormatting sqref="BP97">
    <cfRule type="expression" dxfId="1564" priority="1305">
      <formula>$BM146&gt;$BL$138</formula>
    </cfRule>
    <cfRule type="expression" dxfId="1563" priority="1306">
      <formula>$BM146&gt;$BL$137</formula>
    </cfRule>
    <cfRule type="expression" dxfId="1562" priority="1307">
      <formula>$BM146&gt;0</formula>
    </cfRule>
  </conditionalFormatting>
  <conditionalFormatting sqref="BV92">
    <cfRule type="expression" dxfId="1561" priority="1287">
      <formula>$BM141&gt;$BL$138</formula>
    </cfRule>
    <cfRule type="expression" dxfId="1560" priority="1288">
      <formula>$BM141&gt;$BL$137</formula>
    </cfRule>
    <cfRule type="expression" dxfId="1559" priority="1289">
      <formula>$BM141&gt;0</formula>
    </cfRule>
  </conditionalFormatting>
  <conditionalFormatting sqref="BV93">
    <cfRule type="expression" dxfId="1558" priority="1284">
      <formula>$BM142&gt;$BL$138</formula>
    </cfRule>
    <cfRule type="expression" dxfId="1557" priority="1285">
      <formula>$BM142&gt;$BL$137</formula>
    </cfRule>
    <cfRule type="expression" dxfId="1556" priority="1286">
      <formula>$BM142&gt;0</formula>
    </cfRule>
  </conditionalFormatting>
  <conditionalFormatting sqref="BV94">
    <cfRule type="expression" dxfId="1555" priority="1281">
      <formula>$BM143&gt;$BL$138</formula>
    </cfRule>
    <cfRule type="expression" dxfId="1554" priority="1282">
      <formula>$BM143&gt;$BL$137</formula>
    </cfRule>
    <cfRule type="expression" dxfId="1553" priority="1283">
      <formula>$BM143&gt;0</formula>
    </cfRule>
  </conditionalFormatting>
  <conditionalFormatting sqref="BV95">
    <cfRule type="expression" dxfId="1552" priority="1278">
      <formula>$BM144&gt;$BL$138</formula>
    </cfRule>
    <cfRule type="expression" dxfId="1551" priority="1279">
      <formula>$BM144&gt;$BL$137</formula>
    </cfRule>
    <cfRule type="expression" dxfId="1550" priority="1280">
      <formula>$BM144&gt;0</formula>
    </cfRule>
  </conditionalFormatting>
  <conditionalFormatting sqref="BV96">
    <cfRule type="expression" dxfId="1549" priority="1275">
      <formula>$BM145&gt;$BL$138</formula>
    </cfRule>
    <cfRule type="expression" dxfId="1548" priority="1276">
      <formula>$BM145&gt;$BL$137</formula>
    </cfRule>
    <cfRule type="expression" dxfId="1547" priority="1277">
      <formula>$BM145&gt;0</formula>
    </cfRule>
  </conditionalFormatting>
  <conditionalFormatting sqref="BV97">
    <cfRule type="expression" dxfId="1546" priority="1272">
      <formula>$BM146&gt;$BL$138</formula>
    </cfRule>
    <cfRule type="expression" dxfId="1545" priority="1273">
      <formula>$BM146&gt;$BL$137</formula>
    </cfRule>
    <cfRule type="expression" dxfId="1544" priority="1274">
      <formula>$BM146&gt;0</formula>
    </cfRule>
  </conditionalFormatting>
  <conditionalFormatting sqref="BP98">
    <cfRule type="expression" dxfId="1543" priority="1254">
      <formula>$BM147&gt;$BL$138</formula>
    </cfRule>
    <cfRule type="expression" dxfId="1542" priority="1255">
      <formula>$BM147&gt;$BL$137</formula>
    </cfRule>
    <cfRule type="expression" dxfId="1541" priority="1256">
      <formula>$BM147&gt;0</formula>
    </cfRule>
  </conditionalFormatting>
  <conditionalFormatting sqref="BP99">
    <cfRule type="expression" dxfId="1540" priority="1251">
      <formula>$BM148&gt;$BL$138</formula>
    </cfRule>
    <cfRule type="expression" dxfId="1539" priority="1252">
      <formula>$BM148&gt;$BL$137</formula>
    </cfRule>
    <cfRule type="expression" dxfId="1538" priority="1253">
      <formula>$BM148&gt;0</formula>
    </cfRule>
  </conditionalFormatting>
  <conditionalFormatting sqref="BP100">
    <cfRule type="expression" dxfId="1537" priority="1248">
      <formula>$BM149&gt;$BL$138</formula>
    </cfRule>
    <cfRule type="expression" dxfId="1536" priority="1249">
      <formula>$BM149&gt;$BL$137</formula>
    </cfRule>
    <cfRule type="expression" dxfId="1535" priority="1250">
      <formula>$BM149&gt;0</formula>
    </cfRule>
  </conditionalFormatting>
  <conditionalFormatting sqref="BP101">
    <cfRule type="expression" dxfId="1534" priority="1245">
      <formula>$BM150&gt;$BL$138</formula>
    </cfRule>
    <cfRule type="expression" dxfId="1533" priority="1246">
      <formula>$BM150&gt;$BL$137</formula>
    </cfRule>
    <cfRule type="expression" dxfId="1532" priority="1247">
      <formula>$BM150&gt;0</formula>
    </cfRule>
  </conditionalFormatting>
  <conditionalFormatting sqref="BP102:BP124">
    <cfRule type="expression" dxfId="1531" priority="1242">
      <formula>$BM151&gt;$BL$138</formula>
    </cfRule>
    <cfRule type="expression" dxfId="1530" priority="1243">
      <formula>$BM151&gt;$BL$137</formula>
    </cfRule>
    <cfRule type="expression" dxfId="1529" priority="1244">
      <formula>$BM151&gt;0</formula>
    </cfRule>
  </conditionalFormatting>
  <conditionalFormatting sqref="BV98">
    <cfRule type="expression" dxfId="1528" priority="1239">
      <formula>$BM147&gt;$BL$138</formula>
    </cfRule>
    <cfRule type="expression" dxfId="1527" priority="1240">
      <formula>$BM147&gt;$BL$137</formula>
    </cfRule>
    <cfRule type="expression" dxfId="1526" priority="1241">
      <formula>$BM147&gt;0</formula>
    </cfRule>
  </conditionalFormatting>
  <conditionalFormatting sqref="BV99">
    <cfRule type="expression" dxfId="1525" priority="1236">
      <formula>$BM148&gt;$BL$138</formula>
    </cfRule>
    <cfRule type="expression" dxfId="1524" priority="1237">
      <formula>$BM148&gt;$BL$137</formula>
    </cfRule>
    <cfRule type="expression" dxfId="1523" priority="1238">
      <formula>$BM148&gt;0</formula>
    </cfRule>
  </conditionalFormatting>
  <conditionalFormatting sqref="BV100">
    <cfRule type="expression" dxfId="1522" priority="1233">
      <formula>$BM149&gt;$BL$138</formula>
    </cfRule>
    <cfRule type="expression" dxfId="1521" priority="1234">
      <formula>$BM149&gt;$BL$137</formula>
    </cfRule>
    <cfRule type="expression" dxfId="1520" priority="1235">
      <formula>$BM149&gt;0</formula>
    </cfRule>
  </conditionalFormatting>
  <conditionalFormatting sqref="BV101">
    <cfRule type="expression" dxfId="1519" priority="1230">
      <formula>$BM150&gt;$BL$138</formula>
    </cfRule>
    <cfRule type="expression" dxfId="1518" priority="1231">
      <formula>$BM150&gt;$BL$137</formula>
    </cfRule>
    <cfRule type="expression" dxfId="1517" priority="1232">
      <formula>$BM150&gt;0</formula>
    </cfRule>
  </conditionalFormatting>
  <conditionalFormatting sqref="BV102:BV124">
    <cfRule type="expression" dxfId="1516" priority="1227">
      <formula>$BM151&gt;$BL$138</formula>
    </cfRule>
    <cfRule type="expression" dxfId="1515" priority="1228">
      <formula>$BM151&gt;$BL$137</formula>
    </cfRule>
    <cfRule type="expression" dxfId="1514" priority="1229">
      <formula>$BM151&gt;0</formula>
    </cfRule>
  </conditionalFormatting>
  <conditionalFormatting sqref="BU92">
    <cfRule type="expression" dxfId="1513" priority="2484">
      <formula>$BY141&gt;0</formula>
    </cfRule>
  </conditionalFormatting>
  <conditionalFormatting sqref="BQ92">
    <cfRule type="expression" dxfId="1512" priority="2483">
      <formula>$BY141&gt;0</formula>
    </cfRule>
  </conditionalFormatting>
  <conditionalFormatting sqref="BQ93">
    <cfRule type="expression" dxfId="1511" priority="1117">
      <formula>$BY142&gt;0</formula>
    </cfRule>
    <cfRule type="expression" dxfId="1510" priority="1118">
      <formula>$BY142&gt;$BX$138</formula>
    </cfRule>
    <cfRule type="expression" dxfId="1509" priority="1119">
      <formula>$BY142&gt;$BX$137</formula>
    </cfRule>
  </conditionalFormatting>
  <conditionalFormatting sqref="BQ94">
    <cfRule type="expression" dxfId="1508" priority="1114">
      <formula>$BY143&gt;0</formula>
    </cfRule>
    <cfRule type="expression" dxfId="1507" priority="1115">
      <formula>$BY143&gt;$BX$138</formula>
    </cfRule>
    <cfRule type="expression" dxfId="1506" priority="1116">
      <formula>$BY143&gt;$BX$137</formula>
    </cfRule>
  </conditionalFormatting>
  <conditionalFormatting sqref="BQ95">
    <cfRule type="expression" dxfId="1505" priority="1111">
      <formula>$BY144&gt;0</formula>
    </cfRule>
    <cfRule type="expression" dxfId="1504" priority="1112">
      <formula>$BY144&gt;$BX$138</formula>
    </cfRule>
    <cfRule type="expression" dxfId="1503" priority="1113">
      <formula>$BY144&gt;$BX$137</formula>
    </cfRule>
  </conditionalFormatting>
  <conditionalFormatting sqref="BQ96">
    <cfRule type="expression" dxfId="1502" priority="1108">
      <formula>$BY145&gt;0</formula>
    </cfRule>
    <cfRule type="expression" dxfId="1501" priority="1109">
      <formula>$BY145&gt;$BX$138</formula>
    </cfRule>
    <cfRule type="expression" dxfId="1500" priority="1110">
      <formula>$BY145&gt;$BX$137</formula>
    </cfRule>
  </conditionalFormatting>
  <conditionalFormatting sqref="BQ97">
    <cfRule type="expression" dxfId="1499" priority="1105">
      <formula>$BY146&gt;0</formula>
    </cfRule>
    <cfRule type="expression" dxfId="1498" priority="1106">
      <formula>$BY146&gt;$BX$138</formula>
    </cfRule>
    <cfRule type="expression" dxfId="1497" priority="1107">
      <formula>$BY146&gt;$BX$137</formula>
    </cfRule>
  </conditionalFormatting>
  <conditionalFormatting sqref="BQ98">
    <cfRule type="expression" dxfId="1496" priority="1102">
      <formula>$BY147&gt;0</formula>
    </cfRule>
    <cfRule type="expression" dxfId="1495" priority="1103">
      <formula>$BY147&gt;$BX$138</formula>
    </cfRule>
    <cfRule type="expression" dxfId="1494" priority="1104">
      <formula>$BY147&gt;$BX$137</formula>
    </cfRule>
  </conditionalFormatting>
  <conditionalFormatting sqref="BQ99">
    <cfRule type="expression" dxfId="1493" priority="1099">
      <formula>$BY148&gt;0</formula>
    </cfRule>
    <cfRule type="expression" dxfId="1492" priority="1100">
      <formula>$BY148&gt;$BX$138</formula>
    </cfRule>
    <cfRule type="expression" dxfId="1491" priority="1101">
      <formula>$BY148&gt;$BX$137</formula>
    </cfRule>
  </conditionalFormatting>
  <conditionalFormatting sqref="BQ100">
    <cfRule type="expression" dxfId="1490" priority="1096">
      <formula>$BY149&gt;0</formula>
    </cfRule>
    <cfRule type="expression" dxfId="1489" priority="1097">
      <formula>$BY149&gt;$BX$138</formula>
    </cfRule>
    <cfRule type="expression" dxfId="1488" priority="1098">
      <formula>$BY149&gt;$BX$137</formula>
    </cfRule>
  </conditionalFormatting>
  <conditionalFormatting sqref="BQ101">
    <cfRule type="expression" dxfId="1487" priority="1093">
      <formula>$BY150&gt;0</formula>
    </cfRule>
    <cfRule type="expression" dxfId="1486" priority="1094">
      <formula>$BY150&gt;$BX$138</formula>
    </cfRule>
    <cfRule type="expression" dxfId="1485" priority="1095">
      <formula>$BY150&gt;$BX$137</formula>
    </cfRule>
  </conditionalFormatting>
  <conditionalFormatting sqref="BQ102">
    <cfRule type="expression" dxfId="1484" priority="1090">
      <formula>$BY151&gt;0</formula>
    </cfRule>
    <cfRule type="expression" dxfId="1483" priority="1091">
      <formula>$BY151&gt;$BX$138</formula>
    </cfRule>
    <cfRule type="expression" dxfId="1482" priority="1092">
      <formula>$BY151&gt;$BX$137</formula>
    </cfRule>
  </conditionalFormatting>
  <conditionalFormatting sqref="BQ103">
    <cfRule type="expression" dxfId="1481" priority="1087">
      <formula>$BY152&gt;0</formula>
    </cfRule>
    <cfRule type="expression" dxfId="1480" priority="1088">
      <formula>$BY152&gt;$BX$138</formula>
    </cfRule>
    <cfRule type="expression" dxfId="1479" priority="1089">
      <formula>$BY152&gt;$BX$137</formula>
    </cfRule>
  </conditionalFormatting>
  <conditionalFormatting sqref="BQ104">
    <cfRule type="expression" dxfId="1478" priority="1084">
      <formula>$BY153&gt;0</formula>
    </cfRule>
    <cfRule type="expression" dxfId="1477" priority="1085">
      <formula>$BY153&gt;$BX$138</formula>
    </cfRule>
    <cfRule type="expression" dxfId="1476" priority="1086">
      <formula>$BY153&gt;$BX$137</formula>
    </cfRule>
  </conditionalFormatting>
  <conditionalFormatting sqref="BQ105">
    <cfRule type="expression" dxfId="1475" priority="1081">
      <formula>$BY154&gt;0</formula>
    </cfRule>
    <cfRule type="expression" dxfId="1474" priority="1082">
      <formula>$BY154&gt;$BX$138</formula>
    </cfRule>
    <cfRule type="expression" dxfId="1473" priority="1083">
      <formula>$BY154&gt;$BX$137</formula>
    </cfRule>
  </conditionalFormatting>
  <conditionalFormatting sqref="BQ106">
    <cfRule type="expression" dxfId="1472" priority="1078">
      <formula>$BY155&gt;0</formula>
    </cfRule>
    <cfRule type="expression" dxfId="1471" priority="1079">
      <formula>$BY155&gt;$BX$138</formula>
    </cfRule>
    <cfRule type="expression" dxfId="1470" priority="1080">
      <formula>$BY155&gt;$BX$137</formula>
    </cfRule>
  </conditionalFormatting>
  <conditionalFormatting sqref="BQ107">
    <cfRule type="expression" dxfId="1469" priority="1075">
      <formula>$BY156&gt;0</formula>
    </cfRule>
    <cfRule type="expression" dxfId="1468" priority="1076">
      <formula>$BY156&gt;$BX$138</formula>
    </cfRule>
    <cfRule type="expression" dxfId="1467" priority="1077">
      <formula>$BY156&gt;$BX$137</formula>
    </cfRule>
  </conditionalFormatting>
  <conditionalFormatting sqref="BQ108">
    <cfRule type="expression" dxfId="1466" priority="1072">
      <formula>$BY157&gt;0</formula>
    </cfRule>
    <cfRule type="expression" dxfId="1465" priority="1073">
      <formula>$BY157&gt;$BX$138</formula>
    </cfRule>
    <cfRule type="expression" dxfId="1464" priority="1074">
      <formula>$BY157&gt;$BX$137</formula>
    </cfRule>
  </conditionalFormatting>
  <conditionalFormatting sqref="BQ109">
    <cfRule type="expression" dxfId="1463" priority="1069">
      <formula>$BY158&gt;0</formula>
    </cfRule>
    <cfRule type="expression" dxfId="1462" priority="1070">
      <formula>$BY158&gt;$BX$138</formula>
    </cfRule>
    <cfRule type="expression" dxfId="1461" priority="1071">
      <formula>$BY158&gt;$BX$137</formula>
    </cfRule>
  </conditionalFormatting>
  <conditionalFormatting sqref="BQ110">
    <cfRule type="expression" dxfId="1460" priority="1066">
      <formula>$BY159&gt;0</formula>
    </cfRule>
    <cfRule type="expression" dxfId="1459" priority="1067">
      <formula>$BY159&gt;$BX$138</formula>
    </cfRule>
    <cfRule type="expression" dxfId="1458" priority="1068">
      <formula>$BY159&gt;$BX$137</formula>
    </cfRule>
  </conditionalFormatting>
  <conditionalFormatting sqref="BQ111">
    <cfRule type="expression" dxfId="1457" priority="1063">
      <formula>$BY160&gt;0</formula>
    </cfRule>
    <cfRule type="expression" dxfId="1456" priority="1064">
      <formula>$BY160&gt;$BX$138</formula>
    </cfRule>
    <cfRule type="expression" dxfId="1455" priority="1065">
      <formula>$BY160&gt;$BX$137</formula>
    </cfRule>
  </conditionalFormatting>
  <conditionalFormatting sqref="BQ112">
    <cfRule type="expression" dxfId="1454" priority="1060">
      <formula>$BY161&gt;0</formula>
    </cfRule>
    <cfRule type="expression" dxfId="1453" priority="1061">
      <formula>$BY161&gt;$BX$138</formula>
    </cfRule>
    <cfRule type="expression" dxfId="1452" priority="1062">
      <formula>$BY161&gt;$BX$137</formula>
    </cfRule>
  </conditionalFormatting>
  <conditionalFormatting sqref="BQ113">
    <cfRule type="expression" dxfId="1451" priority="1057">
      <formula>$BY162&gt;0</formula>
    </cfRule>
    <cfRule type="expression" dxfId="1450" priority="1058">
      <formula>$BY162&gt;$BX$138</formula>
    </cfRule>
    <cfRule type="expression" dxfId="1449" priority="1059">
      <formula>$BY162&gt;$BX$137</formula>
    </cfRule>
  </conditionalFormatting>
  <conditionalFormatting sqref="BQ114">
    <cfRule type="expression" dxfId="1448" priority="1054">
      <formula>$BY163&gt;0</formula>
    </cfRule>
    <cfRule type="expression" dxfId="1447" priority="1055">
      <formula>$BY163&gt;$BX$138</formula>
    </cfRule>
    <cfRule type="expression" dxfId="1446" priority="1056">
      <formula>$BY163&gt;$BX$137</formula>
    </cfRule>
  </conditionalFormatting>
  <conditionalFormatting sqref="BQ115">
    <cfRule type="expression" dxfId="1445" priority="1051">
      <formula>$BY164&gt;0</formula>
    </cfRule>
    <cfRule type="expression" dxfId="1444" priority="1052">
      <formula>$BY164&gt;$BX$138</formula>
    </cfRule>
    <cfRule type="expression" dxfId="1443" priority="1053">
      <formula>$BY164&gt;$BX$137</formula>
    </cfRule>
  </conditionalFormatting>
  <conditionalFormatting sqref="BQ116">
    <cfRule type="expression" dxfId="1442" priority="1048">
      <formula>$BY165&gt;0</formula>
    </cfRule>
    <cfRule type="expression" dxfId="1441" priority="1049">
      <formula>$BY165&gt;$BX$138</formula>
    </cfRule>
    <cfRule type="expression" dxfId="1440" priority="1050">
      <formula>$BY165&gt;$BX$137</formula>
    </cfRule>
  </conditionalFormatting>
  <conditionalFormatting sqref="BQ117">
    <cfRule type="expression" dxfId="1439" priority="1045">
      <formula>$BY166&gt;0</formula>
    </cfRule>
    <cfRule type="expression" dxfId="1438" priority="1046">
      <formula>$BY166&gt;$BX$138</formula>
    </cfRule>
    <cfRule type="expression" dxfId="1437" priority="1047">
      <formula>$BY166&gt;$BX$137</formula>
    </cfRule>
  </conditionalFormatting>
  <conditionalFormatting sqref="BQ118">
    <cfRule type="expression" dxfId="1436" priority="1042">
      <formula>$BY167&gt;0</formula>
    </cfRule>
    <cfRule type="expression" dxfId="1435" priority="1043">
      <formula>$BY167&gt;$BX$138</formula>
    </cfRule>
    <cfRule type="expression" dxfId="1434" priority="1044">
      <formula>$BY167&gt;$BX$137</formula>
    </cfRule>
  </conditionalFormatting>
  <conditionalFormatting sqref="BQ119">
    <cfRule type="expression" dxfId="1433" priority="1039">
      <formula>$BY168&gt;0</formula>
    </cfRule>
    <cfRule type="expression" dxfId="1432" priority="1040">
      <formula>$BY168&gt;$BX$138</formula>
    </cfRule>
    <cfRule type="expression" dxfId="1431" priority="1041">
      <formula>$BY168&gt;$BX$137</formula>
    </cfRule>
  </conditionalFormatting>
  <conditionalFormatting sqref="BQ120">
    <cfRule type="expression" dxfId="1430" priority="1036">
      <formula>$BY169&gt;0</formula>
    </cfRule>
    <cfRule type="expression" dxfId="1429" priority="1037">
      <formula>$BY169&gt;$BX$138</formula>
    </cfRule>
    <cfRule type="expression" dxfId="1428" priority="1038">
      <formula>$BY169&gt;$BX$137</formula>
    </cfRule>
  </conditionalFormatting>
  <conditionalFormatting sqref="BQ121">
    <cfRule type="expression" dxfId="1427" priority="1033">
      <formula>$BY170&gt;0</formula>
    </cfRule>
    <cfRule type="expression" dxfId="1426" priority="1034">
      <formula>$BY170&gt;$BX$138</formula>
    </cfRule>
    <cfRule type="expression" dxfId="1425" priority="1035">
      <formula>$BY170&gt;$BX$137</formula>
    </cfRule>
  </conditionalFormatting>
  <conditionalFormatting sqref="BQ122">
    <cfRule type="expression" dxfId="1424" priority="1030">
      <formula>$BY171&gt;0</formula>
    </cfRule>
    <cfRule type="expression" dxfId="1423" priority="1031">
      <formula>$BY171&gt;$BX$138</formula>
    </cfRule>
    <cfRule type="expression" dxfId="1422" priority="1032">
      <formula>$BY171&gt;$BX$137</formula>
    </cfRule>
  </conditionalFormatting>
  <conditionalFormatting sqref="BQ123">
    <cfRule type="expression" dxfId="1421" priority="1027">
      <formula>$BY172&gt;0</formula>
    </cfRule>
    <cfRule type="expression" dxfId="1420" priority="1028">
      <formula>$BY172&gt;$BX$138</formula>
    </cfRule>
    <cfRule type="expression" dxfId="1419" priority="1029">
      <formula>$BY172&gt;$BX$137</formula>
    </cfRule>
  </conditionalFormatting>
  <conditionalFormatting sqref="BQ124">
    <cfRule type="expression" dxfId="1418" priority="1024">
      <formula>$BY173&gt;0</formula>
    </cfRule>
    <cfRule type="expression" dxfId="1417" priority="1025">
      <formula>$BY173&gt;$BX$138</formula>
    </cfRule>
    <cfRule type="expression" dxfId="1416" priority="1026">
      <formula>$BY173&gt;$BX$137</formula>
    </cfRule>
  </conditionalFormatting>
  <conditionalFormatting sqref="BQ125">
    <cfRule type="expression" dxfId="1415" priority="1021">
      <formula>$BY174&gt;0</formula>
    </cfRule>
    <cfRule type="expression" dxfId="1414" priority="1022">
      <formula>$BY174&gt;$BX$138</formula>
    </cfRule>
    <cfRule type="expression" dxfId="1413" priority="1023">
      <formula>$BY174&gt;$BX$137</formula>
    </cfRule>
  </conditionalFormatting>
  <conditionalFormatting sqref="BQ126">
    <cfRule type="expression" dxfId="1412" priority="1018">
      <formula>$BY175&gt;0</formula>
    </cfRule>
    <cfRule type="expression" dxfId="1411" priority="1019">
      <formula>$BY175&gt;$BX$138</formula>
    </cfRule>
    <cfRule type="expression" dxfId="1410" priority="1020">
      <formula>$BY175&gt;$BX$137</formula>
    </cfRule>
  </conditionalFormatting>
  <conditionalFormatting sqref="BQ127">
    <cfRule type="expression" dxfId="1409" priority="1015">
      <formula>$BY176&gt;0</formula>
    </cfRule>
    <cfRule type="expression" dxfId="1408" priority="1016">
      <formula>$BY176&gt;$BX$138</formula>
    </cfRule>
    <cfRule type="expression" dxfId="1407" priority="1017">
      <formula>$BY176&gt;$BX$137</formula>
    </cfRule>
  </conditionalFormatting>
  <conditionalFormatting sqref="BU93">
    <cfRule type="expression" dxfId="1406" priority="1012">
      <formula>$BY142&gt;0</formula>
    </cfRule>
    <cfRule type="expression" dxfId="1405" priority="1013">
      <formula>$BY142&gt;$BX$138</formula>
    </cfRule>
    <cfRule type="expression" dxfId="1404" priority="1014">
      <formula>$BY142&gt;$BX$137</formula>
    </cfRule>
  </conditionalFormatting>
  <conditionalFormatting sqref="BU94">
    <cfRule type="expression" dxfId="1403" priority="1009">
      <formula>$BY143&gt;0</formula>
    </cfRule>
    <cfRule type="expression" dxfId="1402" priority="1010">
      <formula>$BY143&gt;$BX$138</formula>
    </cfRule>
    <cfRule type="expression" dxfId="1401" priority="1011">
      <formula>$BY143&gt;$BX$137</formula>
    </cfRule>
  </conditionalFormatting>
  <conditionalFormatting sqref="BU95">
    <cfRule type="expression" dxfId="1400" priority="1006">
      <formula>$BY144&gt;0</formula>
    </cfRule>
    <cfRule type="expression" dxfId="1399" priority="1007">
      <formula>$BY144&gt;$BX$138</formula>
    </cfRule>
    <cfRule type="expression" dxfId="1398" priority="1008">
      <formula>$BY144&gt;$BX$137</formula>
    </cfRule>
  </conditionalFormatting>
  <conditionalFormatting sqref="BU96">
    <cfRule type="expression" dxfId="1397" priority="1003">
      <formula>$BY145&gt;0</formula>
    </cfRule>
    <cfRule type="expression" dxfId="1396" priority="1004">
      <formula>$BY145&gt;$BX$138</formula>
    </cfRule>
    <cfRule type="expression" dxfId="1395" priority="1005">
      <formula>$BY145&gt;$BX$137</formula>
    </cfRule>
  </conditionalFormatting>
  <conditionalFormatting sqref="BU97">
    <cfRule type="expression" dxfId="1394" priority="1000">
      <formula>$BY146&gt;0</formula>
    </cfRule>
    <cfRule type="expression" dxfId="1393" priority="1001">
      <formula>$BY146&gt;$BX$138</formula>
    </cfRule>
    <cfRule type="expression" dxfId="1392" priority="1002">
      <formula>$BY146&gt;$BX$137</formula>
    </cfRule>
  </conditionalFormatting>
  <conditionalFormatting sqref="BU98">
    <cfRule type="expression" dxfId="1391" priority="997">
      <formula>$BY147&gt;0</formula>
    </cfRule>
    <cfRule type="expression" dxfId="1390" priority="998">
      <formula>$BY147&gt;$BX$138</formula>
    </cfRule>
    <cfRule type="expression" dxfId="1389" priority="999">
      <formula>$BY147&gt;$BX$137</formula>
    </cfRule>
  </conditionalFormatting>
  <conditionalFormatting sqref="BU99">
    <cfRule type="expression" dxfId="1388" priority="994">
      <formula>$BY148&gt;0</formula>
    </cfRule>
    <cfRule type="expression" dxfId="1387" priority="995">
      <formula>$BY148&gt;$BX$138</formula>
    </cfRule>
    <cfRule type="expression" dxfId="1386" priority="996">
      <formula>$BY148&gt;$BX$137</formula>
    </cfRule>
  </conditionalFormatting>
  <conditionalFormatting sqref="BU100">
    <cfRule type="expression" dxfId="1385" priority="991">
      <formula>$BY149&gt;0</formula>
    </cfRule>
    <cfRule type="expression" dxfId="1384" priority="992">
      <formula>$BY149&gt;$BX$138</formula>
    </cfRule>
    <cfRule type="expression" dxfId="1383" priority="993">
      <formula>$BY149&gt;$BX$137</formula>
    </cfRule>
  </conditionalFormatting>
  <conditionalFormatting sqref="BU101">
    <cfRule type="expression" dxfId="1382" priority="988">
      <formula>$BY150&gt;0</formula>
    </cfRule>
    <cfRule type="expression" dxfId="1381" priority="989">
      <formula>$BY150&gt;$BX$138</formula>
    </cfRule>
    <cfRule type="expression" dxfId="1380" priority="990">
      <formula>$BY150&gt;$BX$137</formula>
    </cfRule>
  </conditionalFormatting>
  <conditionalFormatting sqref="BU102">
    <cfRule type="expression" dxfId="1379" priority="985">
      <formula>$BY151&gt;0</formula>
    </cfRule>
    <cfRule type="expression" dxfId="1378" priority="986">
      <formula>$BY151&gt;$BX$138</formula>
    </cfRule>
    <cfRule type="expression" dxfId="1377" priority="987">
      <formula>$BY151&gt;$BX$137</formula>
    </cfRule>
  </conditionalFormatting>
  <conditionalFormatting sqref="BU103">
    <cfRule type="expression" dxfId="1376" priority="982">
      <formula>$BY152&gt;0</formula>
    </cfRule>
    <cfRule type="expression" dxfId="1375" priority="983">
      <formula>$BY152&gt;$BX$138</formula>
    </cfRule>
    <cfRule type="expression" dxfId="1374" priority="984">
      <formula>$BY152&gt;$BX$137</formula>
    </cfRule>
  </conditionalFormatting>
  <conditionalFormatting sqref="BU104">
    <cfRule type="expression" dxfId="1373" priority="979">
      <formula>$BY153&gt;0</formula>
    </cfRule>
    <cfRule type="expression" dxfId="1372" priority="980">
      <formula>$BY153&gt;$BX$138</formula>
    </cfRule>
    <cfRule type="expression" dxfId="1371" priority="981">
      <formula>$BY153&gt;$BX$137</formula>
    </cfRule>
  </conditionalFormatting>
  <conditionalFormatting sqref="BU105">
    <cfRule type="expression" dxfId="1370" priority="976">
      <formula>$BY154&gt;0</formula>
    </cfRule>
    <cfRule type="expression" dxfId="1369" priority="977">
      <formula>$BY154&gt;$BX$138</formula>
    </cfRule>
    <cfRule type="expression" dxfId="1368" priority="978">
      <formula>$BY154&gt;$BX$137</formula>
    </cfRule>
  </conditionalFormatting>
  <conditionalFormatting sqref="BU106">
    <cfRule type="expression" dxfId="1367" priority="973">
      <formula>$BY155&gt;0</formula>
    </cfRule>
    <cfRule type="expression" dxfId="1366" priority="974">
      <formula>$BY155&gt;$BX$138</formula>
    </cfRule>
    <cfRule type="expression" dxfId="1365" priority="975">
      <formula>$BY155&gt;$BX$137</formula>
    </cfRule>
  </conditionalFormatting>
  <conditionalFormatting sqref="BU107">
    <cfRule type="expression" dxfId="1364" priority="970">
      <formula>$BY156&gt;0</formula>
    </cfRule>
    <cfRule type="expression" dxfId="1363" priority="971">
      <formula>$BY156&gt;$BX$138</formula>
    </cfRule>
    <cfRule type="expression" dxfId="1362" priority="972">
      <formula>$BY156&gt;$BX$137</formula>
    </cfRule>
  </conditionalFormatting>
  <conditionalFormatting sqref="BU108">
    <cfRule type="expression" dxfId="1361" priority="967">
      <formula>$BY157&gt;0</formula>
    </cfRule>
    <cfRule type="expression" dxfId="1360" priority="968">
      <formula>$BY157&gt;$BX$138</formula>
    </cfRule>
    <cfRule type="expression" dxfId="1359" priority="969">
      <formula>$BY157&gt;$BX$137</formula>
    </cfRule>
  </conditionalFormatting>
  <conditionalFormatting sqref="BU109">
    <cfRule type="expression" dxfId="1358" priority="964">
      <formula>$BY158&gt;0</formula>
    </cfRule>
    <cfRule type="expression" dxfId="1357" priority="965">
      <formula>$BY158&gt;$BX$138</formula>
    </cfRule>
    <cfRule type="expression" dxfId="1356" priority="966">
      <formula>$BY158&gt;$BX$137</formula>
    </cfRule>
  </conditionalFormatting>
  <conditionalFormatting sqref="BU110">
    <cfRule type="expression" dxfId="1355" priority="961">
      <formula>$BY159&gt;0</formula>
    </cfRule>
    <cfRule type="expression" dxfId="1354" priority="962">
      <formula>$BY159&gt;$BX$138</formula>
    </cfRule>
    <cfRule type="expression" dxfId="1353" priority="963">
      <formula>$BY159&gt;$BX$137</formula>
    </cfRule>
  </conditionalFormatting>
  <conditionalFormatting sqref="BU111">
    <cfRule type="expression" dxfId="1352" priority="958">
      <formula>$BY160&gt;0</formula>
    </cfRule>
    <cfRule type="expression" dxfId="1351" priority="959">
      <formula>$BY160&gt;$BX$138</formula>
    </cfRule>
    <cfRule type="expression" dxfId="1350" priority="960">
      <formula>$BY160&gt;$BX$137</formula>
    </cfRule>
  </conditionalFormatting>
  <conditionalFormatting sqref="BU112">
    <cfRule type="expression" dxfId="1349" priority="955">
      <formula>$BY161&gt;0</formula>
    </cfRule>
    <cfRule type="expression" dxfId="1348" priority="956">
      <formula>$BY161&gt;$BX$138</formula>
    </cfRule>
    <cfRule type="expression" dxfId="1347" priority="957">
      <formula>$BY161&gt;$BX$137</formula>
    </cfRule>
  </conditionalFormatting>
  <conditionalFormatting sqref="BU113">
    <cfRule type="expression" dxfId="1346" priority="952">
      <formula>$BY162&gt;0</formula>
    </cfRule>
    <cfRule type="expression" dxfId="1345" priority="953">
      <formula>$BY162&gt;$BX$138</formula>
    </cfRule>
    <cfRule type="expression" dxfId="1344" priority="954">
      <formula>$BY162&gt;$BX$137</formula>
    </cfRule>
  </conditionalFormatting>
  <conditionalFormatting sqref="BU114">
    <cfRule type="expression" dxfId="1343" priority="949">
      <formula>$BY163&gt;0</formula>
    </cfRule>
    <cfRule type="expression" dxfId="1342" priority="950">
      <formula>$BY163&gt;$BX$138</formula>
    </cfRule>
    <cfRule type="expression" dxfId="1341" priority="951">
      <formula>$BY163&gt;$BX$137</formula>
    </cfRule>
  </conditionalFormatting>
  <conditionalFormatting sqref="BU115">
    <cfRule type="expression" dxfId="1340" priority="946">
      <formula>$BY164&gt;0</formula>
    </cfRule>
    <cfRule type="expression" dxfId="1339" priority="947">
      <formula>$BY164&gt;$BX$138</formula>
    </cfRule>
    <cfRule type="expression" dxfId="1338" priority="948">
      <formula>$BY164&gt;$BX$137</formula>
    </cfRule>
  </conditionalFormatting>
  <conditionalFormatting sqref="BU116">
    <cfRule type="expression" dxfId="1337" priority="943">
      <formula>$BY165&gt;0</formula>
    </cfRule>
    <cfRule type="expression" dxfId="1336" priority="944">
      <formula>$BY165&gt;$BX$138</formula>
    </cfRule>
    <cfRule type="expression" dxfId="1335" priority="945">
      <formula>$BY165&gt;$BX$137</formula>
    </cfRule>
  </conditionalFormatting>
  <conditionalFormatting sqref="BU117">
    <cfRule type="expression" dxfId="1334" priority="940">
      <formula>$BY166&gt;0</formula>
    </cfRule>
    <cfRule type="expression" dxfId="1333" priority="941">
      <formula>$BY166&gt;$BX$138</formula>
    </cfRule>
    <cfRule type="expression" dxfId="1332" priority="942">
      <formula>$BY166&gt;$BX$137</formula>
    </cfRule>
  </conditionalFormatting>
  <conditionalFormatting sqref="BU118">
    <cfRule type="expression" dxfId="1331" priority="937">
      <formula>$BY167&gt;0</formula>
    </cfRule>
    <cfRule type="expression" dxfId="1330" priority="938">
      <formula>$BY167&gt;$BX$138</formula>
    </cfRule>
    <cfRule type="expression" dxfId="1329" priority="939">
      <formula>$BY167&gt;$BX$137</formula>
    </cfRule>
  </conditionalFormatting>
  <conditionalFormatting sqref="BU119">
    <cfRule type="expression" dxfId="1328" priority="934">
      <formula>$BY168&gt;0</formula>
    </cfRule>
    <cfRule type="expression" dxfId="1327" priority="935">
      <formula>$BY168&gt;$BX$138</formula>
    </cfRule>
    <cfRule type="expression" dxfId="1326" priority="936">
      <formula>$BY168&gt;$BX$137</formula>
    </cfRule>
  </conditionalFormatting>
  <conditionalFormatting sqref="BU120">
    <cfRule type="expression" dxfId="1325" priority="931">
      <formula>$BY169&gt;0</formula>
    </cfRule>
    <cfRule type="expression" dxfId="1324" priority="932">
      <formula>$BY169&gt;$BX$138</formula>
    </cfRule>
    <cfRule type="expression" dxfId="1323" priority="933">
      <formula>$BY169&gt;$BX$137</formula>
    </cfRule>
  </conditionalFormatting>
  <conditionalFormatting sqref="BU121">
    <cfRule type="expression" dxfId="1322" priority="928">
      <formula>$BY170&gt;0</formula>
    </cfRule>
    <cfRule type="expression" dxfId="1321" priority="929">
      <formula>$BY170&gt;$BX$138</formula>
    </cfRule>
    <cfRule type="expression" dxfId="1320" priority="930">
      <formula>$BY170&gt;$BX$137</formula>
    </cfRule>
  </conditionalFormatting>
  <conditionalFormatting sqref="BU122">
    <cfRule type="expression" dxfId="1319" priority="925">
      <formula>$BY171&gt;0</formula>
    </cfRule>
    <cfRule type="expression" dxfId="1318" priority="926">
      <formula>$BY171&gt;$BX$138</formula>
    </cfRule>
    <cfRule type="expression" dxfId="1317" priority="927">
      <formula>$BY171&gt;$BX$137</formula>
    </cfRule>
  </conditionalFormatting>
  <conditionalFormatting sqref="BU123">
    <cfRule type="expression" dxfId="1316" priority="922">
      <formula>$BY172&gt;0</formula>
    </cfRule>
    <cfRule type="expression" dxfId="1315" priority="923">
      <formula>$BY172&gt;$BX$138</formula>
    </cfRule>
    <cfRule type="expression" dxfId="1314" priority="924">
      <formula>$BY172&gt;$BX$137</formula>
    </cfRule>
  </conditionalFormatting>
  <conditionalFormatting sqref="BU124">
    <cfRule type="expression" dxfId="1313" priority="919">
      <formula>$BY173&gt;0</formula>
    </cfRule>
    <cfRule type="expression" dxfId="1312" priority="920">
      <formula>$BY173&gt;$BX$138</formula>
    </cfRule>
    <cfRule type="expression" dxfId="1311" priority="921">
      <formula>$BY173&gt;$BX$137</formula>
    </cfRule>
  </conditionalFormatting>
  <conditionalFormatting sqref="BU125">
    <cfRule type="expression" dxfId="1310" priority="916">
      <formula>$BY174&gt;0</formula>
    </cfRule>
    <cfRule type="expression" dxfId="1309" priority="917">
      <formula>$BY174&gt;$BX$138</formula>
    </cfRule>
    <cfRule type="expression" dxfId="1308" priority="918">
      <formula>$BY174&gt;$BX$137</formula>
    </cfRule>
  </conditionalFormatting>
  <conditionalFormatting sqref="BU126">
    <cfRule type="expression" dxfId="1307" priority="913">
      <formula>$BY175&gt;0</formula>
    </cfRule>
    <cfRule type="expression" dxfId="1306" priority="914">
      <formula>$BY175&gt;$BX$138</formula>
    </cfRule>
    <cfRule type="expression" dxfId="1305" priority="915">
      <formula>$BY175&gt;$BX$137</formula>
    </cfRule>
  </conditionalFormatting>
  <conditionalFormatting sqref="BU127">
    <cfRule type="expression" dxfId="1304" priority="910">
      <formula>$BY176&gt;0</formula>
    </cfRule>
    <cfRule type="expression" dxfId="1303" priority="911">
      <formula>$BY176&gt;$BX$138</formula>
    </cfRule>
    <cfRule type="expression" dxfId="1302" priority="912">
      <formula>$BY176&gt;$BX$137</formula>
    </cfRule>
  </conditionalFormatting>
  <conditionalFormatting sqref="BB92:BB127">
    <cfRule type="expression" dxfId="1301" priority="719">
      <formula>$BC92="X"</formula>
    </cfRule>
    <cfRule type="expression" dxfId="1300" priority="826">
      <formula>$BI$115&lt;$AV161+1</formula>
    </cfRule>
  </conditionalFormatting>
  <conditionalFormatting sqref="BE93">
    <cfRule type="expression" dxfId="1299" priority="691">
      <formula>$AV142&gt;0</formula>
    </cfRule>
    <cfRule type="expression" dxfId="1298" priority="692">
      <formula>$AV142&gt;$AU$138</formula>
    </cfRule>
    <cfRule type="expression" dxfId="1297" priority="693">
      <formula>$AV142&gt;$AU$137</formula>
    </cfRule>
  </conditionalFormatting>
  <conditionalFormatting sqref="BE94">
    <cfRule type="expression" dxfId="1296" priority="688">
      <formula>$AV143&gt;0</formula>
    </cfRule>
    <cfRule type="expression" dxfId="1295" priority="689">
      <formula>$AV143&gt;$AU$138</formula>
    </cfRule>
    <cfRule type="expression" dxfId="1294" priority="690">
      <formula>$AV143&gt;$AU$137</formula>
    </cfRule>
  </conditionalFormatting>
  <conditionalFormatting sqref="BE95">
    <cfRule type="expression" dxfId="1293" priority="685">
      <formula>$AV144&gt;0</formula>
    </cfRule>
    <cfRule type="expression" dxfId="1292" priority="686">
      <formula>$AV144&gt;$AU$138</formula>
    </cfRule>
    <cfRule type="expression" dxfId="1291" priority="687">
      <formula>$AV144&gt;$AU$137</formula>
    </cfRule>
  </conditionalFormatting>
  <conditionalFormatting sqref="BE96">
    <cfRule type="expression" dxfId="1290" priority="682">
      <formula>$AV145&gt;0</formula>
    </cfRule>
    <cfRule type="expression" dxfId="1289" priority="683">
      <formula>$AV145&gt;$AU$138</formula>
    </cfRule>
    <cfRule type="expression" dxfId="1288" priority="684">
      <formula>$AV145&gt;$AU$137</formula>
    </cfRule>
  </conditionalFormatting>
  <conditionalFormatting sqref="BE97">
    <cfRule type="expression" dxfId="1287" priority="679">
      <formula>$AV146&gt;0</formula>
    </cfRule>
    <cfRule type="expression" dxfId="1286" priority="680">
      <formula>$AV146&gt;$AU$138</formula>
    </cfRule>
    <cfRule type="expression" dxfId="1285" priority="681">
      <formula>$AV146&gt;$AU$137</formula>
    </cfRule>
  </conditionalFormatting>
  <conditionalFormatting sqref="BE98">
    <cfRule type="expression" dxfId="1284" priority="676">
      <formula>$AV147&gt;0</formula>
    </cfRule>
    <cfRule type="expression" dxfId="1283" priority="677">
      <formula>$AV147&gt;$AU$138</formula>
    </cfRule>
    <cfRule type="expression" dxfId="1282" priority="678">
      <formula>$AV147&gt;$AU$137</formula>
    </cfRule>
  </conditionalFormatting>
  <conditionalFormatting sqref="BE99">
    <cfRule type="expression" dxfId="1281" priority="673">
      <formula>$AV148&gt;0</formula>
    </cfRule>
    <cfRule type="expression" dxfId="1280" priority="674">
      <formula>$AV148&gt;$AU$138</formula>
    </cfRule>
    <cfRule type="expression" dxfId="1279" priority="675">
      <formula>$AV148&gt;$AU$137</formula>
    </cfRule>
  </conditionalFormatting>
  <conditionalFormatting sqref="BE100">
    <cfRule type="expression" dxfId="1278" priority="670">
      <formula>$AV149&gt;0</formula>
    </cfRule>
    <cfRule type="expression" dxfId="1277" priority="671">
      <formula>$AV149&gt;$AU$138</formula>
    </cfRule>
    <cfRule type="expression" dxfId="1276" priority="672">
      <formula>$AV149&gt;$AU$137</formula>
    </cfRule>
  </conditionalFormatting>
  <conditionalFormatting sqref="BE101">
    <cfRule type="expression" dxfId="1275" priority="667">
      <formula>$AV150&gt;0</formula>
    </cfRule>
    <cfRule type="expression" dxfId="1274" priority="668">
      <formula>$AV150&gt;$AU$138</formula>
    </cfRule>
    <cfRule type="expression" dxfId="1273" priority="669">
      <formula>$AV150&gt;$AU$137</formula>
    </cfRule>
  </conditionalFormatting>
  <conditionalFormatting sqref="BE102">
    <cfRule type="expression" dxfId="1272" priority="664">
      <formula>$AV151&gt;0</formula>
    </cfRule>
    <cfRule type="expression" dxfId="1271" priority="665">
      <formula>$AV151&gt;$AU$138</formula>
    </cfRule>
    <cfRule type="expression" dxfId="1270" priority="666">
      <formula>$AV151&gt;$AU$137</formula>
    </cfRule>
  </conditionalFormatting>
  <conditionalFormatting sqref="BE103">
    <cfRule type="expression" dxfId="1269" priority="661">
      <formula>$AV152&gt;0</formula>
    </cfRule>
    <cfRule type="expression" dxfId="1268" priority="662">
      <formula>$AV152&gt;$AU$138</formula>
    </cfRule>
    <cfRule type="expression" dxfId="1267" priority="663">
      <formula>$AV152&gt;$AU$137</formula>
    </cfRule>
  </conditionalFormatting>
  <conditionalFormatting sqref="AY92">
    <cfRule type="expression" dxfId="1266" priority="658">
      <formula>$AV141&gt;$AU$138</formula>
    </cfRule>
    <cfRule type="expression" dxfId="1265" priority="659">
      <formula>$AV141&gt;$AU$137</formula>
    </cfRule>
    <cfRule type="expression" dxfId="1264" priority="660">
      <formula>$AV141&gt;0</formula>
    </cfRule>
  </conditionalFormatting>
  <conditionalFormatting sqref="BD93">
    <cfRule type="expression" dxfId="1263" priority="516">
      <formula>$BH142&gt;0</formula>
    </cfRule>
    <cfRule type="expression" dxfId="1262" priority="517">
      <formula>$BH142&gt;$BG$138</formula>
    </cfRule>
    <cfRule type="expression" dxfId="1261" priority="518">
      <formula>$BH142&gt;$BG$137</formula>
    </cfRule>
  </conditionalFormatting>
  <conditionalFormatting sqref="BD94">
    <cfRule type="expression" dxfId="1260" priority="513">
      <formula>$BH143&gt;0</formula>
    </cfRule>
    <cfRule type="expression" dxfId="1259" priority="514">
      <formula>$BH143&gt;$BG$138</formula>
    </cfRule>
    <cfRule type="expression" dxfId="1258" priority="515">
      <formula>$BH143&gt;$BG$137</formula>
    </cfRule>
  </conditionalFormatting>
  <conditionalFormatting sqref="BD95">
    <cfRule type="expression" dxfId="1257" priority="510">
      <formula>$BH144&gt;0</formula>
    </cfRule>
    <cfRule type="expression" dxfId="1256" priority="511">
      <formula>$BH144&gt;$BG$138</formula>
    </cfRule>
    <cfRule type="expression" dxfId="1255" priority="512">
      <formula>$BH144&gt;$BG$137</formula>
    </cfRule>
  </conditionalFormatting>
  <conditionalFormatting sqref="BD96">
    <cfRule type="expression" dxfId="1254" priority="507">
      <formula>$BH145&gt;0</formula>
    </cfRule>
    <cfRule type="expression" dxfId="1253" priority="508">
      <formula>$BH145&gt;$BG$138</formula>
    </cfRule>
    <cfRule type="expression" dxfId="1252" priority="509">
      <formula>$BH145&gt;$BG$137</formula>
    </cfRule>
  </conditionalFormatting>
  <conditionalFormatting sqref="BD97">
    <cfRule type="expression" dxfId="1251" priority="504">
      <formula>$BH146&gt;0</formula>
    </cfRule>
    <cfRule type="expression" dxfId="1250" priority="505">
      <formula>$BH146&gt;$BG$138</formula>
    </cfRule>
    <cfRule type="expression" dxfId="1249" priority="506">
      <formula>$BH146&gt;$BG$137</formula>
    </cfRule>
  </conditionalFormatting>
  <conditionalFormatting sqref="BD98">
    <cfRule type="expression" dxfId="1248" priority="501">
      <formula>$BH147&gt;0</formula>
    </cfRule>
    <cfRule type="expression" dxfId="1247" priority="502">
      <formula>$BH147&gt;$BG$138</formula>
    </cfRule>
    <cfRule type="expression" dxfId="1246" priority="503">
      <formula>$BH147&gt;$BG$137</formula>
    </cfRule>
  </conditionalFormatting>
  <conditionalFormatting sqref="BD99">
    <cfRule type="expression" dxfId="1245" priority="498">
      <formula>$BH148&gt;0</formula>
    </cfRule>
    <cfRule type="expression" dxfId="1244" priority="499">
      <formula>$BH148&gt;$BG$138</formula>
    </cfRule>
    <cfRule type="expression" dxfId="1243" priority="500">
      <formula>$BH148&gt;$BG$137</formula>
    </cfRule>
  </conditionalFormatting>
  <conditionalFormatting sqref="BD100">
    <cfRule type="expression" dxfId="1242" priority="495">
      <formula>$BH149&gt;0</formula>
    </cfRule>
    <cfRule type="expression" dxfId="1241" priority="496">
      <formula>$BH149&gt;$BG$138</formula>
    </cfRule>
    <cfRule type="expression" dxfId="1240" priority="497">
      <formula>$BH149&gt;$BG$137</formula>
    </cfRule>
  </conditionalFormatting>
  <conditionalFormatting sqref="BD101">
    <cfRule type="expression" dxfId="1239" priority="492">
      <formula>$BH150&gt;0</formula>
    </cfRule>
    <cfRule type="expression" dxfId="1238" priority="493">
      <formula>$BH150&gt;$BG$138</formula>
    </cfRule>
    <cfRule type="expression" dxfId="1237" priority="494">
      <formula>$BH150&gt;$BG$137</formula>
    </cfRule>
  </conditionalFormatting>
  <conditionalFormatting sqref="BD102">
    <cfRule type="expression" dxfId="1236" priority="489">
      <formula>$BH151&gt;0</formula>
    </cfRule>
    <cfRule type="expression" dxfId="1235" priority="490">
      <formula>$BH151&gt;$BG$138</formula>
    </cfRule>
    <cfRule type="expression" dxfId="1234" priority="491">
      <formula>$BH151&gt;$BG$137</formula>
    </cfRule>
  </conditionalFormatting>
  <conditionalFormatting sqref="BD103">
    <cfRule type="expression" dxfId="1233" priority="486">
      <formula>$BH152&gt;0</formula>
    </cfRule>
    <cfRule type="expression" dxfId="1232" priority="487">
      <formula>$BH152&gt;$BG$138</formula>
    </cfRule>
    <cfRule type="expression" dxfId="1231" priority="488">
      <formula>$BH152&gt;$BG$137</formula>
    </cfRule>
  </conditionalFormatting>
  <conditionalFormatting sqref="BD104">
    <cfRule type="expression" dxfId="1230" priority="483">
      <formula>$BH153&gt;0</formula>
    </cfRule>
    <cfRule type="expression" dxfId="1229" priority="484">
      <formula>$BH153&gt;$BG$138</formula>
    </cfRule>
    <cfRule type="expression" dxfId="1228" priority="485">
      <formula>$BH153&gt;$BG$137</formula>
    </cfRule>
  </conditionalFormatting>
  <conditionalFormatting sqref="BD105">
    <cfRule type="expression" dxfId="1227" priority="480">
      <formula>$BH154&gt;0</formula>
    </cfRule>
    <cfRule type="expression" dxfId="1226" priority="481">
      <formula>$BH154&gt;$BG$138</formula>
    </cfRule>
    <cfRule type="expression" dxfId="1225" priority="482">
      <formula>$BH154&gt;$BG$137</formula>
    </cfRule>
  </conditionalFormatting>
  <conditionalFormatting sqref="BD106">
    <cfRule type="expression" dxfId="1224" priority="477">
      <formula>$BH155&gt;0</formula>
    </cfRule>
    <cfRule type="expression" dxfId="1223" priority="478">
      <formula>$BH155&gt;$BG$138</formula>
    </cfRule>
    <cfRule type="expression" dxfId="1222" priority="479">
      <formula>$BH155&gt;$BG$137</formula>
    </cfRule>
  </conditionalFormatting>
  <conditionalFormatting sqref="BD107">
    <cfRule type="expression" dxfId="1221" priority="474">
      <formula>$BH156&gt;0</formula>
    </cfRule>
    <cfRule type="expression" dxfId="1220" priority="475">
      <formula>$BH156&gt;$BG$138</formula>
    </cfRule>
    <cfRule type="expression" dxfId="1219" priority="476">
      <formula>$BH156&gt;$BG$137</formula>
    </cfRule>
  </conditionalFormatting>
  <conditionalFormatting sqref="BD108">
    <cfRule type="expression" dxfId="1218" priority="471">
      <formula>$BH157&gt;0</formula>
    </cfRule>
    <cfRule type="expression" dxfId="1217" priority="472">
      <formula>$BH157&gt;$BG$138</formula>
    </cfRule>
    <cfRule type="expression" dxfId="1216" priority="473">
      <formula>$BH157&gt;$BG$137</formula>
    </cfRule>
  </conditionalFormatting>
  <conditionalFormatting sqref="BD109">
    <cfRule type="expression" dxfId="1215" priority="468">
      <formula>$BH158&gt;0</formula>
    </cfRule>
    <cfRule type="expression" dxfId="1214" priority="469">
      <formula>$BH158&gt;$BG$138</formula>
    </cfRule>
    <cfRule type="expression" dxfId="1213" priority="470">
      <formula>$BH158&gt;$BG$137</formula>
    </cfRule>
  </conditionalFormatting>
  <conditionalFormatting sqref="BD110">
    <cfRule type="expression" dxfId="1212" priority="465">
      <formula>$BH159&gt;0</formula>
    </cfRule>
    <cfRule type="expression" dxfId="1211" priority="466">
      <formula>$BH159&gt;$BG$138</formula>
    </cfRule>
    <cfRule type="expression" dxfId="1210" priority="467">
      <formula>$BH159&gt;$BG$137</formula>
    </cfRule>
  </conditionalFormatting>
  <conditionalFormatting sqref="BD111">
    <cfRule type="expression" dxfId="1209" priority="462">
      <formula>$BH160&gt;0</formula>
    </cfRule>
    <cfRule type="expression" dxfId="1208" priority="463">
      <formula>$BH160&gt;$BG$138</formula>
    </cfRule>
    <cfRule type="expression" dxfId="1207" priority="464">
      <formula>$BH160&gt;$BG$137</formula>
    </cfRule>
  </conditionalFormatting>
  <conditionalFormatting sqref="BD112">
    <cfRule type="expression" dxfId="1206" priority="459">
      <formula>$BH161&gt;0</formula>
    </cfRule>
    <cfRule type="expression" dxfId="1205" priority="460">
      <formula>$BH161&gt;$BG$138</formula>
    </cfRule>
    <cfRule type="expression" dxfId="1204" priority="461">
      <formula>$BH161&gt;$BG$137</formula>
    </cfRule>
  </conditionalFormatting>
  <conditionalFormatting sqref="BD113">
    <cfRule type="expression" dxfId="1203" priority="456">
      <formula>$BH162&gt;0</formula>
    </cfRule>
    <cfRule type="expression" dxfId="1202" priority="457">
      <formula>$BH162&gt;$BG$138</formula>
    </cfRule>
    <cfRule type="expression" dxfId="1201" priority="458">
      <formula>$BH162&gt;$BG$137</formula>
    </cfRule>
  </conditionalFormatting>
  <conditionalFormatting sqref="BD114">
    <cfRule type="expression" dxfId="1200" priority="453">
      <formula>$BH163&gt;0</formula>
    </cfRule>
    <cfRule type="expression" dxfId="1199" priority="454">
      <formula>$BH163&gt;$BG$138</formula>
    </cfRule>
    <cfRule type="expression" dxfId="1198" priority="455">
      <formula>$BH163&gt;$BG$137</formula>
    </cfRule>
  </conditionalFormatting>
  <conditionalFormatting sqref="BD115">
    <cfRule type="expression" dxfId="1197" priority="450">
      <formula>$BH164&gt;0</formula>
    </cfRule>
    <cfRule type="expression" dxfId="1196" priority="451">
      <formula>$BH164&gt;$BG$138</formula>
    </cfRule>
    <cfRule type="expression" dxfId="1195" priority="452">
      <formula>$BH164&gt;$BG$137</formula>
    </cfRule>
  </conditionalFormatting>
  <conditionalFormatting sqref="BD116">
    <cfRule type="expression" dxfId="1194" priority="447">
      <formula>$BH165&gt;0</formula>
    </cfRule>
    <cfRule type="expression" dxfId="1193" priority="448">
      <formula>$BH165&gt;$BG$138</formula>
    </cfRule>
    <cfRule type="expression" dxfId="1192" priority="449">
      <formula>$BH165&gt;$BG$137</formula>
    </cfRule>
  </conditionalFormatting>
  <conditionalFormatting sqref="BD117">
    <cfRule type="expression" dxfId="1191" priority="444">
      <formula>$BH166&gt;0</formula>
    </cfRule>
    <cfRule type="expression" dxfId="1190" priority="445">
      <formula>$BH166&gt;$BG$138</formula>
    </cfRule>
    <cfRule type="expression" dxfId="1189" priority="446">
      <formula>$BH166&gt;$BG$137</formula>
    </cfRule>
  </conditionalFormatting>
  <conditionalFormatting sqref="BD118">
    <cfRule type="expression" dxfId="1188" priority="441">
      <formula>$BH167&gt;0</formula>
    </cfRule>
    <cfRule type="expression" dxfId="1187" priority="442">
      <formula>$BH167&gt;$BG$138</formula>
    </cfRule>
    <cfRule type="expression" dxfId="1186" priority="443">
      <formula>$BH167&gt;$BG$137</formula>
    </cfRule>
  </conditionalFormatting>
  <conditionalFormatting sqref="BD119">
    <cfRule type="expression" dxfId="1185" priority="438">
      <formula>$BH168&gt;0</formula>
    </cfRule>
    <cfRule type="expression" dxfId="1184" priority="439">
      <formula>$BH168&gt;$BG$138</formula>
    </cfRule>
    <cfRule type="expression" dxfId="1183" priority="440">
      <formula>$BH168&gt;$BG$137</formula>
    </cfRule>
  </conditionalFormatting>
  <conditionalFormatting sqref="BD120">
    <cfRule type="expression" dxfId="1182" priority="435">
      <formula>$BH169&gt;0</formula>
    </cfRule>
    <cfRule type="expression" dxfId="1181" priority="436">
      <formula>$BH169&gt;$BG$138</formula>
    </cfRule>
    <cfRule type="expression" dxfId="1180" priority="437">
      <formula>$BH169&gt;$BG$137</formula>
    </cfRule>
  </conditionalFormatting>
  <conditionalFormatting sqref="BD121">
    <cfRule type="expression" dxfId="1179" priority="432">
      <formula>$BH170&gt;0</formula>
    </cfRule>
    <cfRule type="expression" dxfId="1178" priority="433">
      <formula>$BH170&gt;$BG$138</formula>
    </cfRule>
    <cfRule type="expression" dxfId="1177" priority="434">
      <formula>$BH170&gt;$BG$137</formula>
    </cfRule>
  </conditionalFormatting>
  <conditionalFormatting sqref="BD122">
    <cfRule type="expression" dxfId="1176" priority="429">
      <formula>$BH171&gt;0</formula>
    </cfRule>
    <cfRule type="expression" dxfId="1175" priority="430">
      <formula>$BH171&gt;$BG$138</formula>
    </cfRule>
    <cfRule type="expression" dxfId="1174" priority="431">
      <formula>$BH171&gt;$BG$137</formula>
    </cfRule>
  </conditionalFormatting>
  <conditionalFormatting sqref="BD123">
    <cfRule type="expression" dxfId="1173" priority="426">
      <formula>$BH172&gt;0</formula>
    </cfRule>
    <cfRule type="expression" dxfId="1172" priority="427">
      <formula>$BH172&gt;$BG$138</formula>
    </cfRule>
    <cfRule type="expression" dxfId="1171" priority="428">
      <formula>$BH172&gt;$BG$137</formula>
    </cfRule>
  </conditionalFormatting>
  <conditionalFormatting sqref="BD124">
    <cfRule type="expression" dxfId="1170" priority="423">
      <formula>$BH173&gt;0</formula>
    </cfRule>
    <cfRule type="expression" dxfId="1169" priority="424">
      <formula>$BH173&gt;$BG$138</formula>
    </cfRule>
    <cfRule type="expression" dxfId="1168" priority="425">
      <formula>$BH173&gt;$BG$137</formula>
    </cfRule>
  </conditionalFormatting>
  <conditionalFormatting sqref="BD125">
    <cfRule type="expression" dxfId="1167" priority="420">
      <formula>$BH174&gt;0</formula>
    </cfRule>
    <cfRule type="expression" dxfId="1166" priority="421">
      <formula>$BH174&gt;$BG$138</formula>
    </cfRule>
    <cfRule type="expression" dxfId="1165" priority="422">
      <formula>$BH174&gt;$BG$137</formula>
    </cfRule>
  </conditionalFormatting>
  <conditionalFormatting sqref="BD126">
    <cfRule type="expression" dxfId="1164" priority="417">
      <formula>$BH175&gt;0</formula>
    </cfRule>
    <cfRule type="expression" dxfId="1163" priority="418">
      <formula>$BH175&gt;$BG$138</formula>
    </cfRule>
    <cfRule type="expression" dxfId="1162" priority="419">
      <formula>$BH175&gt;$BG$137</formula>
    </cfRule>
  </conditionalFormatting>
  <conditionalFormatting sqref="BD127">
    <cfRule type="expression" dxfId="1161" priority="414">
      <formula>$BH176&gt;0</formula>
    </cfRule>
    <cfRule type="expression" dxfId="1160" priority="415">
      <formula>$BH176&gt;$BG$138</formula>
    </cfRule>
    <cfRule type="expression" dxfId="1159" priority="416">
      <formula>$BH176&gt;$BG$137</formula>
    </cfRule>
  </conditionalFormatting>
  <conditionalFormatting sqref="AZ92">
    <cfRule type="expression" dxfId="1158" priority="411">
      <formula>$BH141&gt;$BG$138</formula>
    </cfRule>
    <cfRule type="expression" dxfId="1157" priority="412">
      <formula>$BH141&gt;$BG$137</formula>
    </cfRule>
    <cfRule type="expression" dxfId="1156" priority="413">
      <formula>$BH141&gt;0</formula>
    </cfRule>
  </conditionalFormatting>
  <conditionalFormatting sqref="AZ93">
    <cfRule type="expression" dxfId="1155" priority="399">
      <formula>$BH142&gt;0</formula>
    </cfRule>
    <cfRule type="expression" dxfId="1154" priority="400">
      <formula>$BH142&gt;$BG$138</formula>
    </cfRule>
    <cfRule type="expression" dxfId="1153" priority="401">
      <formula>$BH142&gt;$BG$137</formula>
    </cfRule>
  </conditionalFormatting>
  <conditionalFormatting sqref="AZ94">
    <cfRule type="expression" dxfId="1152" priority="396">
      <formula>$BH143&gt;0</formula>
    </cfRule>
    <cfRule type="expression" dxfId="1151" priority="397">
      <formula>$BH143&gt;$BG$138</formula>
    </cfRule>
    <cfRule type="expression" dxfId="1150" priority="398">
      <formula>$BH143&gt;$BG$137</formula>
    </cfRule>
  </conditionalFormatting>
  <conditionalFormatting sqref="AZ95">
    <cfRule type="expression" dxfId="1149" priority="393">
      <formula>$BH144&gt;0</formula>
    </cfRule>
    <cfRule type="expression" dxfId="1148" priority="394">
      <formula>$BH144&gt;$BG$138</formula>
    </cfRule>
    <cfRule type="expression" dxfId="1147" priority="395">
      <formula>$BH144&gt;$BG$137</formula>
    </cfRule>
  </conditionalFormatting>
  <conditionalFormatting sqref="AZ96">
    <cfRule type="expression" dxfId="1146" priority="390">
      <formula>$BH145&gt;0</formula>
    </cfRule>
    <cfRule type="expression" dxfId="1145" priority="391">
      <formula>$BH145&gt;$BG$138</formula>
    </cfRule>
    <cfRule type="expression" dxfId="1144" priority="392">
      <formula>$BH145&gt;$BG$137</formula>
    </cfRule>
  </conditionalFormatting>
  <conditionalFormatting sqref="AZ97">
    <cfRule type="expression" dxfId="1143" priority="387">
      <formula>$BH146&gt;0</formula>
    </cfRule>
    <cfRule type="expression" dxfId="1142" priority="388">
      <formula>$BH146&gt;$BG$138</formula>
    </cfRule>
    <cfRule type="expression" dxfId="1141" priority="389">
      <formula>$BH146&gt;$BG$137</formula>
    </cfRule>
  </conditionalFormatting>
  <conditionalFormatting sqref="AZ98">
    <cfRule type="expression" dxfId="1140" priority="384">
      <formula>$BH147&gt;0</formula>
    </cfRule>
    <cfRule type="expression" dxfId="1139" priority="385">
      <formula>$BH147&gt;$BG$138</formula>
    </cfRule>
    <cfRule type="expression" dxfId="1138" priority="386">
      <formula>$BH147&gt;$BG$137</formula>
    </cfRule>
  </conditionalFormatting>
  <conditionalFormatting sqref="AZ99">
    <cfRule type="expression" dxfId="1137" priority="381">
      <formula>$BH148&gt;0</formula>
    </cfRule>
    <cfRule type="expression" dxfId="1136" priority="382">
      <formula>$BH148&gt;$BG$138</formula>
    </cfRule>
    <cfRule type="expression" dxfId="1135" priority="383">
      <formula>$BH148&gt;$BG$137</formula>
    </cfRule>
  </conditionalFormatting>
  <conditionalFormatting sqref="AZ100">
    <cfRule type="expression" dxfId="1134" priority="378">
      <formula>$BH149&gt;0</formula>
    </cfRule>
    <cfRule type="expression" dxfId="1133" priority="379">
      <formula>$BH149&gt;$BG$138</formula>
    </cfRule>
    <cfRule type="expression" dxfId="1132" priority="380">
      <formula>$BH149&gt;$BG$137</formula>
    </cfRule>
  </conditionalFormatting>
  <conditionalFormatting sqref="AZ101">
    <cfRule type="expression" dxfId="1131" priority="375">
      <formula>$BH150&gt;0</formula>
    </cfRule>
    <cfRule type="expression" dxfId="1130" priority="376">
      <formula>$BH150&gt;$BG$138</formula>
    </cfRule>
    <cfRule type="expression" dxfId="1129" priority="377">
      <formula>$BH150&gt;$BG$137</formula>
    </cfRule>
  </conditionalFormatting>
  <conditionalFormatting sqref="AZ102">
    <cfRule type="expression" dxfId="1128" priority="372">
      <formula>$BH151&gt;0</formula>
    </cfRule>
    <cfRule type="expression" dxfId="1127" priority="373">
      <formula>$BH151&gt;$BG$138</formula>
    </cfRule>
    <cfRule type="expression" dxfId="1126" priority="374">
      <formula>$BH151&gt;$BG$137</formula>
    </cfRule>
  </conditionalFormatting>
  <conditionalFormatting sqref="AZ103">
    <cfRule type="expression" dxfId="1125" priority="369">
      <formula>$BH152&gt;0</formula>
    </cfRule>
    <cfRule type="expression" dxfId="1124" priority="370">
      <formula>$BH152&gt;$BG$138</formula>
    </cfRule>
    <cfRule type="expression" dxfId="1123" priority="371">
      <formula>$BH152&gt;$BG$137</formula>
    </cfRule>
  </conditionalFormatting>
  <conditionalFormatting sqref="AZ104">
    <cfRule type="expression" dxfId="1122" priority="366">
      <formula>$BH153&gt;0</formula>
    </cfRule>
    <cfRule type="expression" dxfId="1121" priority="367">
      <formula>$BH153&gt;$BG$138</formula>
    </cfRule>
    <cfRule type="expression" dxfId="1120" priority="368">
      <formula>$BH153&gt;$BG$137</formula>
    </cfRule>
  </conditionalFormatting>
  <conditionalFormatting sqref="AZ105">
    <cfRule type="expression" dxfId="1119" priority="363">
      <formula>$BH154&gt;0</formula>
    </cfRule>
    <cfRule type="expression" dxfId="1118" priority="364">
      <formula>$BH154&gt;$BG$138</formula>
    </cfRule>
    <cfRule type="expression" dxfId="1117" priority="365">
      <formula>$BH154&gt;$BG$137</formula>
    </cfRule>
  </conditionalFormatting>
  <conditionalFormatting sqref="AZ106">
    <cfRule type="expression" dxfId="1116" priority="360">
      <formula>$BH155&gt;0</formula>
    </cfRule>
    <cfRule type="expression" dxfId="1115" priority="361">
      <formula>$BH155&gt;$BG$138</formula>
    </cfRule>
    <cfRule type="expression" dxfId="1114" priority="362">
      <formula>$BH155&gt;$BG$137</formula>
    </cfRule>
  </conditionalFormatting>
  <conditionalFormatting sqref="AZ107">
    <cfRule type="expression" dxfId="1113" priority="357">
      <formula>$BH156&gt;0</formula>
    </cfRule>
    <cfRule type="expression" dxfId="1112" priority="358">
      <formula>$BH156&gt;$BG$138</formula>
    </cfRule>
    <cfRule type="expression" dxfId="1111" priority="359">
      <formula>$BH156&gt;$BG$137</formula>
    </cfRule>
  </conditionalFormatting>
  <conditionalFormatting sqref="AZ108">
    <cfRule type="expression" dxfId="1110" priority="354">
      <formula>$BH157&gt;0</formula>
    </cfRule>
    <cfRule type="expression" dxfId="1109" priority="355">
      <formula>$BH157&gt;$BG$138</formula>
    </cfRule>
    <cfRule type="expression" dxfId="1108" priority="356">
      <formula>$BH157&gt;$BG$137</formula>
    </cfRule>
  </conditionalFormatting>
  <conditionalFormatting sqref="AZ109">
    <cfRule type="expression" dxfId="1107" priority="351">
      <formula>$BH158&gt;0</formula>
    </cfRule>
    <cfRule type="expression" dxfId="1106" priority="352">
      <formula>$BH158&gt;$BG$138</formula>
    </cfRule>
    <cfRule type="expression" dxfId="1105" priority="353">
      <formula>$BH158&gt;$BG$137</formula>
    </cfRule>
  </conditionalFormatting>
  <conditionalFormatting sqref="AZ110">
    <cfRule type="expression" dxfId="1104" priority="348">
      <formula>$BH159&gt;0</formula>
    </cfRule>
    <cfRule type="expression" dxfId="1103" priority="349">
      <formula>$BH159&gt;$BG$138</formula>
    </cfRule>
    <cfRule type="expression" dxfId="1102" priority="350">
      <formula>$BH159&gt;$BG$137</formula>
    </cfRule>
  </conditionalFormatting>
  <conditionalFormatting sqref="AZ111">
    <cfRule type="expression" dxfId="1101" priority="345">
      <formula>$BH160&gt;0</formula>
    </cfRule>
    <cfRule type="expression" dxfId="1100" priority="346">
      <formula>$BH160&gt;$BG$138</formula>
    </cfRule>
    <cfRule type="expression" dxfId="1099" priority="347">
      <formula>$BH160&gt;$BG$137</formula>
    </cfRule>
  </conditionalFormatting>
  <conditionalFormatting sqref="AZ112">
    <cfRule type="expression" dxfId="1098" priority="342">
      <formula>$BH161&gt;0</formula>
    </cfRule>
    <cfRule type="expression" dxfId="1097" priority="343">
      <formula>$BH161&gt;$BG$138</formula>
    </cfRule>
    <cfRule type="expression" dxfId="1096" priority="344">
      <formula>$BH161&gt;$BG$137</formula>
    </cfRule>
  </conditionalFormatting>
  <conditionalFormatting sqref="AZ113">
    <cfRule type="expression" dxfId="1095" priority="339">
      <formula>$BH162&gt;0</formula>
    </cfRule>
    <cfRule type="expression" dxfId="1094" priority="340">
      <formula>$BH162&gt;$BG$138</formula>
    </cfRule>
    <cfRule type="expression" dxfId="1093" priority="341">
      <formula>$BH162&gt;$BG$137</formula>
    </cfRule>
  </conditionalFormatting>
  <conditionalFormatting sqref="AZ114">
    <cfRule type="expression" dxfId="1092" priority="336">
      <formula>$BH163&gt;0</formula>
    </cfRule>
    <cfRule type="expression" dxfId="1091" priority="337">
      <formula>$BH163&gt;$BG$138</formula>
    </cfRule>
    <cfRule type="expression" dxfId="1090" priority="338">
      <formula>$BH163&gt;$BG$137</formula>
    </cfRule>
  </conditionalFormatting>
  <conditionalFormatting sqref="AZ115">
    <cfRule type="expression" dxfId="1089" priority="333">
      <formula>$BH164&gt;0</formula>
    </cfRule>
    <cfRule type="expression" dxfId="1088" priority="334">
      <formula>$BH164&gt;$BG$138</formula>
    </cfRule>
    <cfRule type="expression" dxfId="1087" priority="335">
      <formula>$BH164&gt;$BG$137</formula>
    </cfRule>
  </conditionalFormatting>
  <conditionalFormatting sqref="AZ116">
    <cfRule type="expression" dxfId="1086" priority="330">
      <formula>$BH165&gt;0</formula>
    </cfRule>
    <cfRule type="expression" dxfId="1085" priority="331">
      <formula>$BH165&gt;$BG$138</formula>
    </cfRule>
    <cfRule type="expression" dxfId="1084" priority="332">
      <formula>$BH165&gt;$BG$137</formula>
    </cfRule>
  </conditionalFormatting>
  <conditionalFormatting sqref="AZ117">
    <cfRule type="expression" dxfId="1083" priority="327">
      <formula>$BH166&gt;0</formula>
    </cfRule>
    <cfRule type="expression" dxfId="1082" priority="328">
      <formula>$BH166&gt;$BG$138</formula>
    </cfRule>
    <cfRule type="expression" dxfId="1081" priority="329">
      <formula>$BH166&gt;$BG$137</formula>
    </cfRule>
  </conditionalFormatting>
  <conditionalFormatting sqref="AZ118">
    <cfRule type="expression" dxfId="1080" priority="324">
      <formula>$BH167&gt;0</formula>
    </cfRule>
    <cfRule type="expression" dxfId="1079" priority="325">
      <formula>$BH167&gt;$BG$138</formula>
    </cfRule>
    <cfRule type="expression" dxfId="1078" priority="326">
      <formula>$BH167&gt;$BG$137</formula>
    </cfRule>
  </conditionalFormatting>
  <conditionalFormatting sqref="AZ119">
    <cfRule type="expression" dxfId="1077" priority="321">
      <formula>$BH168&gt;0</formula>
    </cfRule>
    <cfRule type="expression" dxfId="1076" priority="322">
      <formula>$BH168&gt;$BG$138</formula>
    </cfRule>
    <cfRule type="expression" dxfId="1075" priority="323">
      <formula>$BH168&gt;$BG$137</formula>
    </cfRule>
  </conditionalFormatting>
  <conditionalFormatting sqref="AZ120">
    <cfRule type="expression" dxfId="1074" priority="318">
      <formula>$BH169&gt;0</formula>
    </cfRule>
    <cfRule type="expression" dxfId="1073" priority="319">
      <formula>$BH169&gt;$BG$138</formula>
    </cfRule>
    <cfRule type="expression" dxfId="1072" priority="320">
      <formula>$BH169&gt;$BG$137</formula>
    </cfRule>
  </conditionalFormatting>
  <conditionalFormatting sqref="AZ121">
    <cfRule type="expression" dxfId="1071" priority="315">
      <formula>$BH170&gt;0</formula>
    </cfRule>
    <cfRule type="expression" dxfId="1070" priority="316">
      <formula>$BH170&gt;$BG$138</formula>
    </cfRule>
    <cfRule type="expression" dxfId="1069" priority="317">
      <formula>$BH170&gt;$BG$137</formula>
    </cfRule>
  </conditionalFormatting>
  <conditionalFormatting sqref="AZ122">
    <cfRule type="expression" dxfId="1068" priority="312">
      <formula>$BH171&gt;0</formula>
    </cfRule>
    <cfRule type="expression" dxfId="1067" priority="313">
      <formula>$BH171&gt;$BG$138</formula>
    </cfRule>
    <cfRule type="expression" dxfId="1066" priority="314">
      <formula>$BH171&gt;$BG$137</formula>
    </cfRule>
  </conditionalFormatting>
  <conditionalFormatting sqref="AZ123">
    <cfRule type="expression" dxfId="1065" priority="309">
      <formula>$BH172&gt;0</formula>
    </cfRule>
    <cfRule type="expression" dxfId="1064" priority="310">
      <formula>$BH172&gt;$BG$138</formula>
    </cfRule>
    <cfRule type="expression" dxfId="1063" priority="311">
      <formula>$BH172&gt;$BG$137</formula>
    </cfRule>
  </conditionalFormatting>
  <conditionalFormatting sqref="AZ124">
    <cfRule type="expression" dxfId="1062" priority="306">
      <formula>$BH173&gt;0</formula>
    </cfRule>
    <cfRule type="expression" dxfId="1061" priority="307">
      <formula>$BH173&gt;$BG$138</formula>
    </cfRule>
    <cfRule type="expression" dxfId="1060" priority="308">
      <formula>$BH173&gt;$BG$137</formula>
    </cfRule>
  </conditionalFormatting>
  <conditionalFormatting sqref="AZ125">
    <cfRule type="expression" dxfId="1059" priority="303">
      <formula>$BH174&gt;0</formula>
    </cfRule>
    <cfRule type="expression" dxfId="1058" priority="304">
      <formula>$BH174&gt;$BG$138</formula>
    </cfRule>
    <cfRule type="expression" dxfId="1057" priority="305">
      <formula>$BH174&gt;$BG$137</formula>
    </cfRule>
  </conditionalFormatting>
  <conditionalFormatting sqref="AZ126">
    <cfRule type="expression" dxfId="1056" priority="300">
      <formula>$BH175&gt;0</formula>
    </cfRule>
    <cfRule type="expression" dxfId="1055" priority="301">
      <formula>$BH175&gt;$BG$138</formula>
    </cfRule>
    <cfRule type="expression" dxfId="1054" priority="302">
      <formula>$BH175&gt;$BG$137</formula>
    </cfRule>
  </conditionalFormatting>
  <conditionalFormatting sqref="AZ127">
    <cfRule type="expression" dxfId="1053" priority="297">
      <formula>$BH176&gt;0</formula>
    </cfRule>
    <cfRule type="expression" dxfId="1052" priority="298">
      <formula>$BH176&gt;$BG$138</formula>
    </cfRule>
    <cfRule type="expression" dxfId="1051" priority="299">
      <formula>$BH176&gt;$BG$137</formula>
    </cfRule>
  </conditionalFormatting>
  <conditionalFormatting sqref="BC128">
    <cfRule type="expression" dxfId="1050" priority="203">
      <formula>$AV197&gt;$AU$158</formula>
    </cfRule>
    <cfRule type="expression" dxfId="1049" priority="204">
      <formula>$AV197&gt;$AU$157</formula>
    </cfRule>
  </conditionalFormatting>
  <conditionalFormatting sqref="BC127">
    <cfRule type="expression" dxfId="1048" priority="201">
      <formula>$AV196&gt;$AU$158</formula>
    </cfRule>
    <cfRule type="expression" dxfId="1047" priority="202">
      <formula>$AV196&gt;$AU$157</formula>
    </cfRule>
  </conditionalFormatting>
  <conditionalFormatting sqref="BC126">
    <cfRule type="expression" dxfId="1046" priority="199">
      <formula>$AV195&gt;$AU$158</formula>
    </cfRule>
    <cfRule type="expression" dxfId="1045" priority="200">
      <formula>$AV195&gt;$AU$157</formula>
    </cfRule>
  </conditionalFormatting>
  <conditionalFormatting sqref="BC125">
    <cfRule type="expression" dxfId="1044" priority="197">
      <formula>$AV194&gt;$AU$158</formula>
    </cfRule>
    <cfRule type="expression" dxfId="1043" priority="198">
      <formula>$AV194&gt;$AU$157</formula>
    </cfRule>
  </conditionalFormatting>
  <conditionalFormatting sqref="BC124">
    <cfRule type="expression" dxfId="1042" priority="195">
      <formula>$AV193&gt;$AU$158</formula>
    </cfRule>
    <cfRule type="expression" dxfId="1041" priority="196">
      <formula>$AV193&gt;$AU$157</formula>
    </cfRule>
  </conditionalFormatting>
  <conditionalFormatting sqref="BC123">
    <cfRule type="expression" dxfId="1040" priority="193">
      <formula>$AV192&gt;$AU$158</formula>
    </cfRule>
    <cfRule type="expression" dxfId="1039" priority="194">
      <formula>$AV192&gt;$AU$157</formula>
    </cfRule>
  </conditionalFormatting>
  <conditionalFormatting sqref="BC122">
    <cfRule type="expression" dxfId="1038" priority="191">
      <formula>$AV191&gt;$AU$158</formula>
    </cfRule>
    <cfRule type="expression" dxfId="1037" priority="192">
      <formula>$AV191&gt;$AU$157</formula>
    </cfRule>
  </conditionalFormatting>
  <conditionalFormatting sqref="BC121">
    <cfRule type="expression" dxfId="1036" priority="189">
      <formula>$AV190&gt;$AU$158</formula>
    </cfRule>
    <cfRule type="expression" dxfId="1035" priority="190">
      <formula>$AV190&gt;$AU$157</formula>
    </cfRule>
  </conditionalFormatting>
  <conditionalFormatting sqref="BC120">
    <cfRule type="expression" dxfId="1034" priority="187">
      <formula>$AV189&gt;$AU$158</formula>
    </cfRule>
    <cfRule type="expression" dxfId="1033" priority="188">
      <formula>$AV189&gt;$AU$157</formula>
    </cfRule>
  </conditionalFormatting>
  <conditionalFormatting sqref="BC119">
    <cfRule type="expression" dxfId="1032" priority="185">
      <formula>$AV188&gt;$AU$158</formula>
    </cfRule>
    <cfRule type="expression" dxfId="1031" priority="186">
      <formula>$AV188&gt;$AU$157</formula>
    </cfRule>
  </conditionalFormatting>
  <conditionalFormatting sqref="BC118">
    <cfRule type="expression" dxfId="1030" priority="183">
      <formula>$AV187&gt;$AU$158</formula>
    </cfRule>
    <cfRule type="expression" dxfId="1029" priority="184">
      <formula>$AV187&gt;$AU$157</formula>
    </cfRule>
  </conditionalFormatting>
  <conditionalFormatting sqref="BC117">
    <cfRule type="expression" dxfId="1028" priority="181">
      <formula>$AV186&gt;$AU$158</formula>
    </cfRule>
    <cfRule type="expression" dxfId="1027" priority="182">
      <formula>$AV186&gt;$AU$157</formula>
    </cfRule>
  </conditionalFormatting>
  <conditionalFormatting sqref="BC116">
    <cfRule type="expression" dxfId="1026" priority="179">
      <formula>$AV185&gt;$AU$158</formula>
    </cfRule>
    <cfRule type="expression" dxfId="1025" priority="180">
      <formula>$AV185&gt;$AU$157</formula>
    </cfRule>
  </conditionalFormatting>
  <conditionalFormatting sqref="BC115">
    <cfRule type="expression" dxfId="1024" priority="177">
      <formula>$AV184&gt;$AU$158</formula>
    </cfRule>
    <cfRule type="expression" dxfId="1023" priority="178">
      <formula>$AV184&gt;$AU$157</formula>
    </cfRule>
  </conditionalFormatting>
  <conditionalFormatting sqref="BC114">
    <cfRule type="expression" dxfId="1022" priority="175">
      <formula>$AV183&gt;$AU$158</formula>
    </cfRule>
    <cfRule type="expression" dxfId="1021" priority="176">
      <formula>$AV183&gt;$AU$157</formula>
    </cfRule>
  </conditionalFormatting>
  <conditionalFormatting sqref="BC113">
    <cfRule type="expression" dxfId="1020" priority="173">
      <formula>$AV182&gt;$AU$158</formula>
    </cfRule>
    <cfRule type="expression" dxfId="1019" priority="174">
      <formula>$AV182&gt;$AU$157</formula>
    </cfRule>
  </conditionalFormatting>
  <conditionalFormatting sqref="BC112">
    <cfRule type="expression" dxfId="1018" priority="171">
      <formula>$AV181&gt;$AU$158</formula>
    </cfRule>
    <cfRule type="expression" dxfId="1017" priority="172">
      <formula>$AV181&gt;$AU$157</formula>
    </cfRule>
  </conditionalFormatting>
  <conditionalFormatting sqref="BC111">
    <cfRule type="expression" dxfId="1016" priority="169">
      <formula>$AV180&gt;$AU$158</formula>
    </cfRule>
    <cfRule type="expression" dxfId="1015" priority="170">
      <formula>$AV180&gt;$AU$157</formula>
    </cfRule>
  </conditionalFormatting>
  <conditionalFormatting sqref="BC110">
    <cfRule type="expression" dxfId="1014" priority="167">
      <formula>$AV179&gt;$AU$158</formula>
    </cfRule>
    <cfRule type="expression" dxfId="1013" priority="168">
      <formula>$AV179&gt;$AU$157</formula>
    </cfRule>
  </conditionalFormatting>
  <conditionalFormatting sqref="BC109">
    <cfRule type="expression" dxfId="1012" priority="165">
      <formula>$AV178&gt;$AU$158</formula>
    </cfRule>
    <cfRule type="expression" dxfId="1011" priority="166">
      <formula>$AV178&gt;$AU$157</formula>
    </cfRule>
  </conditionalFormatting>
  <conditionalFormatting sqref="BC108">
    <cfRule type="expression" dxfId="1010" priority="163">
      <formula>$AV177&gt;$AU$158</formula>
    </cfRule>
    <cfRule type="expression" dxfId="1009" priority="164">
      <formula>$AV177&gt;$AU$157</formula>
    </cfRule>
  </conditionalFormatting>
  <conditionalFormatting sqref="BC107">
    <cfRule type="expression" dxfId="1008" priority="161">
      <formula>$AV176&gt;$AU$158</formula>
    </cfRule>
    <cfRule type="expression" dxfId="1007" priority="162">
      <formula>$AV176&gt;$AU$157</formula>
    </cfRule>
  </conditionalFormatting>
  <conditionalFormatting sqref="BC106">
    <cfRule type="expression" dxfId="1006" priority="159">
      <formula>$AV175&gt;$AU$158</formula>
    </cfRule>
    <cfRule type="expression" dxfId="1005" priority="160">
      <formula>$AV175&gt;$AU$157</formula>
    </cfRule>
  </conditionalFormatting>
  <conditionalFormatting sqref="BC105">
    <cfRule type="expression" dxfId="1004" priority="157">
      <formula>$AV174&gt;$AU$158</formula>
    </cfRule>
    <cfRule type="expression" dxfId="1003" priority="158">
      <formula>$AV174&gt;$AU$157</formula>
    </cfRule>
  </conditionalFormatting>
  <conditionalFormatting sqref="BC104">
    <cfRule type="expression" dxfId="1002" priority="155">
      <formula>$AV173&gt;$AU$158</formula>
    </cfRule>
    <cfRule type="expression" dxfId="1001" priority="156">
      <formula>$AV173&gt;$AU$157</formula>
    </cfRule>
  </conditionalFormatting>
  <conditionalFormatting sqref="BC103">
    <cfRule type="expression" dxfId="1000" priority="153">
      <formula>$AV172&gt;$AU$158</formula>
    </cfRule>
    <cfRule type="expression" dxfId="999" priority="154">
      <formula>$AV172&gt;$AU$157</formula>
    </cfRule>
  </conditionalFormatting>
  <conditionalFormatting sqref="BC102">
    <cfRule type="expression" dxfId="998" priority="151">
      <formula>$AV171&gt;$AU$158</formula>
    </cfRule>
    <cfRule type="expression" dxfId="997" priority="152">
      <formula>$AV171&gt;$AU$157</formula>
    </cfRule>
  </conditionalFormatting>
  <conditionalFormatting sqref="BC101">
    <cfRule type="expression" dxfId="996" priority="149">
      <formula>$AV170&gt;$AU$158</formula>
    </cfRule>
    <cfRule type="expression" dxfId="995" priority="150">
      <formula>$AV170&gt;$AU$157</formula>
    </cfRule>
  </conditionalFormatting>
  <conditionalFormatting sqref="BC100">
    <cfRule type="expression" dxfId="994" priority="147">
      <formula>$AV169&gt;$AU$158</formula>
    </cfRule>
    <cfRule type="expression" dxfId="993" priority="148">
      <formula>$AV169&gt;$AU$157</formula>
    </cfRule>
  </conditionalFormatting>
  <conditionalFormatting sqref="BC99">
    <cfRule type="expression" dxfId="992" priority="145">
      <formula>$AV168&gt;$AU$158</formula>
    </cfRule>
    <cfRule type="expression" dxfId="991" priority="146">
      <formula>$AV168&gt;$AU$157</formula>
    </cfRule>
  </conditionalFormatting>
  <conditionalFormatting sqref="BC98">
    <cfRule type="expression" dxfId="990" priority="143">
      <formula>$AV167&gt;$AU$158</formula>
    </cfRule>
    <cfRule type="expression" dxfId="989" priority="144">
      <formula>$AV167&gt;$AU$157</formula>
    </cfRule>
  </conditionalFormatting>
  <conditionalFormatting sqref="BC97">
    <cfRule type="expression" dxfId="988" priority="141">
      <formula>$AV166&gt;$AU$158</formula>
    </cfRule>
    <cfRule type="expression" dxfId="987" priority="142">
      <formula>$AV166&gt;$AU$157</formula>
    </cfRule>
  </conditionalFormatting>
  <conditionalFormatting sqref="BC96">
    <cfRule type="expression" dxfId="986" priority="139">
      <formula>$AV165&gt;$AU$158</formula>
    </cfRule>
    <cfRule type="expression" dxfId="985" priority="140">
      <formula>$AV165&gt;$AU$157</formula>
    </cfRule>
  </conditionalFormatting>
  <conditionalFormatting sqref="BC95">
    <cfRule type="expression" dxfId="984" priority="137">
      <formula>$AV164&gt;$AU$158</formula>
    </cfRule>
    <cfRule type="expression" dxfId="983" priority="138">
      <formula>$AV164&gt;$AU$157</formula>
    </cfRule>
  </conditionalFormatting>
  <conditionalFormatting sqref="BC94">
    <cfRule type="expression" dxfId="982" priority="135">
      <formula>$AV163&gt;$AU$158</formula>
    </cfRule>
    <cfRule type="expression" dxfId="981" priority="136">
      <formula>$AV163&gt;$AU$157</formula>
    </cfRule>
  </conditionalFormatting>
  <conditionalFormatting sqref="BC93">
    <cfRule type="expression" dxfId="980" priority="133">
      <formula>$AV162&gt;$AU$158</formula>
    </cfRule>
    <cfRule type="expression" dxfId="979" priority="134">
      <formula>$AV162&gt;$AU$157</formula>
    </cfRule>
  </conditionalFormatting>
  <conditionalFormatting sqref="BC92">
    <cfRule type="expression" dxfId="978" priority="131">
      <formula>$AV161&gt;$AU$158</formula>
    </cfRule>
    <cfRule type="expression" dxfId="977" priority="132">
      <formula>$AV161&gt;$AU$157</formula>
    </cfRule>
  </conditionalFormatting>
  <conditionalFormatting sqref="BC91">
    <cfRule type="expression" dxfId="976" priority="129">
      <formula>$AV160&gt;$AU$158</formula>
    </cfRule>
    <cfRule type="expression" dxfId="975" priority="130">
      <formula>$AV160+1&gt;$AU$157</formula>
    </cfRule>
  </conditionalFormatting>
  <conditionalFormatting sqref="BA128">
    <cfRule type="expression" dxfId="974" priority="127">
      <formula>$AV197&gt;$AU$158</formula>
    </cfRule>
    <cfRule type="expression" dxfId="973" priority="128">
      <formula>$AV197&gt;$AU$157</formula>
    </cfRule>
  </conditionalFormatting>
  <conditionalFormatting sqref="BA127">
    <cfRule type="expression" dxfId="972" priority="125">
      <formula>$AV196&gt;$AU$158</formula>
    </cfRule>
    <cfRule type="expression" dxfId="971" priority="126">
      <formula>$AV196&gt;$AU$157</formula>
    </cfRule>
  </conditionalFormatting>
  <conditionalFormatting sqref="BA126">
    <cfRule type="expression" dxfId="970" priority="123">
      <formula>$AV195&gt;$AU$158</formula>
    </cfRule>
    <cfRule type="expression" dxfId="969" priority="124">
      <formula>$AV195&gt;$AU$157</formula>
    </cfRule>
  </conditionalFormatting>
  <conditionalFormatting sqref="BA125">
    <cfRule type="expression" dxfId="968" priority="121">
      <formula>$AV194&gt;$AU$158</formula>
    </cfRule>
    <cfRule type="expression" dxfId="967" priority="122">
      <formula>$AV194&gt;$AU$157</formula>
    </cfRule>
  </conditionalFormatting>
  <conditionalFormatting sqref="BA124">
    <cfRule type="expression" dxfId="966" priority="119">
      <formula>$AV193&gt;$AU$158</formula>
    </cfRule>
    <cfRule type="expression" dxfId="965" priority="120">
      <formula>$AV193&gt;$AU$157</formula>
    </cfRule>
  </conditionalFormatting>
  <conditionalFormatting sqref="BA123">
    <cfRule type="expression" dxfId="964" priority="117">
      <formula>$AV192&gt;$AU$158</formula>
    </cfRule>
    <cfRule type="expression" dxfId="963" priority="118">
      <formula>$AV192&gt;$AU$157</formula>
    </cfRule>
  </conditionalFormatting>
  <conditionalFormatting sqref="BA122">
    <cfRule type="expression" dxfId="962" priority="115">
      <formula>$AV191&gt;$AU$158</formula>
    </cfRule>
    <cfRule type="expression" dxfId="961" priority="116">
      <formula>$AV191&gt;$AU$157</formula>
    </cfRule>
  </conditionalFormatting>
  <conditionalFormatting sqref="BA121">
    <cfRule type="expression" dxfId="960" priority="113">
      <formula>$AV190&gt;$AU$158</formula>
    </cfRule>
    <cfRule type="expression" dxfId="959" priority="114">
      <formula>$AV190&gt;$AU$157</formula>
    </cfRule>
  </conditionalFormatting>
  <conditionalFormatting sqref="BA120">
    <cfRule type="expression" dxfId="958" priority="111">
      <formula>$AV189&gt;$AU$158</formula>
    </cfRule>
    <cfRule type="expression" dxfId="957" priority="112">
      <formula>$AV189&gt;$AU$157</formula>
    </cfRule>
  </conditionalFormatting>
  <conditionalFormatting sqref="BA119">
    <cfRule type="expression" dxfId="956" priority="109">
      <formula>$AV188&gt;$AU$158</formula>
    </cfRule>
    <cfRule type="expression" dxfId="955" priority="110">
      <formula>$AV188&gt;$AU$157</formula>
    </cfRule>
  </conditionalFormatting>
  <conditionalFormatting sqref="BA118">
    <cfRule type="expression" dxfId="954" priority="107">
      <formula>$AV187&gt;$AU$158</formula>
    </cfRule>
    <cfRule type="expression" dxfId="953" priority="108">
      <formula>$AV187&gt;$AU$157</formula>
    </cfRule>
  </conditionalFormatting>
  <conditionalFormatting sqref="BA117">
    <cfRule type="expression" dxfId="952" priority="105">
      <formula>$AV186&gt;$AU$158</formula>
    </cfRule>
    <cfRule type="expression" dxfId="951" priority="106">
      <formula>$AV186&gt;$AU$157</formula>
    </cfRule>
  </conditionalFormatting>
  <conditionalFormatting sqref="BA116">
    <cfRule type="expression" dxfId="950" priority="103">
      <formula>$AV185&gt;$AU$158</formula>
    </cfRule>
    <cfRule type="expression" dxfId="949" priority="104">
      <formula>$AV185&gt;$AU$157</formula>
    </cfRule>
  </conditionalFormatting>
  <conditionalFormatting sqref="BA115">
    <cfRule type="expression" dxfId="948" priority="101">
      <formula>$AV184&gt;$AU$158</formula>
    </cfRule>
    <cfRule type="expression" dxfId="947" priority="102">
      <formula>$AV184&gt;$AU$157</formula>
    </cfRule>
  </conditionalFormatting>
  <conditionalFormatting sqref="BA114">
    <cfRule type="expression" dxfId="946" priority="99">
      <formula>$AV183&gt;$AU$158</formula>
    </cfRule>
    <cfRule type="expression" dxfId="945" priority="100">
      <formula>$AV183&gt;$AU$157</formula>
    </cfRule>
  </conditionalFormatting>
  <conditionalFormatting sqref="BA113">
    <cfRule type="expression" dxfId="944" priority="97">
      <formula>$AV182&gt;$AU$158</formula>
    </cfRule>
    <cfRule type="expression" dxfId="943" priority="98">
      <formula>$AV182&gt;$AU$157</formula>
    </cfRule>
  </conditionalFormatting>
  <conditionalFormatting sqref="BA112">
    <cfRule type="expression" dxfId="942" priority="95">
      <formula>$AV181&gt;$AU$158</formula>
    </cfRule>
    <cfRule type="expression" dxfId="941" priority="96">
      <formula>$AV181&gt;$AU$157</formula>
    </cfRule>
  </conditionalFormatting>
  <conditionalFormatting sqref="BA111">
    <cfRule type="expression" dxfId="940" priority="93">
      <formula>$AV180&gt;$AU$158</formula>
    </cfRule>
    <cfRule type="expression" dxfId="939" priority="94">
      <formula>$AV180&gt;$AU$157</formula>
    </cfRule>
  </conditionalFormatting>
  <conditionalFormatting sqref="BA110">
    <cfRule type="expression" dxfId="938" priority="91">
      <formula>$AV179&gt;$AU$158</formula>
    </cfRule>
    <cfRule type="expression" dxfId="937" priority="92">
      <formula>$AV179&gt;$AU$157</formula>
    </cfRule>
  </conditionalFormatting>
  <conditionalFormatting sqref="BA109">
    <cfRule type="expression" dxfId="936" priority="89">
      <formula>$AV178&gt;$AU$158</formula>
    </cfRule>
    <cfRule type="expression" dxfId="935" priority="90">
      <formula>$AV178&gt;$AU$157</formula>
    </cfRule>
  </conditionalFormatting>
  <conditionalFormatting sqref="BA108">
    <cfRule type="expression" dxfId="934" priority="87">
      <formula>$AV177&gt;$AU$158</formula>
    </cfRule>
    <cfRule type="expression" dxfId="933" priority="88">
      <formula>$AV177&gt;$AU$157</formula>
    </cfRule>
  </conditionalFormatting>
  <conditionalFormatting sqref="BA107">
    <cfRule type="expression" dxfId="932" priority="85">
      <formula>$AV176&gt;$AU$158</formula>
    </cfRule>
    <cfRule type="expression" dxfId="931" priority="86">
      <formula>$AV176&gt;$AU$157</formula>
    </cfRule>
  </conditionalFormatting>
  <conditionalFormatting sqref="BA106">
    <cfRule type="expression" dxfId="930" priority="83">
      <formula>$AV175&gt;$AU$158</formula>
    </cfRule>
    <cfRule type="expression" dxfId="929" priority="84">
      <formula>$AV175&gt;$AU$157</formula>
    </cfRule>
  </conditionalFormatting>
  <conditionalFormatting sqref="BA105">
    <cfRule type="expression" dxfId="928" priority="81">
      <formula>$AV174&gt;$AU$158</formula>
    </cfRule>
    <cfRule type="expression" dxfId="927" priority="82">
      <formula>$AV174&gt;$AU$157</formula>
    </cfRule>
  </conditionalFormatting>
  <conditionalFormatting sqref="BA104">
    <cfRule type="expression" dxfId="926" priority="79">
      <formula>$AV173&gt;$AU$158</formula>
    </cfRule>
    <cfRule type="expression" dxfId="925" priority="80">
      <formula>$AV173&gt;$AU$157</formula>
    </cfRule>
  </conditionalFormatting>
  <conditionalFormatting sqref="BA103">
    <cfRule type="expression" dxfId="924" priority="77">
      <formula>$AV172&gt;$AU$158</formula>
    </cfRule>
    <cfRule type="expression" dxfId="923" priority="78">
      <formula>$AV172&gt;$AU$157</formula>
    </cfRule>
  </conditionalFormatting>
  <conditionalFormatting sqref="BA102">
    <cfRule type="expression" dxfId="922" priority="75">
      <formula>$AV171&gt;$AU$158</formula>
    </cfRule>
    <cfRule type="expression" dxfId="921" priority="76">
      <formula>$AV171&gt;$AU$157</formula>
    </cfRule>
  </conditionalFormatting>
  <conditionalFormatting sqref="BA101">
    <cfRule type="expression" dxfId="920" priority="73">
      <formula>$AV170&gt;$AU$158</formula>
    </cfRule>
    <cfRule type="expression" dxfId="919" priority="74">
      <formula>$AV170&gt;$AU$157</formula>
    </cfRule>
  </conditionalFormatting>
  <conditionalFormatting sqref="BA100">
    <cfRule type="expression" dxfId="918" priority="71">
      <formula>$AV169&gt;$AU$158</formula>
    </cfRule>
    <cfRule type="expression" dxfId="917" priority="72">
      <formula>$AV169&gt;$AU$157</formula>
    </cfRule>
  </conditionalFormatting>
  <conditionalFormatting sqref="BA99">
    <cfRule type="expression" dxfId="916" priority="69">
      <formula>$AV168&gt;$AU$158</formula>
    </cfRule>
    <cfRule type="expression" dxfId="915" priority="70">
      <formula>$AV168&gt;$AU$157</formula>
    </cfRule>
  </conditionalFormatting>
  <conditionalFormatting sqref="BA98">
    <cfRule type="expression" dxfId="914" priority="67">
      <formula>$AV167&gt;$AU$158</formula>
    </cfRule>
    <cfRule type="expression" dxfId="913" priority="68">
      <formula>$AV167&gt;$AU$157</formula>
    </cfRule>
  </conditionalFormatting>
  <conditionalFormatting sqref="BA97">
    <cfRule type="expression" dxfId="912" priority="65">
      <formula>$AV166&gt;$AU$158</formula>
    </cfRule>
    <cfRule type="expression" dxfId="911" priority="66">
      <formula>$AV166&gt;$AU$157</formula>
    </cfRule>
  </conditionalFormatting>
  <conditionalFormatting sqref="BA96">
    <cfRule type="expression" dxfId="910" priority="63">
      <formula>$AV165&gt;$AU$158</formula>
    </cfRule>
    <cfRule type="expression" dxfId="909" priority="64">
      <formula>$AV165&gt;$AU$157</formula>
    </cfRule>
  </conditionalFormatting>
  <conditionalFormatting sqref="BA95">
    <cfRule type="expression" dxfId="908" priority="61">
      <formula>$AV164&gt;$AU$158</formula>
    </cfRule>
    <cfRule type="expression" dxfId="907" priority="62">
      <formula>$AV164&gt;$AU$157</formula>
    </cfRule>
  </conditionalFormatting>
  <conditionalFormatting sqref="BA94">
    <cfRule type="expression" dxfId="906" priority="59">
      <formula>$AV163&gt;$AU$158</formula>
    </cfRule>
    <cfRule type="expression" dxfId="905" priority="60">
      <formula>$AV163&gt;$AU$157</formula>
    </cfRule>
  </conditionalFormatting>
  <conditionalFormatting sqref="BA93">
    <cfRule type="expression" dxfId="904" priority="57">
      <formula>$AV162&gt;$AU$158</formula>
    </cfRule>
    <cfRule type="expression" dxfId="903" priority="58">
      <formula>$AV162&gt;$AU$157</formula>
    </cfRule>
  </conditionalFormatting>
  <conditionalFormatting sqref="BA92">
    <cfRule type="expression" dxfId="902" priority="55">
      <formula>$AV161&gt;$AU$158</formula>
    </cfRule>
    <cfRule type="expression" dxfId="901" priority="56">
      <formula>$AV161&gt;$AU$157</formula>
    </cfRule>
  </conditionalFormatting>
  <conditionalFormatting sqref="BA91">
    <cfRule type="expression" dxfId="900" priority="53">
      <formula>$AV160&gt;$AU$158</formula>
    </cfRule>
    <cfRule type="expression" dxfId="899" priority="54">
      <formula>$AV160&gt;$AU$157</formula>
    </cfRule>
  </conditionalFormatting>
  <conditionalFormatting sqref="AY93">
    <cfRule type="expression" dxfId="898" priority="50">
      <formula>$AV142&gt;0</formula>
    </cfRule>
    <cfRule type="expression" dxfId="897" priority="51">
      <formula>$AV142&gt;$AU$138</formula>
    </cfRule>
    <cfRule type="expression" dxfId="896" priority="52">
      <formula>$AV142&gt;$AU$137</formula>
    </cfRule>
  </conditionalFormatting>
  <conditionalFormatting sqref="AY94">
    <cfRule type="expression" dxfId="895" priority="47">
      <formula>$AV143&gt;0</formula>
    </cfRule>
    <cfRule type="expression" dxfId="894" priority="48">
      <formula>$AV143&gt;$AU$138</formula>
    </cfRule>
    <cfRule type="expression" dxfId="893" priority="49">
      <formula>$AV143&gt;$AU$137</formula>
    </cfRule>
  </conditionalFormatting>
  <conditionalFormatting sqref="AY95">
    <cfRule type="expression" dxfId="892" priority="44">
      <formula>$AV144&gt;0</formula>
    </cfRule>
    <cfRule type="expression" dxfId="891" priority="45">
      <formula>$AV144&gt;$AU$138</formula>
    </cfRule>
    <cfRule type="expression" dxfId="890" priority="46">
      <formula>$AV144&gt;$AU$137</formula>
    </cfRule>
  </conditionalFormatting>
  <conditionalFormatting sqref="AY96">
    <cfRule type="expression" dxfId="889" priority="41">
      <formula>$AV145&gt;0</formula>
    </cfRule>
    <cfRule type="expression" dxfId="888" priority="42">
      <formula>$AV145&gt;$AU$138</formula>
    </cfRule>
    <cfRule type="expression" dxfId="887" priority="43">
      <formula>$AV145&gt;$AU$137</formula>
    </cfRule>
  </conditionalFormatting>
  <conditionalFormatting sqref="AY97">
    <cfRule type="expression" dxfId="886" priority="38">
      <formula>$AV146&gt;0</formula>
    </cfRule>
    <cfRule type="expression" dxfId="885" priority="39">
      <formula>$AV146&gt;$AU$138</formula>
    </cfRule>
    <cfRule type="expression" dxfId="884" priority="40">
      <formula>$AV146&gt;$AU$137</formula>
    </cfRule>
  </conditionalFormatting>
  <conditionalFormatting sqref="AY98">
    <cfRule type="expression" dxfId="883" priority="35">
      <formula>$AV147&gt;0</formula>
    </cfRule>
    <cfRule type="expression" dxfId="882" priority="36">
      <formula>$AV147&gt;$AU$138</formula>
    </cfRule>
    <cfRule type="expression" dxfId="881" priority="37">
      <formula>$AV147&gt;$AU$137</formula>
    </cfRule>
  </conditionalFormatting>
  <conditionalFormatting sqref="AY99">
    <cfRule type="expression" dxfId="880" priority="32">
      <formula>$AV148&gt;0</formula>
    </cfRule>
    <cfRule type="expression" dxfId="879" priority="33">
      <formula>$AV148&gt;$AU$138</formula>
    </cfRule>
    <cfRule type="expression" dxfId="878" priority="34">
      <formula>$AV148&gt;$AU$137</formula>
    </cfRule>
  </conditionalFormatting>
  <conditionalFormatting sqref="AY100">
    <cfRule type="expression" dxfId="877" priority="29">
      <formula>$AV149&gt;0</formula>
    </cfRule>
    <cfRule type="expression" dxfId="876" priority="30">
      <formula>$AV149&gt;$AU$138</formula>
    </cfRule>
    <cfRule type="expression" dxfId="875" priority="31">
      <formula>$AV149&gt;$AU$137</formula>
    </cfRule>
  </conditionalFormatting>
  <conditionalFormatting sqref="AY101">
    <cfRule type="expression" dxfId="874" priority="26">
      <formula>$AV150&gt;0</formula>
    </cfRule>
    <cfRule type="expression" dxfId="873" priority="27">
      <formula>$AV150&gt;$AU$138</formula>
    </cfRule>
    <cfRule type="expression" dxfId="872" priority="28">
      <formula>$AV150&gt;$AU$137</formula>
    </cfRule>
  </conditionalFormatting>
  <conditionalFormatting sqref="AY102">
    <cfRule type="expression" dxfId="871" priority="23">
      <formula>$AV151&gt;0</formula>
    </cfRule>
    <cfRule type="expression" dxfId="870" priority="24">
      <formula>$AV151&gt;$AU$138</formula>
    </cfRule>
    <cfRule type="expression" dxfId="869" priority="25">
      <formula>$AV151&gt;$AU$137</formula>
    </cfRule>
  </conditionalFormatting>
  <conditionalFormatting sqref="AY103">
    <cfRule type="expression" dxfId="868" priority="20">
      <formula>$AV152&gt;0</formula>
    </cfRule>
    <cfRule type="expression" dxfId="867" priority="21">
      <formula>$AV152&gt;$AU$138</formula>
    </cfRule>
    <cfRule type="expression" dxfId="866" priority="22">
      <formula>$AV152&gt;$AU$137</formula>
    </cfRule>
  </conditionalFormatting>
  <conditionalFormatting sqref="BS91">
    <cfRule type="expression" dxfId="865" priority="2940">
      <formula>$BZ$115&lt;$BM182+1</formula>
    </cfRule>
  </conditionalFormatting>
  <conditionalFormatting sqref="BS92:BS127">
    <cfRule type="expression" dxfId="864" priority="2941">
      <formula>$BT92="X"</formula>
    </cfRule>
    <cfRule type="expression" dxfId="863" priority="2942">
      <formula>$BZ$115&lt;$BM183+1</formula>
    </cfRule>
  </conditionalFormatting>
  <conditionalFormatting sqref="AT120:AX120">
    <cfRule type="expression" dxfId="862" priority="14">
      <formula>$AF$119="' MD"</formula>
    </cfRule>
  </conditionalFormatting>
  <conditionalFormatting sqref="AT121:AX121">
    <cfRule type="expression" dxfId="861" priority="13">
      <formula>$AF$119="' MD"</formula>
    </cfRule>
  </conditionalFormatting>
  <conditionalFormatting sqref="AT120:AT121">
    <cfRule type="expression" dxfId="860" priority="12">
      <formula>$AF$119="' MD"</formula>
    </cfRule>
  </conditionalFormatting>
  <conditionalFormatting sqref="AW120:AX121">
    <cfRule type="expression" dxfId="859" priority="11">
      <formula>$AF$119="' MD"</formula>
    </cfRule>
  </conditionalFormatting>
  <conditionalFormatting sqref="BK119:BO119 BK121:BO121">
    <cfRule type="expression" dxfId="858" priority="10">
      <formula>$AF$119="' MD"</formula>
    </cfRule>
  </conditionalFormatting>
  <conditionalFormatting sqref="BK120:BK121">
    <cfRule type="expression" dxfId="857" priority="9">
      <formula>$AF$119="' MD"</formula>
    </cfRule>
  </conditionalFormatting>
  <conditionalFormatting sqref="BN120:BO121">
    <cfRule type="expression" dxfId="856" priority="8">
      <formula>$AF$119="' MD"</formula>
    </cfRule>
  </conditionalFormatting>
  <conditionalFormatting sqref="CB119:CF119 CB121:CF121">
    <cfRule type="expression" dxfId="855" priority="7">
      <formula>$AF$119="' MD"</formula>
    </cfRule>
  </conditionalFormatting>
  <conditionalFormatting sqref="CB120:CB121">
    <cfRule type="expression" dxfId="854" priority="6">
      <formula>$AF$119="' MD"</formula>
    </cfRule>
  </conditionalFormatting>
  <conditionalFormatting sqref="CE120:CF121">
    <cfRule type="expression" dxfId="853" priority="5">
      <formula>$AF$119="' MD"</formula>
    </cfRule>
  </conditionalFormatting>
  <conditionalFormatting sqref="AC119:AG119 AC121:AG121">
    <cfRule type="expression" dxfId="852" priority="4">
      <formula>$AF$119="' MD"</formula>
    </cfRule>
  </conditionalFormatting>
  <conditionalFormatting sqref="AC120:AC121">
    <cfRule type="expression" dxfId="851" priority="3">
      <formula>$AF$119="' MD"</formula>
    </cfRule>
  </conditionalFormatting>
  <conditionalFormatting sqref="AF120:AG121">
    <cfRule type="expression" dxfId="850" priority="2">
      <formula>$AF$119="' MD"</formula>
    </cfRule>
  </conditionalFormatting>
  <conditionalFormatting sqref="BZ115">
    <cfRule type="expression" dxfId="849" priority="1">
      <formula>$BZ$115=0</formula>
    </cfRule>
  </conditionalFormatting>
  <pageMargins left="0.7" right="0.7" top="0.75" bottom="0.75" header="0.3" footer="0.3"/>
  <pageSetup scale="80" orientation="portrait" verticalDpi="1200" r:id="rId1"/>
  <headerFooter>
    <oddFooter>&amp;L&amp;9 &amp;F&amp;R&amp;9 DOGM Casing/Cement Review &amp;D</oddFooter>
  </headerFooter>
  <colBreaks count="3" manualBreakCount="3">
    <brk id="45" min="86" max="131" man="1"/>
    <brk id="62" min="86" max="131" man="1"/>
    <brk id="79" min="86" max="131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BH40"/>
  <sheetViews>
    <sheetView topLeftCell="B1" zoomScale="90" zoomScaleNormal="90" zoomScaleSheetLayoutView="90" workbookViewId="0">
      <selection activeCell="BL102" sqref="BL102"/>
    </sheetView>
  </sheetViews>
  <sheetFormatPr defaultRowHeight="15" x14ac:dyDescent="0.25"/>
  <cols>
    <col min="3" max="3" width="8.42578125" style="569" bestFit="1" customWidth="1"/>
    <col min="4" max="4" width="13.140625" style="569" bestFit="1" customWidth="1"/>
    <col min="5" max="6" width="10.140625" style="569" bestFit="1" customWidth="1"/>
    <col min="7" max="7" width="14.28515625" style="569" bestFit="1" customWidth="1"/>
    <col min="8" max="8" width="9.5703125" style="569" bestFit="1" customWidth="1"/>
    <col min="9" max="9" width="8.28515625" style="569" bestFit="1" customWidth="1"/>
    <col min="10" max="10" width="14.140625" style="569" bestFit="1" customWidth="1"/>
    <col min="11" max="11" width="8.85546875" style="569" bestFit="1" customWidth="1"/>
    <col min="12" max="12" width="9" style="569" bestFit="1" customWidth="1"/>
    <col min="13" max="13" width="9" style="569" customWidth="1"/>
    <col min="14" max="14" width="13.28515625" style="569" bestFit="1" customWidth="1"/>
    <col min="15" max="15" width="7" style="569" customWidth="1"/>
    <col min="19" max="19" width="13.140625" style="569" bestFit="1" customWidth="1"/>
    <col min="20" max="21" width="10.140625" style="569" bestFit="1" customWidth="1"/>
    <col min="22" max="22" width="14.28515625" style="569" bestFit="1" customWidth="1"/>
    <col min="23" max="23" width="9.5703125" style="569" bestFit="1" customWidth="1"/>
    <col min="24" max="24" width="8.28515625" style="569" bestFit="1" customWidth="1"/>
    <col min="25" max="25" width="14.140625" style="569" bestFit="1" customWidth="1"/>
    <col min="26" max="26" width="8.85546875" style="569" bestFit="1" customWidth="1"/>
    <col min="27" max="28" width="9" style="569" bestFit="1" customWidth="1"/>
    <col min="29" max="29" width="13.28515625" style="569" bestFit="1" customWidth="1"/>
    <col min="30" max="30" width="4.42578125" style="569" customWidth="1"/>
    <col min="34" max="34" width="13.140625" style="569" bestFit="1" customWidth="1"/>
    <col min="35" max="35" width="10.140625" style="569" bestFit="1" customWidth="1"/>
    <col min="36" max="36" width="10.140625" style="569" customWidth="1"/>
    <col min="37" max="37" width="14.28515625" style="569" bestFit="1" customWidth="1"/>
    <col min="38" max="38" width="9.5703125" style="569" bestFit="1" customWidth="1"/>
    <col min="39" max="39" width="8.28515625" style="569" bestFit="1" customWidth="1"/>
    <col min="40" max="40" width="14.140625" style="569" bestFit="1" customWidth="1"/>
    <col min="41" max="41" width="8.85546875" style="569" bestFit="1" customWidth="1"/>
    <col min="42" max="43" width="9" style="569" bestFit="1" customWidth="1"/>
    <col min="44" max="44" width="13.28515625" style="569" bestFit="1" customWidth="1"/>
    <col min="45" max="45" width="4.42578125" style="569" customWidth="1"/>
    <col min="49" max="49" width="13.140625" style="569" bestFit="1" customWidth="1"/>
    <col min="50" max="51" width="10.140625" style="569" bestFit="1" customWidth="1"/>
    <col min="52" max="52" width="14.28515625" style="569" bestFit="1" customWidth="1"/>
    <col min="53" max="53" width="9.5703125" style="569" bestFit="1" customWidth="1"/>
    <col min="54" max="54" width="8.28515625" style="569" bestFit="1" customWidth="1"/>
    <col min="55" max="55" width="14.140625" style="569" bestFit="1" customWidth="1"/>
    <col min="56" max="56" width="8.85546875" style="569" bestFit="1" customWidth="1"/>
    <col min="57" max="58" width="9" style="569" bestFit="1" customWidth="1"/>
    <col min="59" max="59" width="13.28515625" style="569" customWidth="1"/>
    <col min="60" max="60" width="3" style="569" customWidth="1"/>
  </cols>
  <sheetData>
    <row r="2" spans="1:59" s="575" customFormat="1" ht="15.75" customHeight="1" x14ac:dyDescent="0.25">
      <c r="A2" s="693">
        <f>'Casing Review'!$B$4</f>
        <v>0</v>
      </c>
      <c r="B2" s="694"/>
      <c r="C2" s="694"/>
      <c r="D2" s="694"/>
      <c r="E2" s="694"/>
      <c r="F2" s="694"/>
      <c r="G2" s="694"/>
      <c r="H2" s="694"/>
      <c r="I2" s="694"/>
      <c r="J2" s="694"/>
      <c r="K2" s="694"/>
      <c r="L2" s="694"/>
      <c r="M2" s="694"/>
      <c r="N2" s="694"/>
      <c r="P2" s="693">
        <f>'Casing Review'!$B$4</f>
        <v>0</v>
      </c>
      <c r="Q2" s="694"/>
      <c r="R2" s="694"/>
      <c r="S2" s="694"/>
      <c r="T2" s="694"/>
      <c r="U2" s="694"/>
      <c r="V2" s="694"/>
      <c r="W2" s="694"/>
      <c r="X2" s="694"/>
      <c r="Y2" s="694"/>
      <c r="Z2" s="694"/>
      <c r="AA2" s="694"/>
      <c r="AB2" s="694"/>
      <c r="AC2" s="694"/>
      <c r="AE2" s="693">
        <f>'Casing Review'!$B$4</f>
        <v>0</v>
      </c>
      <c r="AF2" s="694"/>
      <c r="AG2" s="694"/>
      <c r="AH2" s="694"/>
      <c r="AI2" s="694"/>
      <c r="AJ2" s="694"/>
      <c r="AK2" s="694"/>
      <c r="AL2" s="694"/>
      <c r="AM2" s="694"/>
      <c r="AN2" s="694"/>
      <c r="AO2" s="694"/>
      <c r="AP2" s="694"/>
      <c r="AQ2" s="694"/>
      <c r="AR2" s="694"/>
      <c r="AT2" s="693">
        <f>'Casing Review'!$B$4</f>
        <v>0</v>
      </c>
      <c r="AU2" s="694"/>
      <c r="AV2" s="694"/>
      <c r="AW2" s="694"/>
      <c r="AX2" s="694"/>
      <c r="AY2" s="694"/>
      <c r="AZ2" s="694"/>
      <c r="BA2" s="694"/>
      <c r="BB2" s="694"/>
      <c r="BC2" s="694"/>
      <c r="BD2" s="694"/>
      <c r="BE2" s="694"/>
      <c r="BF2" s="694"/>
      <c r="BG2" s="694"/>
    </row>
    <row r="3" spans="1:59" s="575" customFormat="1" ht="15.75" customHeight="1" x14ac:dyDescent="0.25">
      <c r="A3" s="693">
        <f>'Casing Review'!$B$5</f>
        <v>0</v>
      </c>
      <c r="B3" s="694"/>
      <c r="C3" s="694"/>
      <c r="D3" s="694"/>
      <c r="E3" s="694"/>
      <c r="F3" s="694"/>
      <c r="G3" s="694"/>
      <c r="H3" s="694"/>
      <c r="I3" s="694"/>
      <c r="J3" s="694"/>
      <c r="K3" s="694"/>
      <c r="L3" s="694"/>
      <c r="M3" s="694"/>
      <c r="N3" s="694"/>
      <c r="P3" s="693">
        <f>'Casing Review'!$B$5</f>
        <v>0</v>
      </c>
      <c r="Q3" s="694"/>
      <c r="R3" s="694"/>
      <c r="S3" s="694"/>
      <c r="T3" s="694"/>
      <c r="U3" s="694"/>
      <c r="V3" s="694"/>
      <c r="W3" s="694"/>
      <c r="X3" s="694"/>
      <c r="Y3" s="694"/>
      <c r="Z3" s="694"/>
      <c r="AA3" s="694"/>
      <c r="AB3" s="694"/>
      <c r="AC3" s="694"/>
      <c r="AE3" s="693">
        <f>'Casing Review'!$B$5</f>
        <v>0</v>
      </c>
      <c r="AF3" s="694"/>
      <c r="AG3" s="694"/>
      <c r="AH3" s="694"/>
      <c r="AI3" s="694"/>
      <c r="AJ3" s="694"/>
      <c r="AK3" s="694"/>
      <c r="AL3" s="694"/>
      <c r="AM3" s="694"/>
      <c r="AN3" s="694"/>
      <c r="AO3" s="694"/>
      <c r="AP3" s="694"/>
      <c r="AQ3" s="694"/>
      <c r="AR3" s="694"/>
      <c r="AT3" s="693">
        <f>'Casing Review'!$B$5</f>
        <v>0</v>
      </c>
      <c r="AU3" s="694"/>
      <c r="AV3" s="694"/>
      <c r="AW3" s="694"/>
      <c r="AX3" s="694"/>
      <c r="AY3" s="694"/>
      <c r="AZ3" s="694"/>
      <c r="BA3" s="694"/>
      <c r="BB3" s="694"/>
      <c r="BC3" s="694"/>
      <c r="BD3" s="694"/>
      <c r="BE3" s="694"/>
      <c r="BF3" s="694"/>
      <c r="BG3" s="694"/>
    </row>
    <row r="4" spans="1:59" s="575" customFormat="1" ht="15.75" customHeight="1" x14ac:dyDescent="0.25">
      <c r="A4" s="695">
        <f>'Casing Review'!$B$6</f>
        <v>0</v>
      </c>
      <c r="B4" s="694"/>
      <c r="C4" s="694"/>
      <c r="D4" s="694"/>
      <c r="E4" s="694"/>
      <c r="F4" s="694"/>
      <c r="G4" s="694"/>
      <c r="H4" s="694"/>
      <c r="I4" s="694"/>
      <c r="J4" s="694"/>
      <c r="K4" s="694"/>
      <c r="L4" s="694"/>
      <c r="M4" s="694"/>
      <c r="N4" s="694"/>
      <c r="P4" s="695">
        <f>'Casing Review'!$B$6</f>
        <v>0</v>
      </c>
      <c r="Q4" s="694"/>
      <c r="R4" s="694"/>
      <c r="S4" s="694"/>
      <c r="T4" s="694"/>
      <c r="U4" s="694"/>
      <c r="V4" s="694"/>
      <c r="W4" s="694"/>
      <c r="X4" s="694"/>
      <c r="Y4" s="694"/>
      <c r="Z4" s="694"/>
      <c r="AA4" s="694"/>
      <c r="AB4" s="694"/>
      <c r="AC4" s="694"/>
      <c r="AE4" s="695">
        <f>'Casing Review'!$B$6</f>
        <v>0</v>
      </c>
      <c r="AF4" s="694"/>
      <c r="AG4" s="694"/>
      <c r="AH4" s="694"/>
      <c r="AI4" s="694"/>
      <c r="AJ4" s="694"/>
      <c r="AK4" s="694"/>
      <c r="AL4" s="694"/>
      <c r="AM4" s="694"/>
      <c r="AN4" s="694"/>
      <c r="AO4" s="694"/>
      <c r="AP4" s="694"/>
      <c r="AQ4" s="694"/>
      <c r="AR4" s="694"/>
      <c r="AT4" s="695">
        <f>'Casing Review'!$B$6</f>
        <v>0</v>
      </c>
      <c r="AU4" s="694"/>
      <c r="AV4" s="694"/>
      <c r="AW4" s="694"/>
      <c r="AX4" s="694"/>
      <c r="AY4" s="694"/>
      <c r="AZ4" s="694"/>
      <c r="BA4" s="694"/>
      <c r="BB4" s="694"/>
      <c r="BC4" s="694"/>
      <c r="BD4" s="694"/>
      <c r="BE4" s="694"/>
      <c r="BF4" s="694"/>
      <c r="BG4" s="694"/>
    </row>
    <row r="5" spans="1:59" ht="15.75" customHeight="1" thickBot="1" x14ac:dyDescent="0.3">
      <c r="F5" s="317">
        <f>'Casing Review'!$K$2</f>
        <v>1.125</v>
      </c>
      <c r="I5" s="317">
        <f>'Casing Review'!$K$3</f>
        <v>1</v>
      </c>
      <c r="K5" s="317">
        <f>'Casing Review'!$K$5</f>
        <v>1.8</v>
      </c>
      <c r="U5" s="317">
        <f>'Casing Review'!$K$2</f>
        <v>1.125</v>
      </c>
      <c r="X5" s="317">
        <f>'Casing Review'!$K$3</f>
        <v>1</v>
      </c>
      <c r="Z5" s="317">
        <f>'Casing Review'!$K$5</f>
        <v>1.8</v>
      </c>
      <c r="AJ5" s="317">
        <f>'Casing Review'!$K$2</f>
        <v>1.125</v>
      </c>
      <c r="AM5" s="317">
        <f>'Casing Review'!$K$3</f>
        <v>1</v>
      </c>
      <c r="AO5" s="317">
        <f>'Casing Review'!$K$5</f>
        <v>1.8</v>
      </c>
      <c r="AY5" s="317">
        <f>'Casing Review'!$K$2</f>
        <v>1.125</v>
      </c>
      <c r="BB5" s="317">
        <f>'Casing Review'!$K$3</f>
        <v>1</v>
      </c>
      <c r="BD5" s="317">
        <f>'Casing Review'!$K$5</f>
        <v>1.8</v>
      </c>
    </row>
    <row r="6" spans="1:59" ht="30.75" customHeight="1" x14ac:dyDescent="0.25">
      <c r="C6" s="141" t="s">
        <v>38</v>
      </c>
      <c r="D6" s="142" t="s">
        <v>234</v>
      </c>
      <c r="E6" s="142" t="s">
        <v>235</v>
      </c>
      <c r="F6" s="142" t="s">
        <v>41</v>
      </c>
      <c r="G6" s="142" t="s">
        <v>236</v>
      </c>
      <c r="H6" s="142" t="s">
        <v>237</v>
      </c>
      <c r="I6" s="142" t="s">
        <v>44</v>
      </c>
      <c r="J6" s="142" t="s">
        <v>238</v>
      </c>
      <c r="K6" s="142" t="s">
        <v>46</v>
      </c>
      <c r="L6" s="142" t="s">
        <v>239</v>
      </c>
      <c r="M6" s="142" t="s">
        <v>240</v>
      </c>
      <c r="N6" s="143" t="s">
        <v>241</v>
      </c>
      <c r="R6" s="141" t="s">
        <v>38</v>
      </c>
      <c r="S6" s="142" t="s">
        <v>234</v>
      </c>
      <c r="T6" s="142" t="s">
        <v>235</v>
      </c>
      <c r="U6" s="142" t="s">
        <v>41</v>
      </c>
      <c r="V6" s="142" t="s">
        <v>236</v>
      </c>
      <c r="W6" s="142" t="s">
        <v>237</v>
      </c>
      <c r="X6" s="142" t="s">
        <v>44</v>
      </c>
      <c r="Y6" s="142" t="s">
        <v>238</v>
      </c>
      <c r="Z6" s="142" t="s">
        <v>46</v>
      </c>
      <c r="AA6" s="142" t="s">
        <v>239</v>
      </c>
      <c r="AB6" s="142" t="s">
        <v>240</v>
      </c>
      <c r="AC6" s="143" t="s">
        <v>241</v>
      </c>
      <c r="AD6" s="570"/>
      <c r="AG6" s="141" t="s">
        <v>38</v>
      </c>
      <c r="AH6" s="142" t="s">
        <v>234</v>
      </c>
      <c r="AI6" s="142" t="s">
        <v>235</v>
      </c>
      <c r="AJ6" s="142" t="s">
        <v>41</v>
      </c>
      <c r="AK6" s="142" t="s">
        <v>236</v>
      </c>
      <c r="AL6" s="142" t="s">
        <v>237</v>
      </c>
      <c r="AM6" s="142" t="s">
        <v>44</v>
      </c>
      <c r="AN6" s="142" t="s">
        <v>238</v>
      </c>
      <c r="AO6" s="142" t="s">
        <v>46</v>
      </c>
      <c r="AP6" s="142" t="s">
        <v>239</v>
      </c>
      <c r="AQ6" s="142" t="s">
        <v>240</v>
      </c>
      <c r="AR6" s="143" t="s">
        <v>241</v>
      </c>
      <c r="AS6" s="570"/>
      <c r="AV6" s="141" t="s">
        <v>38</v>
      </c>
      <c r="AW6" s="142" t="s">
        <v>234</v>
      </c>
      <c r="AX6" s="142" t="s">
        <v>235</v>
      </c>
      <c r="AY6" s="142" t="s">
        <v>41</v>
      </c>
      <c r="AZ6" s="142" t="s">
        <v>236</v>
      </c>
      <c r="BA6" s="142" t="s">
        <v>237</v>
      </c>
      <c r="BB6" s="142" t="s">
        <v>44</v>
      </c>
      <c r="BC6" s="142" t="s">
        <v>238</v>
      </c>
      <c r="BD6" s="142" t="s">
        <v>46</v>
      </c>
      <c r="BE6" s="142" t="s">
        <v>239</v>
      </c>
      <c r="BF6" s="142" t="s">
        <v>240</v>
      </c>
      <c r="BG6" s="143" t="s">
        <v>241</v>
      </c>
    </row>
    <row r="7" spans="1:59" x14ac:dyDescent="0.25">
      <c r="A7" s="528">
        <f>'Vertical WBD'!AD91</f>
        <v>0</v>
      </c>
      <c r="B7" s="528" t="s">
        <v>222</v>
      </c>
      <c r="C7" s="117" t="str">
        <f>IF('Casing Review'!$C$12&gt;0,'Casing Review'!S12, " ")</f>
        <v xml:space="preserve"> </v>
      </c>
      <c r="D7" s="568" t="str">
        <f>IF('Casing Review'!$C$12&gt;0,'Casing Review'!T12, " ")</f>
        <v xml:space="preserve"> </v>
      </c>
      <c r="E7" s="568" t="str">
        <f>IF('Casing Review'!$C$12&gt;0,'Casing Review'!U12, " ")</f>
        <v xml:space="preserve"> </v>
      </c>
      <c r="F7" s="118" t="str">
        <f>IF('Casing Review'!$C$12&gt;0,'Casing Review'!V12, " ")</f>
        <v xml:space="preserve"> </v>
      </c>
      <c r="G7" s="568" t="str">
        <f>IF('Casing Review'!$C$12&gt;0,'Casing Review'!W12, " ")</f>
        <v xml:space="preserve"> </v>
      </c>
      <c r="H7" s="568" t="str">
        <f>IF('Casing Review'!$C$12&gt;0,'Casing Review'!X12, " ")</f>
        <v xml:space="preserve"> </v>
      </c>
      <c r="I7" s="118" t="str">
        <f>IF('Casing Review'!$C$12&gt;0,'Casing Review'!Y12, " ")</f>
        <v xml:space="preserve"> </v>
      </c>
      <c r="J7" s="568" t="str">
        <f>IF('Casing Review'!$C$12&gt;0,'Casing Review'!Z12, " ")</f>
        <v xml:space="preserve"> </v>
      </c>
      <c r="K7" s="118" t="str">
        <f>IF('Casing Review'!$C$12&gt;0,'Casing Review'!AA12, " ")</f>
        <v xml:space="preserve"> </v>
      </c>
      <c r="L7" s="568" t="str">
        <f>IF('Casing Review'!$C$12&gt;0,'Casing Review'!AB12, " ")</f>
        <v xml:space="preserve"> </v>
      </c>
      <c r="M7" s="610" t="str">
        <f>IF('Casing Review'!$C$12&gt;0,'Casing Review'!AC12, " ")</f>
        <v xml:space="preserve"> </v>
      </c>
      <c r="N7" s="611" t="str">
        <f>IF('Casing Review'!$C$12&gt;0,'Casing Review'!AD12, " ")</f>
        <v xml:space="preserve"> </v>
      </c>
      <c r="O7" s="446"/>
      <c r="P7" s="528">
        <f>'Vertical WBD'!AU91</f>
        <v>0</v>
      </c>
      <c r="Q7" s="528" t="s">
        <v>222</v>
      </c>
      <c r="R7" s="117" t="str">
        <f>IF('Casing Review'!$C$12&gt;0,'Casing Review'!S12, " ")</f>
        <v xml:space="preserve"> </v>
      </c>
      <c r="S7" s="568" t="str">
        <f>IF('Casing Review'!$C$12&gt;0,'Casing Review'!T12, " ")</f>
        <v xml:space="preserve"> </v>
      </c>
      <c r="T7" s="568" t="str">
        <f>IF('Casing Review'!$C$12&gt;0,'Casing Review'!U12, " ")</f>
        <v xml:space="preserve"> </v>
      </c>
      <c r="U7" s="118" t="str">
        <f>IF('Casing Review'!$C$12&gt;0,'Casing Review'!V12, " ")</f>
        <v xml:space="preserve"> </v>
      </c>
      <c r="V7" s="568" t="str">
        <f>IF('Casing Review'!$C$12&gt;0,'Casing Review'!W12, " ")</f>
        <v xml:space="preserve"> </v>
      </c>
      <c r="W7" s="568" t="str">
        <f>IF('Casing Review'!$C$12&gt;0,'Casing Review'!X12, " ")</f>
        <v xml:space="preserve"> </v>
      </c>
      <c r="X7" s="118" t="str">
        <f>IF('Casing Review'!$C$12&gt;0,'Casing Review'!Y12, " ")</f>
        <v xml:space="preserve"> </v>
      </c>
      <c r="Y7" s="568" t="str">
        <f>IF('Casing Review'!$C$12&gt;0,'Casing Review'!Z12, " ")</f>
        <v xml:space="preserve"> </v>
      </c>
      <c r="Z7" s="118" t="str">
        <f>IF('Casing Review'!$C$12&gt;0,'Casing Review'!AA12, " ")</f>
        <v xml:space="preserve"> </v>
      </c>
      <c r="AA7" s="568" t="str">
        <f>IF('Casing Review'!$C$12&gt;0,'Casing Review'!AB12, " ")</f>
        <v xml:space="preserve"> </v>
      </c>
      <c r="AB7" s="610" t="str">
        <f>IF('Casing Review'!$C$12&gt;0,'Casing Review'!AC12, " ")</f>
        <v xml:space="preserve"> </v>
      </c>
      <c r="AC7" s="611" t="str">
        <f>IF('Casing Review'!$C$12&gt;0,'Casing Review'!AD12, " ")</f>
        <v xml:space="preserve"> </v>
      </c>
      <c r="AD7" s="118"/>
      <c r="AE7" s="528">
        <f>'Vertical WBD'!BL91</f>
        <v>0</v>
      </c>
      <c r="AF7" s="528" t="s">
        <v>222</v>
      </c>
      <c r="AG7" s="117" t="str">
        <f>IF('Casing Review'!$C$12&gt;0,'Casing Review'!S12, " ")</f>
        <v xml:space="preserve"> </v>
      </c>
      <c r="AH7" s="568" t="str">
        <f>IF('Casing Review'!$C$12&gt;0,'Casing Review'!T12, " ")</f>
        <v xml:space="preserve"> </v>
      </c>
      <c r="AI7" s="568" t="str">
        <f>IF('Casing Review'!$C$12&gt;0,'Casing Review'!U12, " ")</f>
        <v xml:space="preserve"> </v>
      </c>
      <c r="AJ7" s="118" t="str">
        <f>IF('Casing Review'!$C$12&gt;0,'Casing Review'!V$12, " ")</f>
        <v xml:space="preserve"> </v>
      </c>
      <c r="AK7" s="568" t="str">
        <f>IF('Casing Review'!$C$12&gt;0,'Casing Review'!W$12, " ")</f>
        <v xml:space="preserve"> </v>
      </c>
      <c r="AL7" s="568" t="str">
        <f>IF('Casing Review'!$C$12&gt;0,'Casing Review'!X$12, " ")</f>
        <v xml:space="preserve"> </v>
      </c>
      <c r="AM7" s="118" t="str">
        <f>IF('Casing Review'!$C$12&gt;0,'Casing Review'!Y$12, " ")</f>
        <v xml:space="preserve"> </v>
      </c>
      <c r="AN7" s="568" t="str">
        <f>IF('Casing Review'!$C$12&gt;0,'Casing Review'!Z$12, " ")</f>
        <v xml:space="preserve"> </v>
      </c>
      <c r="AO7" s="118" t="str">
        <f>IF('Casing Review'!$C$12&gt;0,'Casing Review'!AA$12, " ")</f>
        <v xml:space="preserve"> </v>
      </c>
      <c r="AP7" s="568" t="str">
        <f>IF('Casing Review'!$C$12&gt;0,'Casing Review'!AB$12, " ")</f>
        <v xml:space="preserve"> </v>
      </c>
      <c r="AQ7" s="610" t="str">
        <f>IF('Casing Review'!$C$12&gt;0,'Casing Review'!AC$12, " ")</f>
        <v xml:space="preserve"> </v>
      </c>
      <c r="AR7" s="611" t="str">
        <f>IF('Casing Review'!$C$12&gt;0,'Casing Review'!AD$12, " ")</f>
        <v xml:space="preserve"> </v>
      </c>
      <c r="AS7" s="118"/>
      <c r="AT7" s="528">
        <f>'Vertical WBD'!CC98</f>
        <v>0</v>
      </c>
      <c r="AU7" s="528" t="s">
        <v>222</v>
      </c>
      <c r="AV7" s="117" t="str">
        <f>IF('Casing Review'!$C$12&gt;0,'Casing Review'!S12, " ")</f>
        <v xml:space="preserve"> </v>
      </c>
      <c r="AW7" s="568" t="str">
        <f>IF('Casing Review'!$C$12&gt;0,'Casing Review'!T12, " ")</f>
        <v xml:space="preserve"> </v>
      </c>
      <c r="AX7" s="568" t="str">
        <f>IF('Casing Review'!$C$12&gt;0,'Casing Review'!U12, " ")</f>
        <v xml:space="preserve"> </v>
      </c>
      <c r="AY7" s="118" t="str">
        <f>IF('Casing Review'!$C$12&gt;0,'Casing Review'!V12, " ")</f>
        <v xml:space="preserve"> </v>
      </c>
      <c r="AZ7" s="568" t="str">
        <f>IF('Casing Review'!$C$12&gt;0,'Casing Review'!W12, " ")</f>
        <v xml:space="preserve"> </v>
      </c>
      <c r="BA7" s="568" t="str">
        <f>IF('Casing Review'!$C$12&gt;0,'Casing Review'!X12, " ")</f>
        <v xml:space="preserve"> </v>
      </c>
      <c r="BB7" s="118" t="str">
        <f>IF('Casing Review'!$C$12&gt;0,'Casing Review'!Y12, " ")</f>
        <v xml:space="preserve"> </v>
      </c>
      <c r="BC7" s="568" t="str">
        <f>IF('Casing Review'!$C$12&gt;0,'Casing Review'!Z12, " ")</f>
        <v xml:space="preserve"> </v>
      </c>
      <c r="BD7" s="118" t="str">
        <f>IF('Casing Review'!$C$12&gt;0,'Casing Review'!AA12, " ")</f>
        <v xml:space="preserve"> </v>
      </c>
      <c r="BE7" s="568" t="str">
        <f>IF('Casing Review'!$C$12&gt;0,'Casing Review'!AB12, " ")</f>
        <v xml:space="preserve"> </v>
      </c>
      <c r="BF7" s="610" t="str">
        <f>IF('Casing Review'!$C$12&gt;0,'Casing Review'!AC12, " ")</f>
        <v xml:space="preserve"> </v>
      </c>
      <c r="BG7" s="611" t="str">
        <f>IF('Casing Review'!$C$12&gt;0,'Casing Review'!AD12, " ")</f>
        <v xml:space="preserve"> </v>
      </c>
    </row>
    <row r="8" spans="1:59" x14ac:dyDescent="0.25">
      <c r="A8" s="528"/>
      <c r="B8" s="528"/>
      <c r="C8" s="117"/>
      <c r="D8" s="568" t="str">
        <f>IF('Casing Review'!$C$14&gt;0,'Casing Review'!T14, " ")</f>
        <v xml:space="preserve"> </v>
      </c>
      <c r="E8" s="568" t="str">
        <f>IF('Casing Review'!$C$14&gt;0,'Casing Review'!U14, " ")</f>
        <v xml:space="preserve"> </v>
      </c>
      <c r="F8" s="118" t="str">
        <f>IF('Casing Review'!$C$14&gt;0,'Casing Review'!V14, " ")</f>
        <v xml:space="preserve"> </v>
      </c>
      <c r="G8" s="568" t="str">
        <f>IF('Casing Review'!$C$14&gt;0,'Casing Review'!W14, " ")</f>
        <v xml:space="preserve"> </v>
      </c>
      <c r="H8" s="568" t="str">
        <f>IF('Casing Review'!$C$14&gt;0,'Casing Review'!X14, " ")</f>
        <v xml:space="preserve"> </v>
      </c>
      <c r="I8" s="118" t="str">
        <f>IF('Casing Review'!$C$14&gt;0,'Casing Review'!Y14, " ")</f>
        <v xml:space="preserve"> </v>
      </c>
      <c r="J8" s="568" t="str">
        <f>IF('Casing Review'!$C$14&gt;0,'Casing Review'!Z14, " ")</f>
        <v xml:space="preserve"> </v>
      </c>
      <c r="K8" s="118" t="str">
        <f>IF('Casing Review'!$C$14&gt;0,'Casing Review'!AA14, " ")</f>
        <v xml:space="preserve"> </v>
      </c>
      <c r="L8" s="568" t="str">
        <f>IF('Casing Review'!$C$14&gt;0,'Casing Review'!AB14, " ")</f>
        <v xml:space="preserve"> </v>
      </c>
      <c r="M8" s="610" t="str">
        <f>IF('Casing Review'!$C$14&gt;0,'Casing Review'!AC14, " ")</f>
        <v xml:space="preserve"> </v>
      </c>
      <c r="N8" s="611" t="str">
        <f>IF('Casing Review'!$C$14&gt;0,'Casing Review'!AD14, " ")</f>
        <v xml:space="preserve"> </v>
      </c>
      <c r="O8" s="446"/>
      <c r="P8" s="528"/>
      <c r="Q8" s="528"/>
      <c r="R8" s="117"/>
      <c r="S8" s="570" t="str">
        <f>IF('Casing Review'!$C$14&gt;0,'Casing Review'!AJ14, " ")</f>
        <v xml:space="preserve"> </v>
      </c>
      <c r="T8" s="570" t="str">
        <f>IF('Casing Review'!$C$14&gt;0,'Casing Review'!AK14, " ")</f>
        <v xml:space="preserve"> </v>
      </c>
      <c r="U8" s="118" t="str">
        <f>IF('Casing Review'!$C$14&gt;0,'Casing Review'!AL14, " ")</f>
        <v xml:space="preserve"> </v>
      </c>
      <c r="V8" s="570" t="str">
        <f>IF('Casing Review'!$C$14&gt;0,'Casing Review'!AM14, " ")</f>
        <v xml:space="preserve"> </v>
      </c>
      <c r="W8" s="570" t="str">
        <f>IF('Casing Review'!$C$14&gt;0,'Casing Review'!AN14, " ")</f>
        <v xml:space="preserve"> </v>
      </c>
      <c r="X8" s="118" t="str">
        <f>IF('Casing Review'!$C$14&gt;0,'Casing Review'!AO14, " ")</f>
        <v xml:space="preserve"> </v>
      </c>
      <c r="Y8" s="570" t="str">
        <f>IF('Casing Review'!$C$14&gt;0,'Casing Review'!AP14, " ")</f>
        <v xml:space="preserve"> </v>
      </c>
      <c r="Z8" s="118" t="str">
        <f>IF('Casing Review'!$C$14&gt;0,'Casing Review'!AQ14, " ")</f>
        <v xml:space="preserve"> </v>
      </c>
      <c r="AA8" s="570" t="str">
        <f>IF('Casing Review'!$C$14&gt;0,'Casing Review'!AR14, " ")</f>
        <v xml:space="preserve"> </v>
      </c>
      <c r="AB8" s="570" t="str">
        <f>IF('Casing Review'!$C$14&gt;0,'Casing Review'!AS14, " ")</f>
        <v xml:space="preserve"> </v>
      </c>
      <c r="AC8" s="611" t="str">
        <f>IF('Casing Review'!$C$14&gt;0,'Casing Review'!AT14, " ")</f>
        <v xml:space="preserve"> </v>
      </c>
      <c r="AD8" s="118"/>
      <c r="AE8" s="528"/>
      <c r="AF8" s="528"/>
      <c r="AG8" s="117"/>
      <c r="AH8" s="568" t="str">
        <f>IF('Casing Review'!$C$14&gt;0,'Casing Review'!T14, " ")</f>
        <v xml:space="preserve"> </v>
      </c>
      <c r="AI8" s="568" t="str">
        <f>IF('Casing Review'!$C$14&gt;0,'Casing Review'!U14, " ")</f>
        <v xml:space="preserve"> </v>
      </c>
      <c r="AJ8" s="118" t="str">
        <f>IF('Casing Review'!$C$14&gt;0,'Casing Review'!V14, " ")</f>
        <v xml:space="preserve"> </v>
      </c>
      <c r="AK8" s="568" t="str">
        <f>IF('Casing Review'!$C$14&gt;0,'Casing Review'!W14, " ")</f>
        <v xml:space="preserve"> </v>
      </c>
      <c r="AL8" s="568" t="str">
        <f>IF('Casing Review'!$C$14&gt;0,'Casing Review'!X14, " ")</f>
        <v xml:space="preserve"> </v>
      </c>
      <c r="AM8" s="118" t="str">
        <f>IF('Casing Review'!$C$14&gt;0,'Casing Review'!Y14, " ")</f>
        <v xml:space="preserve"> </v>
      </c>
      <c r="AN8" s="568" t="str">
        <f>IF('Casing Review'!$C$14&gt;0,'Casing Review'!Z14, " ")</f>
        <v xml:space="preserve"> </v>
      </c>
      <c r="AO8" s="118" t="str">
        <f>IF('Casing Review'!$C$14&gt;0,'Casing Review'!AA14, " ")</f>
        <v xml:space="preserve"> </v>
      </c>
      <c r="AP8" s="568" t="str">
        <f>IF('Casing Review'!$C$14&gt;0,'Casing Review'!AB14, " ")</f>
        <v xml:space="preserve"> </v>
      </c>
      <c r="AQ8" s="568" t="str">
        <f>IF('Casing Review'!$C$14&gt;0,'Casing Review'!AC14, " ")</f>
        <v xml:space="preserve"> </v>
      </c>
      <c r="AR8" s="611" t="str">
        <f>IF('Casing Review'!$C$14&gt;0,'Casing Review'!AD14, " ")</f>
        <v xml:space="preserve"> </v>
      </c>
      <c r="AS8" s="568"/>
      <c r="AT8" s="528"/>
      <c r="AU8" s="528"/>
      <c r="AV8" s="117"/>
      <c r="AW8" s="568" t="str">
        <f>IF('Casing Review'!$C$14&gt;0,'Casing Review'!T14, " ")</f>
        <v xml:space="preserve"> </v>
      </c>
      <c r="AX8" s="568" t="str">
        <f>IF('Casing Review'!$C$14&gt;0,'Casing Review'!U14, " ")</f>
        <v xml:space="preserve"> </v>
      </c>
      <c r="AY8" s="118" t="str">
        <f>IF('Casing Review'!$C$14&gt;0,'Casing Review'!V14, " ")</f>
        <v xml:space="preserve"> </v>
      </c>
      <c r="AZ8" s="568" t="str">
        <f>IF('Casing Review'!$C$14&gt;0,'Casing Review'!W14, " ")</f>
        <v xml:space="preserve"> </v>
      </c>
      <c r="BA8" s="568" t="str">
        <f>IF('Casing Review'!$C$14&gt;0,'Casing Review'!X14, " ")</f>
        <v xml:space="preserve"> </v>
      </c>
      <c r="BB8" s="118" t="str">
        <f>IF('Casing Review'!$C$14&gt;0,'Casing Review'!Y14, " ")</f>
        <v xml:space="preserve"> </v>
      </c>
      <c r="BC8" s="568" t="str">
        <f>IF('Casing Review'!$C$14&gt;0,'Casing Review'!Z14, " ")</f>
        <v xml:space="preserve"> </v>
      </c>
      <c r="BD8" s="118" t="str">
        <f>IF('Casing Review'!$C$14&gt;0,'Casing Review'!AA14, " ")</f>
        <v xml:space="preserve"> </v>
      </c>
      <c r="BE8" s="568" t="str">
        <f>IF('Casing Review'!$C$14&gt;0,'Casing Review'!AB14, " ")</f>
        <v xml:space="preserve"> </v>
      </c>
      <c r="BF8" s="568" t="str">
        <f>IF('Casing Review'!$C$14&gt;0,'Casing Review'!AC14, " ")</f>
        <v xml:space="preserve"> </v>
      </c>
      <c r="BG8" s="146" t="str">
        <f>IF('Casing Review'!$C$14&gt;0,'Casing Review'!AD14, " ")</f>
        <v xml:space="preserve"> </v>
      </c>
    </row>
    <row r="9" spans="1:59" x14ac:dyDescent="0.25">
      <c r="A9" s="528"/>
      <c r="B9" s="528"/>
      <c r="C9" s="117"/>
      <c r="D9" s="568" t="str">
        <f>IF('Casing Review'!$C$16&gt;0,'Casing Review'!T16, " ")</f>
        <v xml:space="preserve"> </v>
      </c>
      <c r="E9" s="568" t="str">
        <f>IF('Casing Review'!$C$16&gt;0,'Casing Review'!U16, " ")</f>
        <v xml:space="preserve"> </v>
      </c>
      <c r="F9" s="118" t="str">
        <f>IF('Casing Review'!$C$16&gt;0,'Casing Review'!V16, " ")</f>
        <v xml:space="preserve"> </v>
      </c>
      <c r="G9" s="568" t="str">
        <f>IF('Casing Review'!$C$16&gt;0,'Casing Review'!W16, " ")</f>
        <v xml:space="preserve"> </v>
      </c>
      <c r="H9" s="568" t="str">
        <f>IF('Casing Review'!$C$16&gt;0,'Casing Review'!X16, " ")</f>
        <v xml:space="preserve"> </v>
      </c>
      <c r="I9" s="118" t="str">
        <f>IF('Casing Review'!$C$16&gt;0,'Casing Review'!Y16, " ")</f>
        <v xml:space="preserve"> </v>
      </c>
      <c r="J9" s="568" t="str">
        <f>IF('Casing Review'!$C$16&gt;0,'Casing Review'!Z16, " ")</f>
        <v xml:space="preserve"> </v>
      </c>
      <c r="K9" s="118" t="str">
        <f>IF('Casing Review'!$C$16&gt;0,'Casing Review'!AA16, " ")</f>
        <v xml:space="preserve"> </v>
      </c>
      <c r="L9" s="568" t="str">
        <f>IF('Casing Review'!$C$16&gt;0,'Casing Review'!AB16, " ")</f>
        <v xml:space="preserve"> </v>
      </c>
      <c r="M9" s="610" t="str">
        <f>IF('Casing Review'!$C$16&gt;0,'Casing Review'!AC16, " ")</f>
        <v xml:space="preserve"> </v>
      </c>
      <c r="N9" s="611" t="str">
        <f>IF('Casing Review'!$C$16&gt;0,'Casing Review'!AD16, " ")</f>
        <v xml:space="preserve"> </v>
      </c>
      <c r="O9" s="446"/>
      <c r="P9" s="528"/>
      <c r="Q9" s="528"/>
      <c r="R9" s="117"/>
      <c r="S9" s="570" t="str">
        <f>IF('Casing Review'!$C$16&gt;0,'Casing Review'!AJ16, " ")</f>
        <v xml:space="preserve"> </v>
      </c>
      <c r="T9" s="570" t="str">
        <f>IF('Casing Review'!$C$16&gt;0,'Casing Review'!AK16, " ")</f>
        <v xml:space="preserve"> </v>
      </c>
      <c r="U9" s="118" t="str">
        <f>IF('Casing Review'!$C$16&gt;0,'Casing Review'!AL16, " ")</f>
        <v xml:space="preserve"> </v>
      </c>
      <c r="V9" s="570" t="str">
        <f>IF('Casing Review'!$C$16&gt;0,'Casing Review'!AM16, " ")</f>
        <v xml:space="preserve"> </v>
      </c>
      <c r="W9" s="570" t="str">
        <f>IF('Casing Review'!$C$16&gt;0,'Casing Review'!AN16, " ")</f>
        <v xml:space="preserve"> </v>
      </c>
      <c r="X9" s="118" t="str">
        <f>IF('Casing Review'!$C$16&gt;0,'Casing Review'!AO16, " ")</f>
        <v xml:space="preserve"> </v>
      </c>
      <c r="Y9" s="570" t="str">
        <f>IF('Casing Review'!$C$16&gt;0,'Casing Review'!AP16, " ")</f>
        <v xml:space="preserve"> </v>
      </c>
      <c r="Z9" s="118" t="str">
        <f>IF('Casing Review'!$C$16&gt;0,'Casing Review'!AQ16, " ")</f>
        <v xml:space="preserve"> </v>
      </c>
      <c r="AA9" s="570" t="str">
        <f>IF('Casing Review'!$C$16&gt;0,'Casing Review'!AR16, " ")</f>
        <v xml:space="preserve"> </v>
      </c>
      <c r="AB9" s="570" t="str">
        <f>IF('Casing Review'!$C$16&gt;0,'Casing Review'!AS16, " ")</f>
        <v xml:space="preserve"> </v>
      </c>
      <c r="AC9" s="611" t="str">
        <f>IF('Casing Review'!$C$16&gt;0,'Casing Review'!AT16, " ")</f>
        <v xml:space="preserve"> </v>
      </c>
      <c r="AD9" s="118"/>
      <c r="AE9" s="528"/>
      <c r="AF9" s="528"/>
      <c r="AG9" s="117"/>
      <c r="AH9" s="568" t="str">
        <f>IF('Casing Review'!$C$16&gt;0,'Casing Review'!T16, " ")</f>
        <v xml:space="preserve"> </v>
      </c>
      <c r="AI9" s="568" t="str">
        <f>IF('Casing Review'!$C$16&gt;0,'Casing Review'!U16, " ")</f>
        <v xml:space="preserve"> </v>
      </c>
      <c r="AJ9" s="118" t="str">
        <f>IF('Casing Review'!$C$16&gt;0,'Casing Review'!V16, " ")</f>
        <v xml:space="preserve"> </v>
      </c>
      <c r="AK9" s="568" t="str">
        <f>IF('Casing Review'!$C$16&gt;0,'Casing Review'!W16, " ")</f>
        <v xml:space="preserve"> </v>
      </c>
      <c r="AL9" s="568" t="str">
        <f>IF('Casing Review'!$C$16&gt;0,'Casing Review'!X16, " ")</f>
        <v xml:space="preserve"> </v>
      </c>
      <c r="AM9" s="118" t="str">
        <f>IF('Casing Review'!$C$16&gt;0,'Casing Review'!Y16, " ")</f>
        <v xml:space="preserve"> </v>
      </c>
      <c r="AN9" s="568" t="str">
        <f>IF('Casing Review'!$C$16&gt;0,'Casing Review'!Z16, " ")</f>
        <v xml:space="preserve"> </v>
      </c>
      <c r="AO9" s="118" t="str">
        <f>IF('Casing Review'!$C$16&gt;0,'Casing Review'!AA16, " ")</f>
        <v xml:space="preserve"> </v>
      </c>
      <c r="AP9" s="568" t="str">
        <f>IF('Casing Review'!$C$16&gt;0,'Casing Review'!AB16, " ")</f>
        <v xml:space="preserve"> </v>
      </c>
      <c r="AQ9" s="568" t="str">
        <f>IF('Casing Review'!$C$16&gt;0,'Casing Review'!AC16, " ")</f>
        <v xml:space="preserve"> </v>
      </c>
      <c r="AR9" s="611" t="str">
        <f>IF('Casing Review'!$C$16&gt;0,'Casing Review'!AD16, " ")</f>
        <v xml:space="preserve"> </v>
      </c>
      <c r="AS9" s="568"/>
      <c r="AT9" s="528"/>
      <c r="AU9" s="528"/>
      <c r="AV9" s="117"/>
      <c r="AW9" s="568" t="str">
        <f>IF('Casing Review'!$C$16&gt;0,'Casing Review'!T16, " ")</f>
        <v xml:space="preserve"> </v>
      </c>
      <c r="AX9" s="568" t="str">
        <f>IF('Casing Review'!$C$16&gt;0,'Casing Review'!U16, " ")</f>
        <v xml:space="preserve"> </v>
      </c>
      <c r="AY9" s="118" t="str">
        <f>IF('Casing Review'!$C$16&gt;0,'Casing Review'!V16, " ")</f>
        <v xml:space="preserve"> </v>
      </c>
      <c r="AZ9" s="568" t="str">
        <f>IF('Casing Review'!$C$16&gt;0,'Casing Review'!W16, " ")</f>
        <v xml:space="preserve"> </v>
      </c>
      <c r="BA9" s="568" t="str">
        <f>IF('Casing Review'!$C$16&gt;0,'Casing Review'!X16, " ")</f>
        <v xml:space="preserve"> </v>
      </c>
      <c r="BB9" s="118" t="str">
        <f>IF('Casing Review'!$C$16&gt;0,'Casing Review'!Y16, " ")</f>
        <v xml:space="preserve"> </v>
      </c>
      <c r="BC9" s="568" t="str">
        <f>IF('Casing Review'!$C$16&gt;0,'Casing Review'!Z16, " ")</f>
        <v xml:space="preserve"> </v>
      </c>
      <c r="BD9" s="118" t="str">
        <f>IF('Casing Review'!$C$16&gt;0,'Casing Review'!AA16, " ")</f>
        <v xml:space="preserve"> </v>
      </c>
      <c r="BE9" s="568" t="str">
        <f>IF('Casing Review'!$C$16&gt;0,'Casing Review'!AB16, " ")</f>
        <v xml:space="preserve"> </v>
      </c>
      <c r="BF9" s="568" t="str">
        <f>IF('Casing Review'!$C$16&gt;0,'Casing Review'!AC16, " ")</f>
        <v xml:space="preserve"> </v>
      </c>
      <c r="BG9" s="146" t="str">
        <f>IF('Casing Review'!$C$16&gt;0,'Casing Review'!AD16, " ")</f>
        <v xml:space="preserve"> </v>
      </c>
    </row>
    <row r="10" spans="1:59" ht="30.75" customHeight="1" x14ac:dyDescent="0.25">
      <c r="A10" s="528"/>
      <c r="B10" s="528"/>
      <c r="C10" s="144" t="s">
        <v>242</v>
      </c>
      <c r="D10" s="139" t="s">
        <v>243</v>
      </c>
      <c r="E10" s="139" t="s">
        <v>244</v>
      </c>
      <c r="F10" s="140" t="s">
        <v>245</v>
      </c>
      <c r="G10" s="139" t="s">
        <v>246</v>
      </c>
      <c r="H10" s="139" t="s">
        <v>247</v>
      </c>
      <c r="I10" s="140" t="s">
        <v>248</v>
      </c>
      <c r="J10" s="139" t="s">
        <v>249</v>
      </c>
      <c r="K10" s="140" t="s">
        <v>250</v>
      </c>
      <c r="L10" s="139" t="s">
        <v>251</v>
      </c>
      <c r="M10" s="612" t="s">
        <v>252</v>
      </c>
      <c r="N10" s="613" t="s">
        <v>253</v>
      </c>
      <c r="O10" s="446"/>
      <c r="P10" s="528"/>
      <c r="Q10" s="528"/>
      <c r="R10" s="144" t="s">
        <v>242</v>
      </c>
      <c r="S10" s="139" t="s">
        <v>243</v>
      </c>
      <c r="T10" s="139" t="s">
        <v>244</v>
      </c>
      <c r="U10" s="140" t="s">
        <v>245</v>
      </c>
      <c r="V10" s="139" t="s">
        <v>246</v>
      </c>
      <c r="W10" s="139" t="s">
        <v>247</v>
      </c>
      <c r="X10" s="140" t="s">
        <v>248</v>
      </c>
      <c r="Y10" s="139" t="s">
        <v>249</v>
      </c>
      <c r="Z10" s="140" t="s">
        <v>250</v>
      </c>
      <c r="AA10" s="139" t="s">
        <v>251</v>
      </c>
      <c r="AB10" s="612" t="s">
        <v>252</v>
      </c>
      <c r="AC10" s="613" t="s">
        <v>253</v>
      </c>
      <c r="AD10" s="118"/>
      <c r="AE10" s="528"/>
      <c r="AF10" s="528"/>
      <c r="AG10" s="144" t="s">
        <v>242</v>
      </c>
      <c r="AH10" s="139" t="s">
        <v>243</v>
      </c>
      <c r="AI10" s="139" t="s">
        <v>244</v>
      </c>
      <c r="AJ10" s="140" t="s">
        <v>245</v>
      </c>
      <c r="AK10" s="139" t="s">
        <v>246</v>
      </c>
      <c r="AL10" s="139" t="s">
        <v>247</v>
      </c>
      <c r="AM10" s="140" t="s">
        <v>248</v>
      </c>
      <c r="AN10" s="139" t="s">
        <v>249</v>
      </c>
      <c r="AO10" s="140" t="s">
        <v>250</v>
      </c>
      <c r="AP10" s="139" t="s">
        <v>251</v>
      </c>
      <c r="AQ10" s="612" t="s">
        <v>252</v>
      </c>
      <c r="AR10" s="613" t="s">
        <v>253</v>
      </c>
      <c r="AS10" s="568"/>
      <c r="AT10" s="528"/>
      <c r="AU10" s="528"/>
      <c r="AV10" s="144" t="s">
        <v>242</v>
      </c>
      <c r="AW10" s="139" t="s">
        <v>243</v>
      </c>
      <c r="AX10" s="139" t="s">
        <v>244</v>
      </c>
      <c r="AY10" s="140" t="s">
        <v>245</v>
      </c>
      <c r="AZ10" s="139" t="s">
        <v>246</v>
      </c>
      <c r="BA10" s="139" t="s">
        <v>247</v>
      </c>
      <c r="BB10" s="140" t="s">
        <v>248</v>
      </c>
      <c r="BC10" s="139" t="s">
        <v>249</v>
      </c>
      <c r="BD10" s="140" t="s">
        <v>250</v>
      </c>
      <c r="BE10" s="139" t="s">
        <v>251</v>
      </c>
      <c r="BF10" s="612" t="s">
        <v>252</v>
      </c>
      <c r="BG10" s="613" t="s">
        <v>253</v>
      </c>
    </row>
    <row r="11" spans="1:59" x14ac:dyDescent="0.25">
      <c r="A11" s="528"/>
      <c r="B11" s="528"/>
      <c r="C11" s="614" t="str">
        <f t="shared" ref="C11:N13" si="0">IF(AG11=0,"",AG11)</f>
        <v xml:space="preserve"> </v>
      </c>
      <c r="D11" s="118" t="str">
        <f t="shared" si="0"/>
        <v xml:space="preserve"> </v>
      </c>
      <c r="E11" s="610" t="str">
        <f t="shared" si="0"/>
        <v xml:space="preserve"> </v>
      </c>
      <c r="F11" s="610" t="str">
        <f t="shared" si="0"/>
        <v xml:space="preserve"> </v>
      </c>
      <c r="G11" s="568" t="str">
        <f t="shared" si="0"/>
        <v xml:space="preserve"> </v>
      </c>
      <c r="H11" s="610" t="str">
        <f t="shared" si="0"/>
        <v xml:space="preserve"> </v>
      </c>
      <c r="I11" s="568" t="str">
        <f t="shared" si="0"/>
        <v xml:space="preserve"> </v>
      </c>
      <c r="J11" s="568" t="str">
        <f t="shared" si="0"/>
        <v xml:space="preserve"> </v>
      </c>
      <c r="K11" s="568" t="str">
        <f t="shared" si="0"/>
        <v xml:space="preserve"> </v>
      </c>
      <c r="L11" s="118" t="str">
        <f t="shared" si="0"/>
        <v xml:space="preserve"> </v>
      </c>
      <c r="M11" s="568" t="str">
        <f t="shared" si="0"/>
        <v xml:space="preserve"> </v>
      </c>
      <c r="N11" s="145" t="str">
        <f t="shared" si="0"/>
        <v xml:space="preserve"> </v>
      </c>
      <c r="O11" s="446"/>
      <c r="P11" s="528"/>
      <c r="Q11" s="528"/>
      <c r="R11" s="614" t="str">
        <f t="shared" ref="R11:AC13" si="1">IF(AG11=0,"",AG11)</f>
        <v xml:space="preserve"> </v>
      </c>
      <c r="S11" s="118" t="str">
        <f t="shared" si="1"/>
        <v xml:space="preserve"> </v>
      </c>
      <c r="T11" s="610" t="str">
        <f t="shared" si="1"/>
        <v xml:space="preserve"> </v>
      </c>
      <c r="U11" s="610" t="str">
        <f t="shared" si="1"/>
        <v xml:space="preserve"> </v>
      </c>
      <c r="V11" s="568" t="str">
        <f t="shared" si="1"/>
        <v xml:space="preserve"> </v>
      </c>
      <c r="W11" s="610" t="str">
        <f t="shared" si="1"/>
        <v xml:space="preserve"> </v>
      </c>
      <c r="X11" s="568" t="str">
        <f t="shared" si="1"/>
        <v xml:space="preserve"> </v>
      </c>
      <c r="Y11" s="568" t="str">
        <f t="shared" si="1"/>
        <v xml:space="preserve"> </v>
      </c>
      <c r="Z11" s="568" t="str">
        <f t="shared" si="1"/>
        <v xml:space="preserve"> </v>
      </c>
      <c r="AA11" s="118" t="str">
        <f t="shared" si="1"/>
        <v xml:space="preserve"> </v>
      </c>
      <c r="AB11" s="568" t="str">
        <f t="shared" si="1"/>
        <v xml:space="preserve"> </v>
      </c>
      <c r="AC11" s="145" t="str">
        <f t="shared" si="1"/>
        <v xml:space="preserve"> </v>
      </c>
      <c r="AD11" s="118"/>
      <c r="AE11" s="528"/>
      <c r="AF11" s="528"/>
      <c r="AG11" s="614" t="str">
        <f>IF('Casing Review'!$C$12&gt;0,'Casing Review'!$B$18, " ")</f>
        <v xml:space="preserve"> </v>
      </c>
      <c r="AH11" s="118" t="str">
        <f>IF('Casing Review'!$C$12&gt;0,'Casing Review'!$B$21, " ")</f>
        <v xml:space="preserve"> </v>
      </c>
      <c r="AI11" s="610" t="str">
        <f>IF('Casing Review'!$C$12&gt;0,'Casing Review'!$B$22, " ")</f>
        <v xml:space="preserve"> </v>
      </c>
      <c r="AJ11" s="610" t="str">
        <f>IF('Casing Review'!$C$12&gt;0,'Casing Review'!$B$23, " ")</f>
        <v xml:space="preserve"> </v>
      </c>
      <c r="AK11" s="568" t="str">
        <f>IF('Casing Review'!$C$12&gt;0,'Casing Review'!$L$24, " ")</f>
        <v xml:space="preserve"> </v>
      </c>
      <c r="AL11" s="568" t="str">
        <f>IF('Casing Review'!$C$12&gt;0,'Casing Review'!E$12, " ")</f>
        <v xml:space="preserve"> </v>
      </c>
      <c r="AM11" s="568" t="str">
        <f>IF('Casing Review'!$C$12&gt;0,'Casing Review'!F$12, " ")</f>
        <v xml:space="preserve"> </v>
      </c>
      <c r="AN11" s="568" t="str">
        <f>IF('Casing Review'!$C$12&gt;0,'Casing Review'!G$12, " ")</f>
        <v xml:space="preserve"> </v>
      </c>
      <c r="AO11" s="568" t="str">
        <f>IF('Casing Review'!$C$12&gt;0,'Casing Review'!H$12, " ")</f>
        <v xml:space="preserve"> </v>
      </c>
      <c r="AP11" s="615" t="str">
        <f>IF('Casing Review'!$C$12&gt;0,'Casing Review'!I$12, " ")</f>
        <v xml:space="preserve"> </v>
      </c>
      <c r="AQ11" s="568" t="str">
        <f>IF('Casing Review'!$C$12&gt;0,'Casing Review'!J$12, " ")</f>
        <v xml:space="preserve"> </v>
      </c>
      <c r="AR11" s="616" t="str">
        <f>IF('Casing Review'!$C$12&gt;0,'Casing Review'!K$12, " ")</f>
        <v xml:space="preserve"> </v>
      </c>
      <c r="AS11" s="568"/>
      <c r="AT11" s="528"/>
      <c r="AU11" s="528"/>
      <c r="AV11" s="614" t="str">
        <f t="shared" ref="AV11:BG13" si="2">IF(AG11=0,"",AG11)</f>
        <v xml:space="preserve"> </v>
      </c>
      <c r="AW11" s="118" t="str">
        <f t="shared" si="2"/>
        <v xml:space="preserve"> </v>
      </c>
      <c r="AX11" s="610" t="str">
        <f t="shared" si="2"/>
        <v xml:space="preserve"> </v>
      </c>
      <c r="AY11" s="610" t="str">
        <f t="shared" si="2"/>
        <v xml:space="preserve"> </v>
      </c>
      <c r="AZ11" s="568" t="str">
        <f t="shared" si="2"/>
        <v xml:space="preserve"> </v>
      </c>
      <c r="BA11" s="610" t="str">
        <f t="shared" si="2"/>
        <v xml:space="preserve"> </v>
      </c>
      <c r="BB11" s="568" t="str">
        <f t="shared" si="2"/>
        <v xml:space="preserve"> </v>
      </c>
      <c r="BC11" s="568" t="str">
        <f t="shared" si="2"/>
        <v xml:space="preserve"> </v>
      </c>
      <c r="BD11" s="568" t="str">
        <f t="shared" si="2"/>
        <v xml:space="preserve"> </v>
      </c>
      <c r="BE11" s="118" t="str">
        <f t="shared" si="2"/>
        <v xml:space="preserve"> </v>
      </c>
      <c r="BF11" s="568" t="str">
        <f t="shared" si="2"/>
        <v xml:space="preserve"> </v>
      </c>
      <c r="BG11" s="145" t="str">
        <f t="shared" si="2"/>
        <v xml:space="preserve"> </v>
      </c>
    </row>
    <row r="12" spans="1:59" x14ac:dyDescent="0.25">
      <c r="A12" s="528"/>
      <c r="B12" s="528"/>
      <c r="C12" s="117" t="str">
        <f t="shared" si="0"/>
        <v/>
      </c>
      <c r="D12" s="118" t="str">
        <f t="shared" si="0"/>
        <v/>
      </c>
      <c r="E12" s="610" t="str">
        <f t="shared" si="0"/>
        <v/>
      </c>
      <c r="F12" s="610" t="str">
        <f t="shared" si="0"/>
        <v/>
      </c>
      <c r="G12" s="568" t="str">
        <f t="shared" si="0"/>
        <v/>
      </c>
      <c r="H12" s="610" t="str">
        <f t="shared" si="0"/>
        <v xml:space="preserve"> </v>
      </c>
      <c r="I12" s="568" t="str">
        <f t="shared" si="0"/>
        <v xml:space="preserve"> </v>
      </c>
      <c r="J12" s="568" t="str">
        <f t="shared" si="0"/>
        <v xml:space="preserve"> </v>
      </c>
      <c r="K12" s="568" t="str">
        <f t="shared" si="0"/>
        <v xml:space="preserve"> </v>
      </c>
      <c r="L12" s="118" t="str">
        <f t="shared" si="0"/>
        <v xml:space="preserve"> </v>
      </c>
      <c r="M12" s="568" t="str">
        <f t="shared" si="0"/>
        <v xml:space="preserve"> </v>
      </c>
      <c r="N12" s="145" t="str">
        <f t="shared" si="0"/>
        <v xml:space="preserve"> </v>
      </c>
      <c r="O12" s="446"/>
      <c r="P12" s="528"/>
      <c r="Q12" s="528"/>
      <c r="R12" s="614" t="str">
        <f t="shared" si="1"/>
        <v/>
      </c>
      <c r="S12" s="118" t="str">
        <f t="shared" si="1"/>
        <v/>
      </c>
      <c r="T12" s="610" t="str">
        <f t="shared" si="1"/>
        <v/>
      </c>
      <c r="U12" s="610" t="str">
        <f t="shared" si="1"/>
        <v/>
      </c>
      <c r="V12" s="568" t="str">
        <f t="shared" si="1"/>
        <v/>
      </c>
      <c r="W12" s="610" t="str">
        <f t="shared" si="1"/>
        <v xml:space="preserve"> </v>
      </c>
      <c r="X12" s="568" t="str">
        <f t="shared" si="1"/>
        <v xml:space="preserve"> </v>
      </c>
      <c r="Y12" s="568" t="str">
        <f t="shared" si="1"/>
        <v xml:space="preserve"> </v>
      </c>
      <c r="Z12" s="568" t="str">
        <f t="shared" si="1"/>
        <v xml:space="preserve"> </v>
      </c>
      <c r="AA12" s="118" t="str">
        <f t="shared" si="1"/>
        <v xml:space="preserve"> </v>
      </c>
      <c r="AB12" s="568" t="str">
        <f t="shared" si="1"/>
        <v xml:space="preserve"> </v>
      </c>
      <c r="AC12" s="145" t="str">
        <f t="shared" si="1"/>
        <v xml:space="preserve"> </v>
      </c>
      <c r="AD12" s="118"/>
      <c r="AE12" s="528"/>
      <c r="AF12" s="528"/>
      <c r="AG12" s="117"/>
      <c r="AH12" s="568"/>
      <c r="AI12" s="568"/>
      <c r="AJ12" s="568"/>
      <c r="AK12" s="568"/>
      <c r="AL12" s="568" t="str">
        <f>IF('Casing Review'!$C$14&gt;0,'Casing Review'!E$14, " ")</f>
        <v xml:space="preserve"> </v>
      </c>
      <c r="AM12" s="568" t="str">
        <f>IF('Casing Review'!$C$14&gt;0,'Casing Review'!F$14, " ")</f>
        <v xml:space="preserve"> </v>
      </c>
      <c r="AN12" s="568" t="str">
        <f>IF('Casing Review'!$C$14&gt;0,'Casing Review'!G$14, " ")</f>
        <v xml:space="preserve"> </v>
      </c>
      <c r="AO12" s="568" t="str">
        <f>IF('Casing Review'!$C$14&gt;0,'Casing Review'!H$14, " ")</f>
        <v xml:space="preserve"> </v>
      </c>
      <c r="AP12" s="615" t="str">
        <f>IF('Casing Review'!$C$14&gt;0,'Casing Review'!I$14, " ")</f>
        <v xml:space="preserve"> </v>
      </c>
      <c r="AQ12" s="568" t="str">
        <f>IF('Casing Review'!$C$14&gt;0,'Casing Review'!J$14, " ")</f>
        <v xml:space="preserve"> </v>
      </c>
      <c r="AR12" s="616" t="str">
        <f>IF('Casing Review'!$C$14&gt;0,'Casing Review'!K$14, " ")</f>
        <v xml:space="preserve"> </v>
      </c>
      <c r="AS12" s="568"/>
      <c r="AT12" s="528"/>
      <c r="AU12" s="528"/>
      <c r="AV12" s="614" t="str">
        <f t="shared" si="2"/>
        <v/>
      </c>
      <c r="AW12" s="118" t="str">
        <f t="shared" si="2"/>
        <v/>
      </c>
      <c r="AX12" s="610" t="str">
        <f t="shared" si="2"/>
        <v/>
      </c>
      <c r="AY12" s="610" t="str">
        <f t="shared" si="2"/>
        <v/>
      </c>
      <c r="AZ12" s="568" t="str">
        <f t="shared" si="2"/>
        <v/>
      </c>
      <c r="BA12" s="610" t="str">
        <f t="shared" si="2"/>
        <v xml:space="preserve"> </v>
      </c>
      <c r="BB12" s="568" t="str">
        <f t="shared" si="2"/>
        <v xml:space="preserve"> </v>
      </c>
      <c r="BC12" s="568" t="str">
        <f t="shared" si="2"/>
        <v xml:space="preserve"> </v>
      </c>
      <c r="BD12" s="568" t="str">
        <f t="shared" si="2"/>
        <v xml:space="preserve"> </v>
      </c>
      <c r="BE12" s="118" t="str">
        <f t="shared" si="2"/>
        <v xml:space="preserve"> </v>
      </c>
      <c r="BF12" s="568" t="str">
        <f t="shared" si="2"/>
        <v xml:space="preserve"> </v>
      </c>
      <c r="BG12" s="145" t="str">
        <f t="shared" si="2"/>
        <v xml:space="preserve"> </v>
      </c>
    </row>
    <row r="13" spans="1:59" ht="15.75" customHeight="1" thickBot="1" x14ac:dyDescent="0.3">
      <c r="A13" s="528"/>
      <c r="B13" s="528"/>
      <c r="C13" s="119" t="str">
        <f t="shared" si="0"/>
        <v/>
      </c>
      <c r="D13" s="121" t="str">
        <f t="shared" si="0"/>
        <v/>
      </c>
      <c r="E13" s="617" t="str">
        <f t="shared" si="0"/>
        <v/>
      </c>
      <c r="F13" s="617" t="str">
        <f t="shared" si="0"/>
        <v/>
      </c>
      <c r="G13" s="120" t="str">
        <f t="shared" si="0"/>
        <v/>
      </c>
      <c r="H13" s="617" t="str">
        <f t="shared" si="0"/>
        <v xml:space="preserve"> </v>
      </c>
      <c r="I13" s="120" t="str">
        <f t="shared" si="0"/>
        <v xml:space="preserve"> </v>
      </c>
      <c r="J13" s="120" t="str">
        <f t="shared" si="0"/>
        <v xml:space="preserve"> </v>
      </c>
      <c r="K13" s="120" t="str">
        <f t="shared" si="0"/>
        <v xml:space="preserve"> </v>
      </c>
      <c r="L13" s="121" t="str">
        <f t="shared" si="0"/>
        <v xml:space="preserve"> </v>
      </c>
      <c r="M13" s="120" t="str">
        <f t="shared" si="0"/>
        <v xml:space="preserve"> </v>
      </c>
      <c r="N13" s="147" t="str">
        <f t="shared" si="0"/>
        <v xml:space="preserve"> </v>
      </c>
      <c r="O13" s="446"/>
      <c r="P13" s="528"/>
      <c r="Q13" s="528"/>
      <c r="R13" s="618" t="str">
        <f t="shared" si="1"/>
        <v/>
      </c>
      <c r="S13" s="121" t="str">
        <f t="shared" si="1"/>
        <v/>
      </c>
      <c r="T13" s="617" t="str">
        <f t="shared" si="1"/>
        <v/>
      </c>
      <c r="U13" s="617" t="str">
        <f t="shared" si="1"/>
        <v/>
      </c>
      <c r="V13" s="120" t="str">
        <f t="shared" si="1"/>
        <v/>
      </c>
      <c r="W13" s="617" t="str">
        <f t="shared" si="1"/>
        <v xml:space="preserve"> </v>
      </c>
      <c r="X13" s="120" t="str">
        <f t="shared" si="1"/>
        <v xml:space="preserve"> </v>
      </c>
      <c r="Y13" s="120" t="str">
        <f t="shared" si="1"/>
        <v xml:space="preserve"> </v>
      </c>
      <c r="Z13" s="120" t="str">
        <f t="shared" si="1"/>
        <v xml:space="preserve"> </v>
      </c>
      <c r="AA13" s="121" t="str">
        <f t="shared" si="1"/>
        <v xml:space="preserve"> </v>
      </c>
      <c r="AB13" s="120" t="str">
        <f t="shared" si="1"/>
        <v xml:space="preserve"> </v>
      </c>
      <c r="AC13" s="147" t="str">
        <f t="shared" si="1"/>
        <v xml:space="preserve"> </v>
      </c>
      <c r="AD13" s="118"/>
      <c r="AE13" s="528"/>
      <c r="AF13" s="528"/>
      <c r="AG13" s="119"/>
      <c r="AH13" s="120"/>
      <c r="AI13" s="120"/>
      <c r="AJ13" s="120"/>
      <c r="AK13" s="120"/>
      <c r="AL13" s="120" t="str">
        <f>IF('Casing Review'!$C$16&gt;0,'Casing Review'!E$16, " ")</f>
        <v xml:space="preserve"> </v>
      </c>
      <c r="AM13" s="120" t="str">
        <f>IF('Casing Review'!$C$16&gt;0,'Casing Review'!F$16, " ")</f>
        <v xml:space="preserve"> </v>
      </c>
      <c r="AN13" s="120" t="str">
        <f>IF('Casing Review'!$C$16&gt;0,'Casing Review'!G$16, " ")</f>
        <v xml:space="preserve"> </v>
      </c>
      <c r="AO13" s="120" t="str">
        <f>IF('Casing Review'!$C$16&gt;0,'Casing Review'!H$16, " ")</f>
        <v xml:space="preserve"> </v>
      </c>
      <c r="AP13" s="619" t="str">
        <f>IF('Casing Review'!$C$16&gt;0,'Casing Review'!I$16, " ")</f>
        <v xml:space="preserve"> </v>
      </c>
      <c r="AQ13" s="120" t="str">
        <f>IF('Casing Review'!$C$16&gt;0,'Casing Review'!J$16, " ")</f>
        <v xml:space="preserve"> </v>
      </c>
      <c r="AR13" s="620" t="str">
        <f>IF('Casing Review'!$C$16&gt;0,'Casing Review'!K$16, " ")</f>
        <v xml:space="preserve"> </v>
      </c>
      <c r="AS13" s="568"/>
      <c r="AT13" s="528"/>
      <c r="AU13" s="528"/>
      <c r="AV13" s="618" t="str">
        <f t="shared" si="2"/>
        <v/>
      </c>
      <c r="AW13" s="121" t="str">
        <f t="shared" si="2"/>
        <v/>
      </c>
      <c r="AX13" s="617" t="str">
        <f t="shared" si="2"/>
        <v/>
      </c>
      <c r="AY13" s="617" t="str">
        <f t="shared" si="2"/>
        <v/>
      </c>
      <c r="AZ13" s="120" t="str">
        <f t="shared" si="2"/>
        <v/>
      </c>
      <c r="BA13" s="617" t="str">
        <f t="shared" si="2"/>
        <v xml:space="preserve"> </v>
      </c>
      <c r="BB13" s="120" t="str">
        <f t="shared" si="2"/>
        <v xml:space="preserve"> </v>
      </c>
      <c r="BC13" s="120" t="str">
        <f t="shared" si="2"/>
        <v xml:space="preserve"> </v>
      </c>
      <c r="BD13" s="120" t="str">
        <f t="shared" si="2"/>
        <v xml:space="preserve"> </v>
      </c>
      <c r="BE13" s="121" t="str">
        <f t="shared" si="2"/>
        <v xml:space="preserve"> </v>
      </c>
      <c r="BF13" s="120" t="str">
        <f t="shared" si="2"/>
        <v xml:space="preserve"> </v>
      </c>
      <c r="BG13" s="147" t="str">
        <f t="shared" si="2"/>
        <v xml:space="preserve"> </v>
      </c>
    </row>
    <row r="14" spans="1:59" ht="30" customHeight="1" x14ac:dyDescent="0.25">
      <c r="A14" s="528"/>
      <c r="B14" s="528"/>
      <c r="C14" s="141" t="s">
        <v>38</v>
      </c>
      <c r="D14" s="142" t="s">
        <v>234</v>
      </c>
      <c r="E14" s="142" t="s">
        <v>235</v>
      </c>
      <c r="F14" s="142" t="s">
        <v>41</v>
      </c>
      <c r="G14" s="142" t="s">
        <v>236</v>
      </c>
      <c r="H14" s="142" t="s">
        <v>237</v>
      </c>
      <c r="I14" s="142" t="s">
        <v>44</v>
      </c>
      <c r="J14" s="142" t="s">
        <v>238</v>
      </c>
      <c r="K14" s="142" t="s">
        <v>46</v>
      </c>
      <c r="L14" s="142" t="s">
        <v>239</v>
      </c>
      <c r="M14" s="142" t="s">
        <v>240</v>
      </c>
      <c r="N14" s="143" t="s">
        <v>241</v>
      </c>
      <c r="O14" s="446"/>
      <c r="P14" s="528"/>
      <c r="Q14" s="528"/>
      <c r="R14" s="141" t="s">
        <v>38</v>
      </c>
      <c r="S14" s="142" t="s">
        <v>234</v>
      </c>
      <c r="T14" s="142" t="s">
        <v>235</v>
      </c>
      <c r="U14" s="142" t="s">
        <v>41</v>
      </c>
      <c r="V14" s="142" t="s">
        <v>236</v>
      </c>
      <c r="W14" s="142" t="s">
        <v>237</v>
      </c>
      <c r="X14" s="142" t="s">
        <v>44</v>
      </c>
      <c r="Y14" s="142" t="s">
        <v>238</v>
      </c>
      <c r="Z14" s="142" t="s">
        <v>46</v>
      </c>
      <c r="AA14" s="142" t="s">
        <v>239</v>
      </c>
      <c r="AB14" s="142" t="s">
        <v>240</v>
      </c>
      <c r="AC14" s="143" t="s">
        <v>241</v>
      </c>
      <c r="AD14" s="118"/>
      <c r="AE14" s="528"/>
      <c r="AF14" s="528"/>
      <c r="AG14" s="141" t="s">
        <v>38</v>
      </c>
      <c r="AH14" s="142" t="s">
        <v>234</v>
      </c>
      <c r="AI14" s="142" t="s">
        <v>235</v>
      </c>
      <c r="AJ14" s="142" t="s">
        <v>41</v>
      </c>
      <c r="AK14" s="142" t="s">
        <v>236</v>
      </c>
      <c r="AL14" s="142" t="s">
        <v>237</v>
      </c>
      <c r="AM14" s="142" t="s">
        <v>44</v>
      </c>
      <c r="AN14" s="142" t="s">
        <v>238</v>
      </c>
      <c r="AO14" s="142" t="s">
        <v>46</v>
      </c>
      <c r="AP14" s="142" t="s">
        <v>239</v>
      </c>
      <c r="AQ14" s="142" t="s">
        <v>240</v>
      </c>
      <c r="AR14" s="143" t="s">
        <v>241</v>
      </c>
      <c r="AS14" s="568"/>
      <c r="AT14" s="528"/>
      <c r="AU14" s="528"/>
      <c r="AV14" s="141" t="s">
        <v>38</v>
      </c>
      <c r="AW14" s="142" t="s">
        <v>234</v>
      </c>
      <c r="AX14" s="142" t="s">
        <v>235</v>
      </c>
      <c r="AY14" s="142" t="s">
        <v>41</v>
      </c>
      <c r="AZ14" s="142" t="s">
        <v>236</v>
      </c>
      <c r="BA14" s="142" t="s">
        <v>237</v>
      </c>
      <c r="BB14" s="142" t="s">
        <v>44</v>
      </c>
      <c r="BC14" s="142" t="s">
        <v>238</v>
      </c>
      <c r="BD14" s="142" t="s">
        <v>46</v>
      </c>
      <c r="BE14" s="142" t="s">
        <v>239</v>
      </c>
      <c r="BF14" s="142" t="s">
        <v>240</v>
      </c>
      <c r="BG14" s="143" t="s">
        <v>241</v>
      </c>
    </row>
    <row r="15" spans="1:59" x14ac:dyDescent="0.25">
      <c r="A15" s="528">
        <f>'Vertical WBD'!AD102</f>
        <v>0</v>
      </c>
      <c r="B15" s="528" t="s">
        <v>222</v>
      </c>
      <c r="C15" s="117" t="str">
        <f>IF('Casing Review'!$C$27&gt;0,'Casing Review'!S27, " ")</f>
        <v xml:space="preserve"> </v>
      </c>
      <c r="D15" s="568" t="str">
        <f>IF('Casing Review'!$C$27&gt;0,'Casing Review'!T27, " ")</f>
        <v xml:space="preserve"> </v>
      </c>
      <c r="E15" s="568" t="str">
        <f>IF('Casing Review'!$C$27&gt;0,'Casing Review'!U27, " ")</f>
        <v xml:space="preserve"> </v>
      </c>
      <c r="F15" s="118" t="str">
        <f>IF('Casing Review'!$C$27&gt;0,'Casing Review'!V27, " ")</f>
        <v xml:space="preserve"> </v>
      </c>
      <c r="G15" s="568" t="str">
        <f>IF('Casing Review'!$C$27&gt;0,'Casing Review'!W27, " ")</f>
        <v xml:space="preserve"> </v>
      </c>
      <c r="H15" s="568" t="str">
        <f>IF('Casing Review'!$C$27&gt;0,'Casing Review'!X27, " ")</f>
        <v xml:space="preserve"> </v>
      </c>
      <c r="I15" s="118" t="str">
        <f>IF('Casing Review'!$C$27&gt;0,'Casing Review'!Y27, " ")</f>
        <v xml:space="preserve"> </v>
      </c>
      <c r="J15" s="568" t="str">
        <f>IF('Casing Review'!$C$27&gt;0,'Casing Review'!Z27, " ")</f>
        <v xml:space="preserve"> </v>
      </c>
      <c r="K15" s="118" t="str">
        <f>IF('Casing Review'!$C$27&gt;0,'Casing Review'!AA27, " ")</f>
        <v xml:space="preserve"> </v>
      </c>
      <c r="L15" s="568" t="str">
        <f>IF('Casing Review'!$C$27&gt;0,'Casing Review'!AB27, " ")</f>
        <v xml:space="preserve"> </v>
      </c>
      <c r="M15" s="610" t="str">
        <f>IF('Casing Review'!$C$27&gt;0,'Casing Review'!AC27, " ")</f>
        <v xml:space="preserve"> </v>
      </c>
      <c r="N15" s="611" t="str">
        <f>IF('Casing Review'!$C$27&gt;0,'Casing Review'!AD27, " ")</f>
        <v xml:space="preserve"> </v>
      </c>
      <c r="O15" s="446"/>
      <c r="P15" s="528">
        <f>'Vertical WBD'!AU111</f>
        <v>0</v>
      </c>
      <c r="Q15" s="528" t="s">
        <v>222</v>
      </c>
      <c r="R15" s="117" t="str">
        <f>IF('Casing Review'!$C$27&gt;0,'Casing Review'!S27, " ")</f>
        <v xml:space="preserve"> </v>
      </c>
      <c r="S15" s="568" t="str">
        <f>IF('Casing Review'!$C$27&gt;0,'Casing Review'!T27, " ")</f>
        <v xml:space="preserve"> </v>
      </c>
      <c r="T15" s="568" t="str">
        <f>IF('Casing Review'!$C$27&gt;0,'Casing Review'!U27, " ")</f>
        <v xml:space="preserve"> </v>
      </c>
      <c r="U15" s="118" t="str">
        <f>IF('Casing Review'!$C$27&gt;0,'Casing Review'!V27, " ")</f>
        <v xml:space="preserve"> </v>
      </c>
      <c r="V15" s="568" t="str">
        <f>IF('Casing Review'!$C$27&gt;0,'Casing Review'!W27, " ")</f>
        <v xml:space="preserve"> </v>
      </c>
      <c r="W15" s="568" t="str">
        <f>IF('Casing Review'!$C$27&gt;0,'Casing Review'!X27, " ")</f>
        <v xml:space="preserve"> </v>
      </c>
      <c r="X15" s="118" t="str">
        <f>IF('Casing Review'!$C$27&gt;0,'Casing Review'!Y27, " ")</f>
        <v xml:space="preserve"> </v>
      </c>
      <c r="Y15" s="568" t="str">
        <f>IF('Casing Review'!$C$27&gt;0,'Casing Review'!Z27, " ")</f>
        <v xml:space="preserve"> </v>
      </c>
      <c r="Z15" s="118" t="str">
        <f>IF('Casing Review'!$C$27&gt;0,'Casing Review'!AA27, " ")</f>
        <v xml:space="preserve"> </v>
      </c>
      <c r="AA15" s="568" t="str">
        <f>IF('Casing Review'!$C$27&gt;0,'Casing Review'!AB27, " ")</f>
        <v xml:space="preserve"> </v>
      </c>
      <c r="AB15" s="610" t="str">
        <f>IF('Casing Review'!$C$27&gt;0,'Casing Review'!AC27, " ")</f>
        <v xml:space="preserve"> </v>
      </c>
      <c r="AC15" s="611" t="str">
        <f>IF('Casing Review'!$C$27&gt;0,'Casing Review'!AD27, " ")</f>
        <v xml:space="preserve"> </v>
      </c>
      <c r="AD15" s="118"/>
      <c r="AE15" s="528">
        <f>'Vertical WBD'!BL99</f>
        <v>0</v>
      </c>
      <c r="AF15" s="528" t="s">
        <v>222</v>
      </c>
      <c r="AG15" s="117" t="str">
        <f>IF('Casing Review'!$C$27&gt;0,'Casing Review'!S27, " ")</f>
        <v xml:space="preserve"> </v>
      </c>
      <c r="AH15" s="568" t="str">
        <f>IF('Casing Review'!$C$27&gt;0,'Casing Review'!T27, " ")</f>
        <v xml:space="preserve"> </v>
      </c>
      <c r="AI15" s="568" t="str">
        <f>IF('Casing Review'!$C$27&gt;0,'Casing Review'!U27, " ")</f>
        <v xml:space="preserve"> </v>
      </c>
      <c r="AJ15" s="118" t="str">
        <f>IF('Casing Review'!$C$27&gt;0,'Casing Review'!V27, " ")</f>
        <v xml:space="preserve"> </v>
      </c>
      <c r="AK15" s="568" t="str">
        <f>IF('Casing Review'!$C$27&gt;0,'Casing Review'!W27, " ")</f>
        <v xml:space="preserve"> </v>
      </c>
      <c r="AL15" s="568" t="str">
        <f>IF('Casing Review'!$C$27&gt;0,'Casing Review'!X27, " ")</f>
        <v xml:space="preserve"> </v>
      </c>
      <c r="AM15" s="118" t="str">
        <f>IF('Casing Review'!$C$27&gt;0,'Casing Review'!Y27, " ")</f>
        <v xml:space="preserve"> </v>
      </c>
      <c r="AN15" s="568" t="str">
        <f>IF('Casing Review'!$C$27&gt;0,'Casing Review'!Z27, " ")</f>
        <v xml:space="preserve"> </v>
      </c>
      <c r="AO15" s="118" t="str">
        <f>IF('Casing Review'!$C$27&gt;0,'Casing Review'!AA27, " ")</f>
        <v xml:space="preserve"> </v>
      </c>
      <c r="AP15" s="568" t="str">
        <f>IF('Casing Review'!$C$27&gt;0,'Casing Review'!AB27, " ")</f>
        <v xml:space="preserve"> </v>
      </c>
      <c r="AQ15" s="610" t="str">
        <f>IF('Casing Review'!$C$27&gt;0,'Casing Review'!AC27, " ")</f>
        <v xml:space="preserve"> </v>
      </c>
      <c r="AR15" s="611" t="str">
        <f>IF('Casing Review'!$C$27&gt;0,'Casing Review'!AD27, " ")</f>
        <v xml:space="preserve"> </v>
      </c>
      <c r="AS15" s="568"/>
      <c r="AT15" s="528">
        <f>'Vertical WBD'!CC123</f>
        <v>0</v>
      </c>
      <c r="AU15" s="528" t="s">
        <v>222</v>
      </c>
      <c r="AV15" s="117" t="str">
        <f>IF('Casing Review'!$C$27&gt;0,'Casing Review'!S27, " ")</f>
        <v xml:space="preserve"> </v>
      </c>
      <c r="AW15" s="568" t="str">
        <f>IF('Casing Review'!$C$27&gt;0,'Casing Review'!T27, " ")</f>
        <v xml:space="preserve"> </v>
      </c>
      <c r="AX15" s="568" t="str">
        <f>IF('Casing Review'!$C$27&gt;0,'Casing Review'!U27, " ")</f>
        <v xml:space="preserve"> </v>
      </c>
      <c r="AY15" s="118" t="str">
        <f>IF('Casing Review'!$C$27&gt;0,'Casing Review'!V27, " ")</f>
        <v xml:space="preserve"> </v>
      </c>
      <c r="AZ15" s="568" t="str">
        <f>IF('Casing Review'!$C$27&gt;0,'Casing Review'!W27, " ")</f>
        <v xml:space="preserve"> </v>
      </c>
      <c r="BA15" s="568" t="str">
        <f>IF('Casing Review'!$C$27&gt;0,'Casing Review'!X27, " ")</f>
        <v xml:space="preserve"> </v>
      </c>
      <c r="BB15" s="118" t="str">
        <f>IF('Casing Review'!$C$27&gt;0,'Casing Review'!Y27, " ")</f>
        <v xml:space="preserve"> </v>
      </c>
      <c r="BC15" s="568" t="str">
        <f>IF('Casing Review'!$C$27&gt;0,'Casing Review'!Z27, " ")</f>
        <v xml:space="preserve"> </v>
      </c>
      <c r="BD15" s="118" t="str">
        <f>IF('Casing Review'!$C$27&gt;0,'Casing Review'!AA27, " ")</f>
        <v xml:space="preserve"> </v>
      </c>
      <c r="BE15" s="568" t="str">
        <f>IF('Casing Review'!$C$27&gt;0,'Casing Review'!AB27, " ")</f>
        <v xml:space="preserve"> </v>
      </c>
      <c r="BF15" s="610" t="str">
        <f>IF('Casing Review'!$C$27&gt;0,'Casing Review'!AC27, " ")</f>
        <v xml:space="preserve"> </v>
      </c>
      <c r="BG15" s="611" t="str">
        <f>IF('Casing Review'!$C$27&gt;0,'Casing Review'!AD27, " ")</f>
        <v xml:space="preserve"> </v>
      </c>
    </row>
    <row r="16" spans="1:59" x14ac:dyDescent="0.25">
      <c r="A16" s="528"/>
      <c r="B16" s="528"/>
      <c r="C16" s="117"/>
      <c r="D16" s="568" t="str">
        <f>IF('Casing Review'!$C$29&gt;0,'Casing Review'!T29, " ")</f>
        <v xml:space="preserve"> </v>
      </c>
      <c r="E16" s="568" t="str">
        <f>IF('Casing Review'!$C$29&gt;0,'Casing Review'!U29, " ")</f>
        <v xml:space="preserve"> </v>
      </c>
      <c r="F16" s="118" t="str">
        <f>IF('Casing Review'!$C$29&gt;0,'Casing Review'!V29, " ")</f>
        <v xml:space="preserve"> </v>
      </c>
      <c r="G16" s="568" t="str">
        <f>IF('Casing Review'!$C$29&gt;0,'Casing Review'!W29, " ")</f>
        <v xml:space="preserve"> </v>
      </c>
      <c r="H16" s="568" t="str">
        <f>IF('Casing Review'!$C$29&gt;0,'Casing Review'!X29, " ")</f>
        <v xml:space="preserve"> </v>
      </c>
      <c r="I16" s="118" t="str">
        <f>IF('Casing Review'!$C$29&gt;0,'Casing Review'!Y29, " ")</f>
        <v xml:space="preserve"> </v>
      </c>
      <c r="J16" s="568" t="str">
        <f>IF('Casing Review'!$C$29&gt;0,'Casing Review'!Z29, " ")</f>
        <v xml:space="preserve"> </v>
      </c>
      <c r="K16" s="118" t="str">
        <f>IF('Casing Review'!$C$29&gt;0,'Casing Review'!AA29, " ")</f>
        <v xml:space="preserve"> </v>
      </c>
      <c r="L16" s="568" t="str">
        <f>IF('Casing Review'!$C$29&gt;0,'Casing Review'!AB29, " ")</f>
        <v xml:space="preserve"> </v>
      </c>
      <c r="M16" s="610" t="str">
        <f>IF('Casing Review'!$C$29&gt;0,'Casing Review'!AC29, " ")</f>
        <v xml:space="preserve"> </v>
      </c>
      <c r="N16" s="611" t="str">
        <f>IF('Casing Review'!$C$29&gt;0,'Casing Review'!AD29, " ")</f>
        <v xml:space="preserve"> </v>
      </c>
      <c r="O16" s="446"/>
      <c r="P16" s="528"/>
      <c r="Q16" s="528"/>
      <c r="R16" s="117"/>
      <c r="S16" s="568" t="str">
        <f>IF('Casing Review'!$C$29&gt;0,'Casing Review'!T29, " ")</f>
        <v xml:space="preserve"> </v>
      </c>
      <c r="T16" s="568" t="str">
        <f>IF('Casing Review'!$C$29&gt;0,'Casing Review'!U29, " ")</f>
        <v xml:space="preserve"> </v>
      </c>
      <c r="U16" s="118" t="str">
        <f>IF('Casing Review'!$C$29&gt;0,'Casing Review'!V29, " ")</f>
        <v xml:space="preserve"> </v>
      </c>
      <c r="V16" s="568" t="str">
        <f>IF('Casing Review'!$C$29&gt;0,'Casing Review'!W29, " ")</f>
        <v xml:space="preserve"> </v>
      </c>
      <c r="W16" s="568" t="str">
        <f>IF('Casing Review'!$C$29&gt;0,'Casing Review'!X29, " ")</f>
        <v xml:space="preserve"> </v>
      </c>
      <c r="X16" s="118" t="str">
        <f>IF('Casing Review'!$C$29&gt;0,'Casing Review'!Y29, " ")</f>
        <v xml:space="preserve"> </v>
      </c>
      <c r="Y16" s="568" t="str">
        <f>IF('Casing Review'!$C$29&gt;0,'Casing Review'!Z29, " ")</f>
        <v xml:space="preserve"> </v>
      </c>
      <c r="Z16" s="118" t="str">
        <f>IF('Casing Review'!$C$29&gt;0,'Casing Review'!AA29, " ")</f>
        <v xml:space="preserve"> </v>
      </c>
      <c r="AA16" s="568" t="str">
        <f>IF('Casing Review'!$C$29&gt;0,'Casing Review'!AB29, " ")</f>
        <v xml:space="preserve"> </v>
      </c>
      <c r="AB16" s="610" t="str">
        <f>IF('Casing Review'!$C$29&gt;0,'Casing Review'!AC29, " ")</f>
        <v xml:space="preserve"> </v>
      </c>
      <c r="AC16" s="611" t="str">
        <f>IF('Casing Review'!$C$29&gt;0,'Casing Review'!AD29, " ")</f>
        <v xml:space="preserve"> </v>
      </c>
      <c r="AD16" s="118"/>
      <c r="AE16" s="528"/>
      <c r="AF16" s="528"/>
      <c r="AG16" s="117"/>
      <c r="AH16" s="568" t="str">
        <f>IF('Casing Review'!$C$29&gt;0,'Casing Review'!T29, " ")</f>
        <v xml:space="preserve"> </v>
      </c>
      <c r="AI16" s="568" t="str">
        <f>IF('Casing Review'!$C$29&gt;0,'Casing Review'!U29, " ")</f>
        <v xml:space="preserve"> </v>
      </c>
      <c r="AJ16" s="118" t="str">
        <f>IF('Casing Review'!$C$29&gt;0,'Casing Review'!V29, " ")</f>
        <v xml:space="preserve"> </v>
      </c>
      <c r="AK16" s="568" t="str">
        <f>IF('Casing Review'!$C$29&gt;0,'Casing Review'!W29, " ")</f>
        <v xml:space="preserve"> </v>
      </c>
      <c r="AL16" s="568" t="str">
        <f>IF('Casing Review'!$C$29&gt;0,'Casing Review'!X29, " ")</f>
        <v xml:space="preserve"> </v>
      </c>
      <c r="AM16" s="118" t="str">
        <f>IF('Casing Review'!$C$29&gt;0,'Casing Review'!Y29, " ")</f>
        <v xml:space="preserve"> </v>
      </c>
      <c r="AN16" s="568" t="str">
        <f>IF('Casing Review'!$C$29&gt;0,'Casing Review'!Z29, " ")</f>
        <v xml:space="preserve"> </v>
      </c>
      <c r="AO16" s="118" t="str">
        <f>IF('Casing Review'!$C$29&gt;0,'Casing Review'!AA29, " ")</f>
        <v xml:space="preserve"> </v>
      </c>
      <c r="AP16" s="568" t="str">
        <f>IF('Casing Review'!$C$29&gt;0,'Casing Review'!AB29, " ")</f>
        <v xml:space="preserve"> </v>
      </c>
      <c r="AQ16" s="610" t="str">
        <f>IF('Casing Review'!$C$29&gt;0,'Casing Review'!AC29, " ")</f>
        <v xml:space="preserve"> </v>
      </c>
      <c r="AR16" s="611" t="str">
        <f>IF('Casing Review'!$C$29&gt;0,'Casing Review'!AD29, " ")</f>
        <v xml:space="preserve"> </v>
      </c>
      <c r="AS16" s="568"/>
      <c r="AV16" s="117"/>
      <c r="AW16" s="568" t="str">
        <f>IF('Casing Review'!$C$29&gt;0,'Casing Review'!T29, " ")</f>
        <v xml:space="preserve"> </v>
      </c>
      <c r="AX16" s="568" t="str">
        <f>IF('Casing Review'!$C$29&gt;0,'Casing Review'!U29, " ")</f>
        <v xml:space="preserve"> </v>
      </c>
      <c r="AY16" s="118" t="str">
        <f>IF('Casing Review'!$C$29&gt;0,'Casing Review'!V29, " ")</f>
        <v xml:space="preserve"> </v>
      </c>
      <c r="AZ16" s="568" t="str">
        <f>IF('Casing Review'!$C$29&gt;0,'Casing Review'!W29, " ")</f>
        <v xml:space="preserve"> </v>
      </c>
      <c r="BA16" s="568" t="str">
        <f>IF('Casing Review'!$C$29&gt;0,'Casing Review'!X29, " ")</f>
        <v xml:space="preserve"> </v>
      </c>
      <c r="BB16" s="118" t="str">
        <f>IF('Casing Review'!$C$29&gt;0,'Casing Review'!Y29, " ")</f>
        <v xml:space="preserve"> </v>
      </c>
      <c r="BC16" s="568" t="str">
        <f>IF('Casing Review'!$C$29&gt;0,'Casing Review'!Z29, " ")</f>
        <v xml:space="preserve"> </v>
      </c>
      <c r="BD16" s="118" t="str">
        <f>IF('Casing Review'!$C$29&gt;0,'Casing Review'!AA29, " ")</f>
        <v xml:space="preserve"> </v>
      </c>
      <c r="BE16" s="568" t="str">
        <f>IF('Casing Review'!$C$29&gt;0,'Casing Review'!AB29, " ")</f>
        <v xml:space="preserve"> </v>
      </c>
      <c r="BF16" s="610" t="str">
        <f>IF('Casing Review'!$C$29&gt;0,'Casing Review'!AC29, " ")</f>
        <v xml:space="preserve"> </v>
      </c>
      <c r="BG16" s="611" t="str">
        <f>IF('Casing Review'!$C$29&gt;0,'Casing Review'!AD29, " ")</f>
        <v xml:space="preserve"> </v>
      </c>
    </row>
    <row r="17" spans="1:59" x14ac:dyDescent="0.25">
      <c r="A17" s="528"/>
      <c r="B17" s="528"/>
      <c r="C17" s="117"/>
      <c r="D17" s="568" t="str">
        <f>IF('Casing Review'!$C$31&gt;0,'Casing Review'!T31, " ")</f>
        <v xml:space="preserve"> </v>
      </c>
      <c r="E17" s="568" t="str">
        <f>IF('Casing Review'!$C$31&gt;0,'Casing Review'!U31, " ")</f>
        <v xml:space="preserve"> </v>
      </c>
      <c r="F17" s="118" t="str">
        <f>IF('Casing Review'!$C$31&gt;0,'Casing Review'!V31, " ")</f>
        <v xml:space="preserve"> </v>
      </c>
      <c r="G17" s="568" t="str">
        <f>IF('Casing Review'!$C$31&gt;0,'Casing Review'!W31, " ")</f>
        <v xml:space="preserve"> </v>
      </c>
      <c r="H17" s="568" t="str">
        <f>IF('Casing Review'!$C$31&gt;0,'Casing Review'!X31, " ")</f>
        <v xml:space="preserve"> </v>
      </c>
      <c r="I17" s="118" t="str">
        <f>IF('Casing Review'!$C$31&gt;0,'Casing Review'!Y31, " ")</f>
        <v xml:space="preserve"> </v>
      </c>
      <c r="J17" s="568" t="str">
        <f>IF('Casing Review'!$C$31&gt;0,'Casing Review'!Z31, " ")</f>
        <v xml:space="preserve"> </v>
      </c>
      <c r="K17" s="118" t="str">
        <f>IF('Casing Review'!$C$31&gt;0,'Casing Review'!AA31, " ")</f>
        <v xml:space="preserve"> </v>
      </c>
      <c r="L17" s="568" t="str">
        <f>IF('Casing Review'!$C$31&gt;0,'Casing Review'!AB31, " ")</f>
        <v xml:space="preserve"> </v>
      </c>
      <c r="M17" s="568" t="str">
        <f>IF('Casing Review'!$C$31&gt;0,'Casing Review'!AC31, " ")</f>
        <v xml:space="preserve"> </v>
      </c>
      <c r="N17" s="611" t="str">
        <f>IF('Casing Review'!$C$31&gt;0,'Casing Review'!AD31, " ")</f>
        <v xml:space="preserve"> </v>
      </c>
      <c r="O17" s="446"/>
      <c r="P17" s="528"/>
      <c r="Q17" s="528"/>
      <c r="R17" s="117"/>
      <c r="S17" s="568" t="str">
        <f>IF('Casing Review'!$C$31&gt;0,'Casing Review'!T31, " ")</f>
        <v xml:space="preserve"> </v>
      </c>
      <c r="T17" s="568" t="str">
        <f>IF('Casing Review'!$C$31&gt;0,'Casing Review'!U31, " ")</f>
        <v xml:space="preserve"> </v>
      </c>
      <c r="U17" s="118" t="str">
        <f>IF('Casing Review'!$C$31&gt;0,'Casing Review'!V31, " ")</f>
        <v xml:space="preserve"> </v>
      </c>
      <c r="V17" s="568" t="str">
        <f>IF('Casing Review'!$C$31&gt;0,'Casing Review'!W31, " ")</f>
        <v xml:space="preserve"> </v>
      </c>
      <c r="W17" s="568" t="str">
        <f>IF('Casing Review'!$C$31&gt;0,'Casing Review'!X31, " ")</f>
        <v xml:space="preserve"> </v>
      </c>
      <c r="X17" s="118" t="str">
        <f>IF('Casing Review'!$C$31&gt;0,'Casing Review'!Y31, " ")</f>
        <v xml:space="preserve"> </v>
      </c>
      <c r="Y17" s="568" t="str">
        <f>IF('Casing Review'!$C$31&gt;0,'Casing Review'!Z31, " ")</f>
        <v xml:space="preserve"> </v>
      </c>
      <c r="Z17" s="118" t="str">
        <f>IF('Casing Review'!$C$31&gt;0,'Casing Review'!AA31, " ")</f>
        <v xml:space="preserve"> </v>
      </c>
      <c r="AA17" s="568" t="str">
        <f>IF('Casing Review'!$C$31&gt;0,'Casing Review'!AB31, " ")</f>
        <v xml:space="preserve"> </v>
      </c>
      <c r="AB17" s="610" t="str">
        <f>IF('Casing Review'!$C$31&gt;0,'Casing Review'!AC31, " ")</f>
        <v xml:space="preserve"> </v>
      </c>
      <c r="AC17" s="611" t="str">
        <f>IF('Casing Review'!$C$31&gt;0,'Casing Review'!AD31, " ")</f>
        <v xml:space="preserve"> </v>
      </c>
      <c r="AD17" s="118"/>
      <c r="AE17" s="528"/>
      <c r="AF17" s="528"/>
      <c r="AG17" s="117"/>
      <c r="AH17" s="568" t="str">
        <f>IF('Casing Review'!$C$31&gt;0,'Casing Review'!T31, " ")</f>
        <v xml:space="preserve"> </v>
      </c>
      <c r="AI17" s="568" t="str">
        <f>IF('Casing Review'!$C$31&gt;0,'Casing Review'!U31, " ")</f>
        <v xml:space="preserve"> </v>
      </c>
      <c r="AJ17" s="118" t="str">
        <f>IF('Casing Review'!$C$31&gt;0,'Casing Review'!V31, " ")</f>
        <v xml:space="preserve"> </v>
      </c>
      <c r="AK17" s="568" t="str">
        <f>IF('Casing Review'!$C$31&gt;0,'Casing Review'!W31, " ")</f>
        <v xml:space="preserve"> </v>
      </c>
      <c r="AL17" s="568" t="str">
        <f>IF('Casing Review'!$C$31&gt;0,'Casing Review'!X31, " ")</f>
        <v xml:space="preserve"> </v>
      </c>
      <c r="AM17" s="118" t="str">
        <f>IF('Casing Review'!$C$31&gt;0,'Casing Review'!Y31, " ")</f>
        <v xml:space="preserve"> </v>
      </c>
      <c r="AN17" s="568" t="str">
        <f>IF('Casing Review'!$C$31&gt;0,'Casing Review'!Z31, " ")</f>
        <v xml:space="preserve"> </v>
      </c>
      <c r="AO17" s="118" t="str">
        <f>IF('Casing Review'!$C$31&gt;0,'Casing Review'!AA31, " ")</f>
        <v xml:space="preserve"> </v>
      </c>
      <c r="AP17" s="568" t="str">
        <f>IF('Casing Review'!$C$31&gt;0,'Casing Review'!AB31, " ")</f>
        <v xml:space="preserve"> </v>
      </c>
      <c r="AQ17" s="610" t="str">
        <f>IF('Casing Review'!$C$31&gt;0,'Casing Review'!AC31, " ")</f>
        <v xml:space="preserve"> </v>
      </c>
      <c r="AR17" s="611" t="str">
        <f>IF('Casing Review'!$C$31&gt;0,'Casing Review'!AD31, " ")</f>
        <v xml:space="preserve"> </v>
      </c>
      <c r="AS17" s="568"/>
      <c r="AV17" s="117"/>
      <c r="AW17" s="568" t="str">
        <f>IF('Casing Review'!$C$31&gt;0,'Casing Review'!T31, " ")</f>
        <v xml:space="preserve"> </v>
      </c>
      <c r="AX17" s="568" t="str">
        <f>IF('Casing Review'!$C$31&gt;0,'Casing Review'!U31, " ")</f>
        <v xml:space="preserve"> </v>
      </c>
      <c r="AY17" s="118" t="str">
        <f>IF('Casing Review'!$C$31&gt;0,'Casing Review'!V31, " ")</f>
        <v xml:space="preserve"> </v>
      </c>
      <c r="AZ17" s="568" t="str">
        <f>IF('Casing Review'!$C$31&gt;0,'Casing Review'!W31, " ")</f>
        <v xml:space="preserve"> </v>
      </c>
      <c r="BA17" s="568" t="str">
        <f>IF('Casing Review'!$C$31&gt;0,'Casing Review'!X31, " ")</f>
        <v xml:space="preserve"> </v>
      </c>
      <c r="BB17" s="118" t="str">
        <f>IF('Casing Review'!$C$31&gt;0,'Casing Review'!Y31, " ")</f>
        <v xml:space="preserve"> </v>
      </c>
      <c r="BC17" s="568" t="str">
        <f>IF('Casing Review'!$C$31&gt;0,'Casing Review'!Z31, " ")</f>
        <v xml:space="preserve"> </v>
      </c>
      <c r="BD17" s="118" t="str">
        <f>IF('Casing Review'!$C$31&gt;0,'Casing Review'!AA31, " ")</f>
        <v xml:space="preserve"> </v>
      </c>
      <c r="BE17" s="568" t="str">
        <f>IF('Casing Review'!$C$31&gt;0,'Casing Review'!AB31, " ")</f>
        <v xml:space="preserve"> </v>
      </c>
      <c r="BF17" s="610" t="str">
        <f>IF('Casing Review'!$C$31&gt;0,'Casing Review'!AC31, " ")</f>
        <v xml:space="preserve"> </v>
      </c>
      <c r="BG17" s="611" t="str">
        <f>IF('Casing Review'!$C$31&gt;0,'Casing Review'!AD31, " ")</f>
        <v xml:space="preserve"> </v>
      </c>
    </row>
    <row r="18" spans="1:59" ht="30" customHeight="1" x14ac:dyDescent="0.25">
      <c r="A18" s="528"/>
      <c r="B18" s="528"/>
      <c r="C18" s="144" t="s">
        <v>242</v>
      </c>
      <c r="D18" s="139" t="s">
        <v>243</v>
      </c>
      <c r="E18" s="139" t="s">
        <v>244</v>
      </c>
      <c r="F18" s="140" t="s">
        <v>245</v>
      </c>
      <c r="G18" s="139" t="s">
        <v>246</v>
      </c>
      <c r="H18" s="139" t="s">
        <v>247</v>
      </c>
      <c r="I18" s="140" t="s">
        <v>248</v>
      </c>
      <c r="J18" s="139" t="s">
        <v>249</v>
      </c>
      <c r="K18" s="140" t="s">
        <v>250</v>
      </c>
      <c r="L18" s="139" t="s">
        <v>251</v>
      </c>
      <c r="M18" s="612" t="s">
        <v>252</v>
      </c>
      <c r="N18" s="613" t="s">
        <v>253</v>
      </c>
      <c r="O18" s="446"/>
      <c r="P18" s="528"/>
      <c r="Q18" s="528"/>
      <c r="R18" s="144" t="s">
        <v>242</v>
      </c>
      <c r="S18" s="139" t="s">
        <v>243</v>
      </c>
      <c r="T18" s="139" t="s">
        <v>244</v>
      </c>
      <c r="U18" s="140" t="s">
        <v>245</v>
      </c>
      <c r="V18" s="139" t="s">
        <v>246</v>
      </c>
      <c r="W18" s="139" t="s">
        <v>247</v>
      </c>
      <c r="X18" s="140" t="s">
        <v>248</v>
      </c>
      <c r="Y18" s="139" t="s">
        <v>249</v>
      </c>
      <c r="Z18" s="140" t="s">
        <v>250</v>
      </c>
      <c r="AA18" s="139" t="s">
        <v>251</v>
      </c>
      <c r="AB18" s="612" t="s">
        <v>252</v>
      </c>
      <c r="AC18" s="613" t="s">
        <v>253</v>
      </c>
      <c r="AD18" s="118"/>
      <c r="AE18" s="528"/>
      <c r="AF18" s="528"/>
      <c r="AG18" s="144" t="s">
        <v>242</v>
      </c>
      <c r="AH18" s="139" t="s">
        <v>243</v>
      </c>
      <c r="AI18" s="139" t="s">
        <v>244</v>
      </c>
      <c r="AJ18" s="140" t="s">
        <v>245</v>
      </c>
      <c r="AK18" s="139" t="s">
        <v>246</v>
      </c>
      <c r="AL18" s="139" t="s">
        <v>247</v>
      </c>
      <c r="AM18" s="140" t="s">
        <v>248</v>
      </c>
      <c r="AN18" s="139" t="s">
        <v>249</v>
      </c>
      <c r="AO18" s="140" t="s">
        <v>250</v>
      </c>
      <c r="AP18" s="139" t="s">
        <v>251</v>
      </c>
      <c r="AQ18" s="612" t="s">
        <v>252</v>
      </c>
      <c r="AR18" s="613" t="s">
        <v>253</v>
      </c>
      <c r="AS18" s="568"/>
      <c r="AV18" s="144" t="s">
        <v>242</v>
      </c>
      <c r="AW18" s="139" t="s">
        <v>243</v>
      </c>
      <c r="AX18" s="139" t="s">
        <v>244</v>
      </c>
      <c r="AY18" s="140" t="s">
        <v>245</v>
      </c>
      <c r="AZ18" s="139" t="s">
        <v>246</v>
      </c>
      <c r="BA18" s="139" t="s">
        <v>247</v>
      </c>
      <c r="BB18" s="140" t="s">
        <v>248</v>
      </c>
      <c r="BC18" s="139" t="s">
        <v>249</v>
      </c>
      <c r="BD18" s="140" t="s">
        <v>250</v>
      </c>
      <c r="BE18" s="139" t="s">
        <v>251</v>
      </c>
      <c r="BF18" s="612" t="s">
        <v>252</v>
      </c>
      <c r="BG18" s="613" t="s">
        <v>253</v>
      </c>
    </row>
    <row r="19" spans="1:59" x14ac:dyDescent="0.25">
      <c r="A19" s="528"/>
      <c r="B19" s="528"/>
      <c r="C19" s="614" t="str">
        <f t="shared" ref="C19:N21" si="3">IF(AG19=0,"",AG19)</f>
        <v xml:space="preserve"> </v>
      </c>
      <c r="D19" s="118" t="str">
        <f t="shared" si="3"/>
        <v xml:space="preserve"> </v>
      </c>
      <c r="E19" s="610" t="str">
        <f t="shared" si="3"/>
        <v xml:space="preserve"> </v>
      </c>
      <c r="F19" s="610" t="str">
        <f t="shared" si="3"/>
        <v xml:space="preserve"> </v>
      </c>
      <c r="G19" s="568" t="str">
        <f t="shared" si="3"/>
        <v xml:space="preserve"> </v>
      </c>
      <c r="H19" s="610" t="str">
        <f t="shared" si="3"/>
        <v xml:space="preserve"> </v>
      </c>
      <c r="I19" s="568" t="str">
        <f t="shared" si="3"/>
        <v xml:space="preserve"> </v>
      </c>
      <c r="J19" s="568" t="str">
        <f t="shared" si="3"/>
        <v xml:space="preserve"> </v>
      </c>
      <c r="K19" s="568" t="str">
        <f t="shared" si="3"/>
        <v xml:space="preserve"> </v>
      </c>
      <c r="L19" s="118" t="str">
        <f t="shared" si="3"/>
        <v xml:space="preserve"> </v>
      </c>
      <c r="M19" s="568" t="str">
        <f t="shared" si="3"/>
        <v xml:space="preserve"> </v>
      </c>
      <c r="N19" s="145" t="str">
        <f t="shared" si="3"/>
        <v xml:space="preserve"> </v>
      </c>
      <c r="O19" s="446"/>
      <c r="P19" s="528"/>
      <c r="Q19" s="528"/>
      <c r="R19" s="614" t="str">
        <f t="shared" ref="R19:AC21" si="4">IF(AG19=0,"",AG19)</f>
        <v xml:space="preserve"> </v>
      </c>
      <c r="S19" s="118" t="str">
        <f t="shared" si="4"/>
        <v xml:space="preserve"> </v>
      </c>
      <c r="T19" s="610" t="str">
        <f t="shared" si="4"/>
        <v xml:space="preserve"> </v>
      </c>
      <c r="U19" s="610" t="str">
        <f t="shared" si="4"/>
        <v xml:space="preserve"> </v>
      </c>
      <c r="V19" s="568" t="str">
        <f t="shared" si="4"/>
        <v xml:space="preserve"> </v>
      </c>
      <c r="W19" s="610" t="str">
        <f t="shared" si="4"/>
        <v xml:space="preserve"> </v>
      </c>
      <c r="X19" s="610" t="str">
        <f t="shared" si="4"/>
        <v xml:space="preserve"> </v>
      </c>
      <c r="Y19" s="610" t="str">
        <f t="shared" si="4"/>
        <v xml:space="preserve"> </v>
      </c>
      <c r="Z19" s="568" t="str">
        <f t="shared" si="4"/>
        <v xml:space="preserve"> </v>
      </c>
      <c r="AA19" s="118" t="str">
        <f t="shared" si="4"/>
        <v xml:space="preserve"> </v>
      </c>
      <c r="AB19" s="568" t="str">
        <f t="shared" si="4"/>
        <v xml:space="preserve"> </v>
      </c>
      <c r="AC19" s="145" t="str">
        <f t="shared" si="4"/>
        <v xml:space="preserve"> </v>
      </c>
      <c r="AD19" s="118"/>
      <c r="AE19" s="528"/>
      <c r="AF19" s="528"/>
      <c r="AG19" s="614" t="str">
        <f>IF('Casing Review'!$C$27&gt;0,'Casing Review'!$B$33, " ")</f>
        <v xml:space="preserve"> </v>
      </c>
      <c r="AH19" s="118" t="str">
        <f>IF('Casing Review'!$C$27&gt;0,'Casing Review'!$B$36, " ")</f>
        <v xml:space="preserve"> </v>
      </c>
      <c r="AI19" s="610" t="str">
        <f>IF('Casing Review'!$C$27&gt;0,'Casing Review'!$B$37, " ")</f>
        <v xml:space="preserve"> </v>
      </c>
      <c r="AJ19" s="610" t="str">
        <f>IF('Casing Review'!$C$27&gt;0,'Casing Review'!$B$38, " ")</f>
        <v xml:space="preserve"> </v>
      </c>
      <c r="AK19" s="568" t="str">
        <f>IF('Casing Review'!$C$27&gt;0,'Casing Review'!$L$39, " ")</f>
        <v xml:space="preserve"> </v>
      </c>
      <c r="AL19" s="610" t="str">
        <f>IF('Casing Review'!$C$27&gt;0,'Casing Review'!E$27, " ")</f>
        <v xml:space="preserve"> </v>
      </c>
      <c r="AM19" s="568" t="str">
        <f>IF('Casing Review'!$C$27&gt;0,'Casing Review'!F$27, " ")</f>
        <v xml:space="preserve"> </v>
      </c>
      <c r="AN19" s="568" t="str">
        <f>IF('Casing Review'!$C$27&gt;0,'Casing Review'!G$27, " ")</f>
        <v xml:space="preserve"> </v>
      </c>
      <c r="AO19" s="568" t="str">
        <f>IF('Casing Review'!$C$27&gt;0,'Casing Review'!H$27, " ")</f>
        <v xml:space="preserve"> </v>
      </c>
      <c r="AP19" s="615" t="str">
        <f>IF('Casing Review'!$C$27&gt;0,'Casing Review'!I$27, " ")</f>
        <v xml:space="preserve"> </v>
      </c>
      <c r="AQ19" s="568" t="str">
        <f>IF('Casing Review'!$C$27&gt;0,'Casing Review'!J$27, " ")</f>
        <v xml:space="preserve"> </v>
      </c>
      <c r="AR19" s="616" t="str">
        <f>IF('Casing Review'!$C$27&gt;0,'Casing Review'!K$27, " ")</f>
        <v xml:space="preserve"> </v>
      </c>
      <c r="AS19" s="568"/>
      <c r="AV19" s="614" t="str">
        <f t="shared" ref="AV19:BG21" si="5">IF(AG19=0,"",AG19)</f>
        <v xml:space="preserve"> </v>
      </c>
      <c r="AW19" s="118" t="str">
        <f t="shared" si="5"/>
        <v xml:space="preserve"> </v>
      </c>
      <c r="AX19" s="610" t="str">
        <f t="shared" si="5"/>
        <v xml:space="preserve"> </v>
      </c>
      <c r="AY19" s="610" t="str">
        <f t="shared" si="5"/>
        <v xml:space="preserve"> </v>
      </c>
      <c r="AZ19" s="568" t="str">
        <f t="shared" si="5"/>
        <v xml:space="preserve"> </v>
      </c>
      <c r="BA19" s="610" t="str">
        <f t="shared" si="5"/>
        <v xml:space="preserve"> </v>
      </c>
      <c r="BB19" s="568" t="str">
        <f t="shared" si="5"/>
        <v xml:space="preserve"> </v>
      </c>
      <c r="BC19" s="568" t="str">
        <f t="shared" si="5"/>
        <v xml:space="preserve"> </v>
      </c>
      <c r="BD19" s="568" t="str">
        <f t="shared" si="5"/>
        <v xml:space="preserve"> </v>
      </c>
      <c r="BE19" s="118" t="str">
        <f t="shared" si="5"/>
        <v xml:space="preserve"> </v>
      </c>
      <c r="BF19" s="568" t="str">
        <f t="shared" si="5"/>
        <v xml:space="preserve"> </v>
      </c>
      <c r="BG19" s="145" t="str">
        <f t="shared" si="5"/>
        <v xml:space="preserve"> </v>
      </c>
    </row>
    <row r="20" spans="1:59" x14ac:dyDescent="0.25">
      <c r="A20" s="528"/>
      <c r="B20" s="528"/>
      <c r="C20" s="117" t="str">
        <f t="shared" si="3"/>
        <v/>
      </c>
      <c r="D20" s="568" t="str">
        <f t="shared" si="3"/>
        <v/>
      </c>
      <c r="E20" s="610" t="str">
        <f t="shared" si="3"/>
        <v/>
      </c>
      <c r="F20" s="610" t="str">
        <f t="shared" si="3"/>
        <v/>
      </c>
      <c r="G20" s="568" t="str">
        <f t="shared" si="3"/>
        <v/>
      </c>
      <c r="H20" s="610" t="str">
        <f t="shared" si="3"/>
        <v xml:space="preserve"> </v>
      </c>
      <c r="I20" s="568" t="str">
        <f t="shared" si="3"/>
        <v xml:space="preserve"> </v>
      </c>
      <c r="J20" s="568" t="str">
        <f t="shared" si="3"/>
        <v xml:space="preserve"> </v>
      </c>
      <c r="K20" s="568" t="str">
        <f t="shared" si="3"/>
        <v xml:space="preserve"> </v>
      </c>
      <c r="L20" s="118" t="str">
        <f t="shared" si="3"/>
        <v xml:space="preserve"> </v>
      </c>
      <c r="M20" s="568" t="str">
        <f t="shared" si="3"/>
        <v xml:space="preserve"> </v>
      </c>
      <c r="N20" s="145" t="str">
        <f t="shared" si="3"/>
        <v xml:space="preserve"> </v>
      </c>
      <c r="O20" s="446"/>
      <c r="P20" s="528"/>
      <c r="Q20" s="528"/>
      <c r="R20" s="614" t="str">
        <f t="shared" si="4"/>
        <v/>
      </c>
      <c r="S20" s="118" t="str">
        <f t="shared" si="4"/>
        <v/>
      </c>
      <c r="T20" s="610" t="str">
        <f t="shared" si="4"/>
        <v/>
      </c>
      <c r="U20" s="610" t="str">
        <f t="shared" si="4"/>
        <v/>
      </c>
      <c r="V20" s="568" t="str">
        <f t="shared" si="4"/>
        <v/>
      </c>
      <c r="W20" s="610" t="str">
        <f t="shared" si="4"/>
        <v xml:space="preserve"> </v>
      </c>
      <c r="X20" s="610" t="str">
        <f t="shared" si="4"/>
        <v xml:space="preserve"> </v>
      </c>
      <c r="Y20" s="610" t="str">
        <f t="shared" si="4"/>
        <v xml:space="preserve"> </v>
      </c>
      <c r="Z20" s="568" t="str">
        <f t="shared" si="4"/>
        <v xml:space="preserve"> </v>
      </c>
      <c r="AA20" s="118" t="str">
        <f t="shared" si="4"/>
        <v xml:space="preserve"> </v>
      </c>
      <c r="AB20" s="568" t="str">
        <f t="shared" si="4"/>
        <v xml:space="preserve"> </v>
      </c>
      <c r="AC20" s="145" t="str">
        <f t="shared" si="4"/>
        <v xml:space="preserve"> </v>
      </c>
      <c r="AD20" s="118"/>
      <c r="AE20" s="528"/>
      <c r="AF20" s="528"/>
      <c r="AG20" s="117"/>
      <c r="AH20" s="118"/>
      <c r="AI20" s="568"/>
      <c r="AJ20" s="118"/>
      <c r="AK20" s="568"/>
      <c r="AL20" s="610" t="str">
        <f>IF('Casing Review'!$C$29&gt;0,'Casing Review'!E$29, " ")</f>
        <v xml:space="preserve"> </v>
      </c>
      <c r="AM20" s="568" t="str">
        <f>IF('Casing Review'!$C$29&gt;0,'Casing Review'!F$29, " ")</f>
        <v xml:space="preserve"> </v>
      </c>
      <c r="AN20" s="568" t="str">
        <f>IF('Casing Review'!$C$29&gt;0,'Casing Review'!G$29, " ")</f>
        <v xml:space="preserve"> </v>
      </c>
      <c r="AO20" s="568" t="str">
        <f>IF('Casing Review'!$C$29&gt;0,'Casing Review'!H$29, " ")</f>
        <v xml:space="preserve"> </v>
      </c>
      <c r="AP20" s="615" t="str">
        <f>IF('Casing Review'!$C$29&gt;0,'Casing Review'!I$29, " ")</f>
        <v xml:space="preserve"> </v>
      </c>
      <c r="AQ20" s="568" t="str">
        <f>IF('Casing Review'!$C$29&gt;0,'Casing Review'!J$29, " ")</f>
        <v xml:space="preserve"> </v>
      </c>
      <c r="AR20" s="616" t="str">
        <f>IF('Casing Review'!$C$29&gt;0,'Casing Review'!K$29, " ")</f>
        <v xml:space="preserve"> </v>
      </c>
      <c r="AS20" s="568"/>
      <c r="AV20" s="614" t="str">
        <f t="shared" si="5"/>
        <v/>
      </c>
      <c r="AW20" s="118" t="str">
        <f t="shared" si="5"/>
        <v/>
      </c>
      <c r="AX20" s="610" t="str">
        <f t="shared" si="5"/>
        <v/>
      </c>
      <c r="AY20" s="610" t="str">
        <f t="shared" si="5"/>
        <v/>
      </c>
      <c r="AZ20" s="568" t="str">
        <f t="shared" si="5"/>
        <v/>
      </c>
      <c r="BA20" s="610" t="str">
        <f t="shared" si="5"/>
        <v xml:space="preserve"> </v>
      </c>
      <c r="BB20" s="568" t="str">
        <f t="shared" si="5"/>
        <v xml:space="preserve"> </v>
      </c>
      <c r="BC20" s="568" t="str">
        <f t="shared" si="5"/>
        <v xml:space="preserve"> </v>
      </c>
      <c r="BD20" s="568" t="str">
        <f t="shared" si="5"/>
        <v xml:space="preserve"> </v>
      </c>
      <c r="BE20" s="118" t="str">
        <f t="shared" si="5"/>
        <v xml:space="preserve"> </v>
      </c>
      <c r="BF20" s="568" t="str">
        <f t="shared" si="5"/>
        <v xml:space="preserve"> </v>
      </c>
      <c r="BG20" s="145" t="str">
        <f t="shared" si="5"/>
        <v xml:space="preserve"> </v>
      </c>
    </row>
    <row r="21" spans="1:59" ht="15.75" customHeight="1" thickBot="1" x14ac:dyDescent="0.3">
      <c r="A21" s="528"/>
      <c r="B21" s="528"/>
      <c r="C21" s="119" t="str">
        <f t="shared" si="3"/>
        <v/>
      </c>
      <c r="D21" s="120" t="str">
        <f t="shared" si="3"/>
        <v/>
      </c>
      <c r="E21" s="617" t="str">
        <f t="shared" si="3"/>
        <v/>
      </c>
      <c r="F21" s="617" t="str">
        <f t="shared" si="3"/>
        <v/>
      </c>
      <c r="G21" s="120" t="str">
        <f t="shared" si="3"/>
        <v/>
      </c>
      <c r="H21" s="617" t="str">
        <f t="shared" si="3"/>
        <v xml:space="preserve"> </v>
      </c>
      <c r="I21" s="120" t="str">
        <f t="shared" si="3"/>
        <v xml:space="preserve"> </v>
      </c>
      <c r="J21" s="120" t="str">
        <f t="shared" si="3"/>
        <v xml:space="preserve"> </v>
      </c>
      <c r="K21" s="120" t="str">
        <f t="shared" si="3"/>
        <v xml:space="preserve"> </v>
      </c>
      <c r="L21" s="121" t="str">
        <f t="shared" si="3"/>
        <v xml:space="preserve"> </v>
      </c>
      <c r="M21" s="120" t="str">
        <f t="shared" si="3"/>
        <v xml:space="preserve"> </v>
      </c>
      <c r="N21" s="147" t="str">
        <f t="shared" si="3"/>
        <v xml:space="preserve"> </v>
      </c>
      <c r="O21" s="446"/>
      <c r="P21" s="528"/>
      <c r="Q21" s="528"/>
      <c r="R21" s="618" t="str">
        <f t="shared" si="4"/>
        <v/>
      </c>
      <c r="S21" s="121" t="str">
        <f t="shared" si="4"/>
        <v/>
      </c>
      <c r="T21" s="617" t="str">
        <f t="shared" si="4"/>
        <v/>
      </c>
      <c r="U21" s="617" t="str">
        <f t="shared" si="4"/>
        <v/>
      </c>
      <c r="V21" s="120" t="str">
        <f t="shared" si="4"/>
        <v/>
      </c>
      <c r="W21" s="617" t="str">
        <f t="shared" si="4"/>
        <v xml:space="preserve"> </v>
      </c>
      <c r="X21" s="617" t="str">
        <f t="shared" si="4"/>
        <v xml:space="preserve"> </v>
      </c>
      <c r="Y21" s="617" t="str">
        <f t="shared" si="4"/>
        <v xml:space="preserve"> </v>
      </c>
      <c r="Z21" s="120" t="str">
        <f t="shared" si="4"/>
        <v xml:space="preserve"> </v>
      </c>
      <c r="AA21" s="121" t="str">
        <f t="shared" si="4"/>
        <v xml:space="preserve"> </v>
      </c>
      <c r="AB21" s="120" t="str">
        <f t="shared" si="4"/>
        <v xml:space="preserve"> </v>
      </c>
      <c r="AC21" s="147" t="str">
        <f t="shared" si="4"/>
        <v xml:space="preserve"> </v>
      </c>
      <c r="AD21" s="118"/>
      <c r="AE21" s="528"/>
      <c r="AF21" s="528"/>
      <c r="AG21" s="119"/>
      <c r="AH21" s="121"/>
      <c r="AI21" s="120"/>
      <c r="AJ21" s="121"/>
      <c r="AK21" s="120"/>
      <c r="AL21" s="617" t="str">
        <f>IF('Casing Review'!$C$31&gt;0,'Casing Review'!E$31, " ")</f>
        <v xml:space="preserve"> </v>
      </c>
      <c r="AM21" s="120" t="str">
        <f>IF('Casing Review'!$C$31&gt;0,'Casing Review'!F$31, " ")</f>
        <v xml:space="preserve"> </v>
      </c>
      <c r="AN21" s="120" t="str">
        <f>IF('Casing Review'!$C$31&gt;0,'Casing Review'!G$31, " ")</f>
        <v xml:space="preserve"> </v>
      </c>
      <c r="AO21" s="120" t="str">
        <f>IF('Casing Review'!$C$31&gt;0,'Casing Review'!H$31, " ")</f>
        <v xml:space="preserve"> </v>
      </c>
      <c r="AP21" s="619" t="str">
        <f>IF('Casing Review'!$C$31&gt;0,'Casing Review'!I$31, " ")</f>
        <v xml:space="preserve"> </v>
      </c>
      <c r="AQ21" s="120" t="str">
        <f>IF('Casing Review'!$C$31&gt;0,'Casing Review'!J$31, " ")</f>
        <v xml:space="preserve"> </v>
      </c>
      <c r="AR21" s="620" t="str">
        <f>IF('Casing Review'!$C$31&gt;0,'Casing Review'!K$31, " ")</f>
        <v xml:space="preserve"> </v>
      </c>
      <c r="AS21" s="568"/>
      <c r="AV21" s="618" t="str">
        <f t="shared" si="5"/>
        <v/>
      </c>
      <c r="AW21" s="121" t="str">
        <f t="shared" si="5"/>
        <v/>
      </c>
      <c r="AX21" s="617" t="str">
        <f t="shared" si="5"/>
        <v/>
      </c>
      <c r="AY21" s="617" t="str">
        <f t="shared" si="5"/>
        <v/>
      </c>
      <c r="AZ21" s="120" t="str">
        <f t="shared" si="5"/>
        <v/>
      </c>
      <c r="BA21" s="617" t="str">
        <f t="shared" si="5"/>
        <v xml:space="preserve"> </v>
      </c>
      <c r="BB21" s="120" t="str">
        <f t="shared" si="5"/>
        <v xml:space="preserve"> </v>
      </c>
      <c r="BC21" s="120" t="str">
        <f t="shared" si="5"/>
        <v xml:space="preserve"> </v>
      </c>
      <c r="BD21" s="120" t="str">
        <f t="shared" si="5"/>
        <v xml:space="preserve"> </v>
      </c>
      <c r="BE21" s="121" t="str">
        <f t="shared" si="5"/>
        <v xml:space="preserve"> </v>
      </c>
      <c r="BF21" s="120" t="str">
        <f t="shared" si="5"/>
        <v xml:space="preserve"> </v>
      </c>
      <c r="BG21" s="147" t="str">
        <f t="shared" si="5"/>
        <v xml:space="preserve"> </v>
      </c>
    </row>
    <row r="22" spans="1:59" ht="30" customHeight="1" x14ac:dyDescent="0.25">
      <c r="A22" s="528"/>
      <c r="B22" s="528"/>
      <c r="C22" s="141" t="s">
        <v>38</v>
      </c>
      <c r="D22" s="142" t="s">
        <v>234</v>
      </c>
      <c r="E22" s="142" t="s">
        <v>235</v>
      </c>
      <c r="F22" s="142" t="s">
        <v>41</v>
      </c>
      <c r="G22" s="142" t="s">
        <v>236</v>
      </c>
      <c r="H22" s="142" t="s">
        <v>237</v>
      </c>
      <c r="I22" s="142" t="s">
        <v>44</v>
      </c>
      <c r="J22" s="142" t="s">
        <v>238</v>
      </c>
      <c r="K22" s="142" t="s">
        <v>46</v>
      </c>
      <c r="L22" s="142" t="s">
        <v>239</v>
      </c>
      <c r="M22" s="142" t="s">
        <v>240</v>
      </c>
      <c r="N22" s="143" t="s">
        <v>241</v>
      </c>
      <c r="O22" s="446"/>
      <c r="P22" s="528"/>
      <c r="Q22" s="528"/>
      <c r="R22" s="141" t="s">
        <v>38</v>
      </c>
      <c r="S22" s="142" t="s">
        <v>234</v>
      </c>
      <c r="T22" s="142" t="s">
        <v>235</v>
      </c>
      <c r="U22" s="142" t="s">
        <v>41</v>
      </c>
      <c r="V22" s="142" t="s">
        <v>236</v>
      </c>
      <c r="W22" s="142" t="s">
        <v>237</v>
      </c>
      <c r="X22" s="142" t="s">
        <v>44</v>
      </c>
      <c r="Y22" s="142" t="s">
        <v>238</v>
      </c>
      <c r="Z22" s="142" t="s">
        <v>46</v>
      </c>
      <c r="AA22" s="142" t="s">
        <v>239</v>
      </c>
      <c r="AB22" s="142" t="s">
        <v>240</v>
      </c>
      <c r="AC22" s="143" t="s">
        <v>241</v>
      </c>
      <c r="AD22" s="118"/>
      <c r="AE22" s="528"/>
      <c r="AF22" s="528"/>
      <c r="AG22" s="141" t="s">
        <v>38</v>
      </c>
      <c r="AH22" s="142" t="s">
        <v>234</v>
      </c>
      <c r="AI22" s="142" t="s">
        <v>235</v>
      </c>
      <c r="AJ22" s="142" t="s">
        <v>41</v>
      </c>
      <c r="AK22" s="142" t="s">
        <v>236</v>
      </c>
      <c r="AL22" s="142" t="s">
        <v>237</v>
      </c>
      <c r="AM22" s="142" t="s">
        <v>44</v>
      </c>
      <c r="AN22" s="142" t="s">
        <v>238</v>
      </c>
      <c r="AO22" s="142" t="s">
        <v>46</v>
      </c>
      <c r="AP22" s="142" t="s">
        <v>239</v>
      </c>
      <c r="AQ22" s="142" t="s">
        <v>240</v>
      </c>
      <c r="AR22" s="143" t="s">
        <v>241</v>
      </c>
      <c r="AS22" s="568"/>
      <c r="AV22" s="568"/>
      <c r="AW22" s="568"/>
      <c r="AX22" s="568"/>
      <c r="AY22" s="118"/>
      <c r="AZ22" s="568"/>
      <c r="BA22" s="568"/>
      <c r="BB22" s="118"/>
      <c r="BC22" s="568"/>
      <c r="BD22" s="118"/>
      <c r="BE22" s="568"/>
      <c r="BF22" s="610"/>
      <c r="BG22" s="610"/>
    </row>
    <row r="23" spans="1:59" x14ac:dyDescent="0.25">
      <c r="A23" s="528">
        <f>'Vertical WBD'!AD123</f>
        <v>0</v>
      </c>
      <c r="B23" s="528" t="s">
        <v>222</v>
      </c>
      <c r="C23" s="117" t="str">
        <f>IF('Casing Review'!$C$42&gt;0,'Casing Review'!S42, " ")</f>
        <v xml:space="preserve"> </v>
      </c>
      <c r="D23" s="568" t="str">
        <f>IF('Casing Review'!$C$42&gt;0,'Casing Review'!T42, " ")</f>
        <v xml:space="preserve"> </v>
      </c>
      <c r="E23" s="568" t="str">
        <f>IF('Casing Review'!$C$42&gt;0,'Casing Review'!U42, " ")</f>
        <v xml:space="preserve"> </v>
      </c>
      <c r="F23" s="118" t="str">
        <f>IF('Casing Review'!$C$42&gt;0,'Casing Review'!V42, " ")</f>
        <v xml:space="preserve"> </v>
      </c>
      <c r="G23" s="568" t="str">
        <f>IF('Casing Review'!$C$42&gt;0,'Casing Review'!W42, " ")</f>
        <v xml:space="preserve"> </v>
      </c>
      <c r="H23" s="568" t="str">
        <f>IF('Casing Review'!$C$42&gt;0,'Casing Review'!X42, " ")</f>
        <v xml:space="preserve"> </v>
      </c>
      <c r="I23" s="118" t="str">
        <f>IF('Casing Review'!$C$42&gt;0,'Casing Review'!Y42, " ")</f>
        <v xml:space="preserve"> </v>
      </c>
      <c r="J23" s="568" t="str">
        <f>IF('Casing Review'!$C$42&gt;0,'Casing Review'!Z42, " ")</f>
        <v xml:space="preserve"> </v>
      </c>
      <c r="K23" s="118" t="str">
        <f>IF('Casing Review'!$C$42&gt;0,'Casing Review'!AA42, " ")</f>
        <v xml:space="preserve"> </v>
      </c>
      <c r="L23" s="568" t="str">
        <f>IF('Casing Review'!$C$42&gt;0,'Casing Review'!AB42, " ")</f>
        <v xml:space="preserve"> </v>
      </c>
      <c r="M23" s="610" t="str">
        <f>IF('Casing Review'!$C$42&gt;0,'Casing Review'!AC42, " ")</f>
        <v xml:space="preserve"> </v>
      </c>
      <c r="N23" s="611" t="str">
        <f>IF('Casing Review'!$C$42&gt;0,'Casing Review'!AD42, " ")</f>
        <v xml:space="preserve"> </v>
      </c>
      <c r="O23" s="446"/>
      <c r="P23" s="528">
        <f>'Vertical WBD'!AU123</f>
        <v>0</v>
      </c>
      <c r="Q23" s="528" t="s">
        <v>230</v>
      </c>
      <c r="R23" s="117" t="str">
        <f>IF('Casing Review'!$C$57&gt;0,'Casing Review'!S57, " ")</f>
        <v xml:space="preserve"> </v>
      </c>
      <c r="S23" s="568" t="str">
        <f>IF('Casing Review'!$C$57&gt;0,'Casing Review'!T57, " ")</f>
        <v xml:space="preserve"> </v>
      </c>
      <c r="T23" s="568" t="str">
        <f>IF('Casing Review'!$C$57&gt;0,'Casing Review'!U57, " ")</f>
        <v xml:space="preserve"> </v>
      </c>
      <c r="U23" s="118" t="str">
        <f>IF('Casing Review'!$C$57&gt;0,'Casing Review'!V57, " ")</f>
        <v xml:space="preserve"> </v>
      </c>
      <c r="V23" s="568" t="str">
        <f>IF('Casing Review'!$C$57&gt;0,'Casing Review'!W57, " ")</f>
        <v xml:space="preserve"> </v>
      </c>
      <c r="W23" s="568" t="str">
        <f>IF('Casing Review'!$C$57&gt;0,'Casing Review'!X57, " ")</f>
        <v xml:space="preserve"> </v>
      </c>
      <c r="X23" s="118" t="str">
        <f>IF('Casing Review'!$C$57&gt;0,'Casing Review'!Y57, " ")</f>
        <v xml:space="preserve"> </v>
      </c>
      <c r="Y23" s="568" t="str">
        <f>IF('Casing Review'!$C$57&gt;0,'Casing Review'!Z57, " ")</f>
        <v xml:space="preserve"> </v>
      </c>
      <c r="Z23" s="118" t="str">
        <f>IF('Casing Review'!$C$57&gt;0,'Casing Review'!AA57, " ")</f>
        <v xml:space="preserve"> </v>
      </c>
      <c r="AA23" s="568" t="str">
        <f>IF('Casing Review'!$C$57&gt;0,'Casing Review'!AB57, " ")</f>
        <v xml:space="preserve"> </v>
      </c>
      <c r="AB23" s="610" t="str">
        <f>IF('Casing Review'!$C$57&gt;0,'Casing Review'!AC57, " ")</f>
        <v xml:space="preserve"> </v>
      </c>
      <c r="AC23" s="611" t="str">
        <f>IF('Casing Review'!$C$57&gt;0,'Casing Review'!AD57, " ")</f>
        <v xml:space="preserve"> </v>
      </c>
      <c r="AD23" s="118"/>
      <c r="AE23" s="528">
        <f>'Vertical WBD'!BL111</f>
        <v>0</v>
      </c>
      <c r="AF23" s="528" t="s">
        <v>222</v>
      </c>
      <c r="AG23" s="117" t="str">
        <f>IF('Casing Review'!$C$42&gt;0,'Casing Review'!S42, " ")</f>
        <v xml:space="preserve"> </v>
      </c>
      <c r="AH23" s="568" t="str">
        <f>IF('Casing Review'!$C$42&gt;0,'Casing Review'!T42, " ")</f>
        <v xml:space="preserve"> </v>
      </c>
      <c r="AI23" s="568" t="str">
        <f>IF('Casing Review'!$C$42&gt;0,'Casing Review'!U42, " ")</f>
        <v xml:space="preserve"> </v>
      </c>
      <c r="AJ23" s="118" t="str">
        <f>IF('Casing Review'!$C$42&gt;0,'Casing Review'!V42, " ")</f>
        <v xml:space="preserve"> </v>
      </c>
      <c r="AK23" s="568" t="str">
        <f>IF('Casing Review'!$C$42&gt;0,'Casing Review'!W42, " ")</f>
        <v xml:space="preserve"> </v>
      </c>
      <c r="AL23" s="568" t="str">
        <f>IF('Casing Review'!$C$42&gt;0,'Casing Review'!X42, " ")</f>
        <v xml:space="preserve"> </v>
      </c>
      <c r="AM23" s="118" t="str">
        <f>IF('Casing Review'!$C$42&gt;0,'Casing Review'!Y42, " ")</f>
        <v xml:space="preserve"> </v>
      </c>
      <c r="AN23" s="568" t="str">
        <f>IF('Casing Review'!$C$42&gt;0,'Casing Review'!Z42, " ")</f>
        <v xml:space="preserve"> </v>
      </c>
      <c r="AO23" s="118" t="str">
        <f>IF('Casing Review'!$C$42&gt;0,'Casing Review'!AA42, " ")</f>
        <v xml:space="preserve"> </v>
      </c>
      <c r="AP23" s="568" t="str">
        <f>IF('Casing Review'!$C$42&gt;0,'Casing Review'!AB42, " ")</f>
        <v xml:space="preserve"> </v>
      </c>
      <c r="AQ23" s="610" t="str">
        <f>IF('Casing Review'!$C$42&gt;0,'Casing Review'!AC42, " ")</f>
        <v xml:space="preserve"> </v>
      </c>
      <c r="AR23" s="611" t="str">
        <f>IF('Casing Review'!$C$42&gt;0,'Casing Review'!AD42, " ")</f>
        <v xml:space="preserve"> </v>
      </c>
      <c r="AS23" s="568"/>
    </row>
    <row r="24" spans="1:59" x14ac:dyDescent="0.25">
      <c r="C24" s="117"/>
      <c r="D24" s="568" t="str">
        <f>IF('Casing Review'!$C$44&gt;0,'Casing Review'!T44, " ")</f>
        <v xml:space="preserve"> </v>
      </c>
      <c r="E24" s="568" t="str">
        <f>IF('Casing Review'!$C$44&gt;0,'Casing Review'!U44, " ")</f>
        <v xml:space="preserve"> </v>
      </c>
      <c r="F24" s="118" t="str">
        <f>IF('Casing Review'!$C$44&gt;0,'Casing Review'!V44, " ")</f>
        <v xml:space="preserve"> </v>
      </c>
      <c r="G24" s="568" t="str">
        <f>IF('Casing Review'!$C$44&gt;0,'Casing Review'!W44, " ")</f>
        <v xml:space="preserve"> </v>
      </c>
      <c r="H24" s="568" t="str">
        <f>IF('Casing Review'!$C$44&gt;0,'Casing Review'!X44, " ")</f>
        <v xml:space="preserve"> </v>
      </c>
      <c r="I24" s="118" t="str">
        <f>IF('Casing Review'!$C$44&gt;0,'Casing Review'!Y44, " ")</f>
        <v xml:space="preserve"> </v>
      </c>
      <c r="J24" s="568" t="str">
        <f>IF('Casing Review'!$C$44&gt;0,'Casing Review'!Z44, " ")</f>
        <v xml:space="preserve"> </v>
      </c>
      <c r="K24" s="118" t="str">
        <f>IF('Casing Review'!$C$44&gt;0,'Casing Review'!AA44, " ")</f>
        <v xml:space="preserve"> </v>
      </c>
      <c r="L24" s="568" t="str">
        <f>IF('Casing Review'!$C$44&gt;0,'Casing Review'!AB44, " ")</f>
        <v xml:space="preserve"> </v>
      </c>
      <c r="M24" s="610" t="str">
        <f>IF('Casing Review'!$C$44&gt;0,'Casing Review'!AC44, " ")</f>
        <v xml:space="preserve"> </v>
      </c>
      <c r="N24" s="611" t="str">
        <f>IF('Casing Review'!$C$44&gt;0,'Casing Review'!AD44, " ")</f>
        <v xml:space="preserve"> </v>
      </c>
      <c r="O24" s="446"/>
      <c r="R24" s="117"/>
      <c r="S24" s="568" t="str">
        <f>IF('Casing Review'!$C$59&gt;0,'Casing Review'!T59, " ")</f>
        <v xml:space="preserve"> </v>
      </c>
      <c r="T24" s="568" t="str">
        <f>IF('Casing Review'!$C$59&gt;0,'Casing Review'!U59, " ")</f>
        <v xml:space="preserve"> </v>
      </c>
      <c r="U24" s="118" t="str">
        <f>IF('Casing Review'!$C$59&gt;0,'Casing Review'!V59, " ")</f>
        <v xml:space="preserve"> </v>
      </c>
      <c r="V24" s="568" t="str">
        <f>IF('Casing Review'!$C$59&gt;0,'Casing Review'!W59, " ")</f>
        <v xml:space="preserve"> </v>
      </c>
      <c r="W24" s="568" t="str">
        <f>IF('Casing Review'!$C$59&gt;0,'Casing Review'!X59, " ")</f>
        <v xml:space="preserve"> </v>
      </c>
      <c r="X24" s="118" t="str">
        <f>IF('Casing Review'!$C$59&gt;0,'Casing Review'!Y59, " ")</f>
        <v xml:space="preserve"> </v>
      </c>
      <c r="Y24" s="568" t="str">
        <f>IF('Casing Review'!$C$59&gt;0,'Casing Review'!Z59, " ")</f>
        <v xml:space="preserve"> </v>
      </c>
      <c r="Z24" s="118" t="str">
        <f>IF('Casing Review'!$C$59&gt;0,'Casing Review'!AA59, " ")</f>
        <v xml:space="preserve"> </v>
      </c>
      <c r="AA24" s="568" t="str">
        <f>IF('Casing Review'!$C$59&gt;0,'Casing Review'!AB59, " ")</f>
        <v xml:space="preserve"> </v>
      </c>
      <c r="AB24" s="610" t="str">
        <f>IF('Casing Review'!$C$59&gt;0,'Casing Review'!AC59, " ")</f>
        <v xml:space="preserve"> </v>
      </c>
      <c r="AC24" s="611" t="str">
        <f>IF('Casing Review'!$C$59&gt;0,'Casing Review'!AD59, " ")</f>
        <v xml:space="preserve"> </v>
      </c>
      <c r="AD24" s="118"/>
      <c r="AE24" s="528"/>
      <c r="AF24" s="528"/>
      <c r="AG24" s="117"/>
      <c r="AH24" s="568" t="str">
        <f>IF('Casing Review'!$C$44&gt;0,'Casing Review'!T44, " ")</f>
        <v xml:space="preserve"> </v>
      </c>
      <c r="AI24" s="568" t="str">
        <f>IF('Casing Review'!$C$44&gt;0,'Casing Review'!U44, " ")</f>
        <v xml:space="preserve"> </v>
      </c>
      <c r="AJ24" s="118" t="str">
        <f>IF('Casing Review'!$C$44&gt;0,'Casing Review'!V44, " ")</f>
        <v xml:space="preserve"> </v>
      </c>
      <c r="AK24" s="568" t="str">
        <f>IF('Casing Review'!$C$44&gt;0,'Casing Review'!W44, " ")</f>
        <v xml:space="preserve"> </v>
      </c>
      <c r="AL24" s="568" t="str">
        <f>IF('Casing Review'!$C$44&gt;0,'Casing Review'!X44, " ")</f>
        <v xml:space="preserve"> </v>
      </c>
      <c r="AM24" s="118" t="str">
        <f>IF('Casing Review'!$C$44&gt;0,'Casing Review'!Y44, " ")</f>
        <v xml:space="preserve"> </v>
      </c>
      <c r="AN24" s="568" t="str">
        <f>IF('Casing Review'!$C$44&gt;0,'Casing Review'!Z44, " ")</f>
        <v xml:space="preserve"> </v>
      </c>
      <c r="AO24" s="118" t="str">
        <f>IF('Casing Review'!$C$44&gt;0,'Casing Review'!AA44, " ")</f>
        <v xml:space="preserve"> </v>
      </c>
      <c r="AP24" s="568" t="str">
        <f>IF('Casing Review'!$C$44&gt;0,'Casing Review'!AB44, " ")</f>
        <v xml:space="preserve"> </v>
      </c>
      <c r="AQ24" s="610" t="str">
        <f>IF('Casing Review'!$C$44&gt;0,'Casing Review'!AC44, " ")</f>
        <v xml:space="preserve"> </v>
      </c>
      <c r="AR24" s="611" t="str">
        <f>IF('Casing Review'!$C$44&gt;0,'Casing Review'!AD44, " ")</f>
        <v xml:space="preserve"> </v>
      </c>
      <c r="AS24" s="568"/>
    </row>
    <row r="25" spans="1:59" x14ac:dyDescent="0.25">
      <c r="C25" s="117"/>
      <c r="D25" s="568" t="str">
        <f>IF('Casing Review'!$C$46&gt;0,'Casing Review'!T46, " ")</f>
        <v xml:space="preserve"> </v>
      </c>
      <c r="E25" s="568" t="str">
        <f>IF('Casing Review'!$C$46&gt;0,'Casing Review'!U46, " ")</f>
        <v xml:space="preserve"> </v>
      </c>
      <c r="F25" s="118" t="str">
        <f>IF('Casing Review'!$C$46&gt;0,'Casing Review'!V46, " ")</f>
        <v xml:space="preserve"> </v>
      </c>
      <c r="G25" s="568" t="str">
        <f>IF('Casing Review'!$C$46&gt;0,'Casing Review'!W46, " ")</f>
        <v xml:space="preserve"> </v>
      </c>
      <c r="H25" s="568" t="str">
        <f>IF('Casing Review'!$C$46&gt;0,'Casing Review'!X46, " ")</f>
        <v xml:space="preserve"> </v>
      </c>
      <c r="I25" s="118" t="str">
        <f>IF('Casing Review'!$C$46&gt;0,'Casing Review'!Y46, " ")</f>
        <v xml:space="preserve"> </v>
      </c>
      <c r="J25" s="568" t="str">
        <f>IF('Casing Review'!$C$46&gt;0,'Casing Review'!Z46, " ")</f>
        <v xml:space="preserve"> </v>
      </c>
      <c r="K25" s="118" t="str">
        <f>IF('Casing Review'!$C$46&gt;0,'Casing Review'!AA46, " ")</f>
        <v xml:space="preserve"> </v>
      </c>
      <c r="L25" s="568" t="str">
        <f>IF('Casing Review'!$C$46&gt;0,'Casing Review'!AB46, " ")</f>
        <v xml:space="preserve"> </v>
      </c>
      <c r="M25" s="610" t="str">
        <f>IF('Casing Review'!$C$46&gt;0,'Casing Review'!AC46, " ")</f>
        <v xml:space="preserve"> </v>
      </c>
      <c r="N25" s="611" t="str">
        <f>IF('Casing Review'!$C$46&gt;0,'Casing Review'!AD46, " ")</f>
        <v xml:space="preserve"> </v>
      </c>
      <c r="O25" s="446"/>
      <c r="R25" s="117"/>
      <c r="S25" s="568" t="str">
        <f>IF('Casing Review'!$C$61&gt;0,'Casing Review'!T61, " ")</f>
        <v xml:space="preserve"> </v>
      </c>
      <c r="T25" s="568" t="str">
        <f>IF('Casing Review'!$C$61&gt;0,'Casing Review'!U61, " ")</f>
        <v xml:space="preserve"> </v>
      </c>
      <c r="U25" s="118" t="str">
        <f>IF('Casing Review'!$C$61&gt;0,'Casing Review'!V61, " ")</f>
        <v xml:space="preserve"> </v>
      </c>
      <c r="V25" s="568" t="str">
        <f>IF('Casing Review'!$C$61&gt;0,'Casing Review'!W61, " ")</f>
        <v xml:space="preserve"> </v>
      </c>
      <c r="W25" s="568" t="str">
        <f>IF('Casing Review'!$C$61&gt;0,'Casing Review'!X61, " ")</f>
        <v xml:space="preserve"> </v>
      </c>
      <c r="X25" s="118" t="str">
        <f>IF('Casing Review'!$C$61&gt;0,'Casing Review'!Y61, " ")</f>
        <v xml:space="preserve"> </v>
      </c>
      <c r="Y25" s="568" t="str">
        <f>IF('Casing Review'!$C$61&gt;0,'Casing Review'!Z61, " ")</f>
        <v xml:space="preserve"> </v>
      </c>
      <c r="Z25" s="118" t="str">
        <f>IF('Casing Review'!$C$61&gt;0,'Casing Review'!AA61, " ")</f>
        <v xml:space="preserve"> </v>
      </c>
      <c r="AA25" s="568" t="str">
        <f>IF('Casing Review'!$C$61&gt;0,'Casing Review'!AB61, " ")</f>
        <v xml:space="preserve"> </v>
      </c>
      <c r="AB25" s="610" t="str">
        <f>IF('Casing Review'!$C$61&gt;0,'Casing Review'!AC61, " ")</f>
        <v xml:space="preserve"> </v>
      </c>
      <c r="AC25" s="611" t="str">
        <f>IF('Casing Review'!$C$61&gt;0,'Casing Review'!AD61, " ")</f>
        <v xml:space="preserve"> </v>
      </c>
      <c r="AD25" s="118"/>
      <c r="AE25" s="528"/>
      <c r="AF25" s="528"/>
      <c r="AG25" s="117"/>
      <c r="AH25" s="568" t="str">
        <f>IF('Casing Review'!$C$46&gt;0,'Casing Review'!T46, " ")</f>
        <v xml:space="preserve"> </v>
      </c>
      <c r="AI25" s="568" t="str">
        <f>IF('Casing Review'!$C$46&gt;0,'Casing Review'!U46, " ")</f>
        <v xml:space="preserve"> </v>
      </c>
      <c r="AJ25" s="118" t="str">
        <f>IF('Casing Review'!$C$46&gt;0,'Casing Review'!V46, " ")</f>
        <v xml:space="preserve"> </v>
      </c>
      <c r="AK25" s="568" t="str">
        <f>IF('Casing Review'!$C$46&gt;0,'Casing Review'!W46, " ")</f>
        <v xml:space="preserve"> </v>
      </c>
      <c r="AL25" s="568" t="str">
        <f>IF('Casing Review'!$C$46&gt;0,'Casing Review'!X46, " ")</f>
        <v xml:space="preserve"> </v>
      </c>
      <c r="AM25" s="118" t="str">
        <f>IF('Casing Review'!$C$46&gt;0,'Casing Review'!Y46, " ")</f>
        <v xml:space="preserve"> </v>
      </c>
      <c r="AN25" s="568" t="str">
        <f>IF('Casing Review'!$C$46&gt;0,'Casing Review'!Z46, " ")</f>
        <v xml:space="preserve"> </v>
      </c>
      <c r="AO25" s="118" t="str">
        <f>IF('Casing Review'!$C$46&gt;0,'Casing Review'!AA46, " ")</f>
        <v xml:space="preserve"> </v>
      </c>
      <c r="AP25" s="568" t="str">
        <f>IF('Casing Review'!$C$46&gt;0,'Casing Review'!AB46, " ")</f>
        <v xml:space="preserve"> </v>
      </c>
      <c r="AQ25" s="610" t="str">
        <f>IF('Casing Review'!$C$46&gt;0,'Casing Review'!AC46, " ")</f>
        <v xml:space="preserve"> </v>
      </c>
      <c r="AR25" s="611" t="str">
        <f>IF('Casing Review'!$C$46&gt;0,'Casing Review'!AD46, " ")</f>
        <v xml:space="preserve"> </v>
      </c>
      <c r="AS25" s="568"/>
    </row>
    <row r="26" spans="1:59" ht="30" customHeight="1" x14ac:dyDescent="0.25">
      <c r="C26" s="144" t="s">
        <v>242</v>
      </c>
      <c r="D26" s="139" t="s">
        <v>243</v>
      </c>
      <c r="E26" s="139" t="s">
        <v>244</v>
      </c>
      <c r="F26" s="140" t="s">
        <v>245</v>
      </c>
      <c r="G26" s="139" t="s">
        <v>246</v>
      </c>
      <c r="H26" s="139" t="s">
        <v>247</v>
      </c>
      <c r="I26" s="140" t="s">
        <v>248</v>
      </c>
      <c r="J26" s="139" t="s">
        <v>249</v>
      </c>
      <c r="K26" s="140" t="s">
        <v>250</v>
      </c>
      <c r="L26" s="139" t="s">
        <v>251</v>
      </c>
      <c r="M26" s="612" t="s">
        <v>252</v>
      </c>
      <c r="N26" s="613" t="s">
        <v>253</v>
      </c>
      <c r="O26" s="446"/>
      <c r="R26" s="144" t="s">
        <v>242</v>
      </c>
      <c r="S26" s="139" t="s">
        <v>243</v>
      </c>
      <c r="T26" s="139" t="s">
        <v>244</v>
      </c>
      <c r="U26" s="140" t="s">
        <v>245</v>
      </c>
      <c r="V26" s="139" t="s">
        <v>246</v>
      </c>
      <c r="W26" s="139" t="s">
        <v>247</v>
      </c>
      <c r="X26" s="140" t="s">
        <v>248</v>
      </c>
      <c r="Y26" s="139" t="s">
        <v>249</v>
      </c>
      <c r="Z26" s="140" t="s">
        <v>250</v>
      </c>
      <c r="AA26" s="139" t="s">
        <v>251</v>
      </c>
      <c r="AB26" s="612" t="s">
        <v>252</v>
      </c>
      <c r="AC26" s="613" t="s">
        <v>253</v>
      </c>
      <c r="AD26" s="118"/>
      <c r="AE26" s="528"/>
      <c r="AF26" s="528"/>
      <c r="AG26" s="144" t="s">
        <v>242</v>
      </c>
      <c r="AH26" s="139" t="s">
        <v>243</v>
      </c>
      <c r="AI26" s="139" t="s">
        <v>244</v>
      </c>
      <c r="AJ26" s="140" t="s">
        <v>245</v>
      </c>
      <c r="AK26" s="139" t="s">
        <v>246</v>
      </c>
      <c r="AL26" s="139" t="s">
        <v>247</v>
      </c>
      <c r="AM26" s="140" t="s">
        <v>248</v>
      </c>
      <c r="AN26" s="139" t="s">
        <v>249</v>
      </c>
      <c r="AO26" s="140" t="s">
        <v>250</v>
      </c>
      <c r="AP26" s="139" t="s">
        <v>251</v>
      </c>
      <c r="AQ26" s="612" t="s">
        <v>252</v>
      </c>
      <c r="AR26" s="613" t="s">
        <v>253</v>
      </c>
      <c r="AS26" s="568"/>
    </row>
    <row r="27" spans="1:59" x14ac:dyDescent="0.25">
      <c r="C27" s="614" t="str">
        <f t="shared" ref="C27:N29" si="6">IF(AG27=0,"",AG27)</f>
        <v xml:space="preserve"> </v>
      </c>
      <c r="D27" s="118" t="str">
        <f t="shared" si="6"/>
        <v xml:space="preserve"> </v>
      </c>
      <c r="E27" s="610" t="str">
        <f t="shared" si="6"/>
        <v xml:space="preserve"> </v>
      </c>
      <c r="F27" s="610" t="str">
        <f t="shared" si="6"/>
        <v xml:space="preserve"> </v>
      </c>
      <c r="G27" s="568" t="str">
        <f t="shared" si="6"/>
        <v xml:space="preserve"> </v>
      </c>
      <c r="H27" s="610" t="str">
        <f t="shared" si="6"/>
        <v xml:space="preserve"> </v>
      </c>
      <c r="I27" s="568" t="str">
        <f t="shared" si="6"/>
        <v xml:space="preserve"> </v>
      </c>
      <c r="J27" s="568" t="str">
        <f t="shared" si="6"/>
        <v xml:space="preserve"> </v>
      </c>
      <c r="K27" s="568" t="str">
        <f t="shared" si="6"/>
        <v xml:space="preserve"> </v>
      </c>
      <c r="L27" s="118" t="str">
        <f t="shared" si="6"/>
        <v xml:space="preserve"> </v>
      </c>
      <c r="M27" s="568" t="str">
        <f t="shared" si="6"/>
        <v xml:space="preserve"> </v>
      </c>
      <c r="N27" s="145" t="str">
        <f t="shared" si="6"/>
        <v xml:space="preserve"> </v>
      </c>
      <c r="O27" s="446"/>
      <c r="R27" s="614" t="str">
        <f t="shared" ref="R27:AC29" si="7">IF(AG35=0,"",AG35)</f>
        <v xml:space="preserve"> </v>
      </c>
      <c r="S27" s="118" t="str">
        <f t="shared" si="7"/>
        <v xml:space="preserve"> </v>
      </c>
      <c r="T27" s="610" t="str">
        <f t="shared" si="7"/>
        <v xml:space="preserve"> </v>
      </c>
      <c r="U27" s="610" t="str">
        <f t="shared" si="7"/>
        <v xml:space="preserve"> </v>
      </c>
      <c r="V27" s="568" t="str">
        <f t="shared" si="7"/>
        <v xml:space="preserve"> </v>
      </c>
      <c r="W27" s="610" t="str">
        <f t="shared" si="7"/>
        <v xml:space="preserve"> </v>
      </c>
      <c r="X27" s="610" t="str">
        <f t="shared" si="7"/>
        <v xml:space="preserve"> </v>
      </c>
      <c r="Y27" s="610" t="str">
        <f t="shared" si="7"/>
        <v xml:space="preserve"> </v>
      </c>
      <c r="Z27" s="568" t="str">
        <f t="shared" si="7"/>
        <v xml:space="preserve"> </v>
      </c>
      <c r="AA27" s="118" t="str">
        <f t="shared" si="7"/>
        <v xml:space="preserve"> </v>
      </c>
      <c r="AB27" s="568" t="str">
        <f t="shared" si="7"/>
        <v xml:space="preserve"> </v>
      </c>
      <c r="AC27" s="145" t="str">
        <f t="shared" si="7"/>
        <v xml:space="preserve"> </v>
      </c>
      <c r="AD27" s="118"/>
      <c r="AE27" s="528"/>
      <c r="AF27" s="528"/>
      <c r="AG27" s="614" t="str">
        <f>IF('Casing Review'!$C$42&gt;0,'Casing Review'!$B$48, " ")</f>
        <v xml:space="preserve"> </v>
      </c>
      <c r="AH27" s="118" t="str">
        <f>IF('Casing Review'!$C$42&gt;0,'Casing Review'!$B$51, " ")</f>
        <v xml:space="preserve"> </v>
      </c>
      <c r="AI27" s="610" t="str">
        <f>IF('Casing Review'!$C$42&gt;0,'Casing Review'!$B$52, " ")</f>
        <v xml:space="preserve"> </v>
      </c>
      <c r="AJ27" s="610" t="str">
        <f>IF('Casing Review'!$C$42&gt;0,'Casing Review'!$B$53, " ")</f>
        <v xml:space="preserve"> </v>
      </c>
      <c r="AK27" s="568" t="str">
        <f>IF('Casing Review'!$C$42&gt;0,'Casing Review'!$L$54, " ")</f>
        <v xml:space="preserve"> </v>
      </c>
      <c r="AL27" s="610" t="str">
        <f>IF('Casing Review'!$C$42&gt;0,'Casing Review'!E$42, " ")</f>
        <v xml:space="preserve"> </v>
      </c>
      <c r="AM27" s="610" t="str">
        <f>IF('Casing Review'!$C$42&gt;0,'Casing Review'!F$42, " ")</f>
        <v xml:space="preserve"> </v>
      </c>
      <c r="AN27" s="610" t="str">
        <f>IF('Casing Review'!$C$42&gt;0,'Casing Review'!G$42, " ")</f>
        <v xml:space="preserve"> </v>
      </c>
      <c r="AO27" s="610" t="str">
        <f>IF('Casing Review'!$C$42&gt;0,'Casing Review'!H$42, " ")</f>
        <v xml:space="preserve"> </v>
      </c>
      <c r="AP27" s="615" t="str">
        <f>IF('Casing Review'!$C$42&gt;0,'Casing Review'!I$42, " ")</f>
        <v xml:space="preserve"> </v>
      </c>
      <c r="AQ27" s="610" t="str">
        <f>IF('Casing Review'!$C$42&gt;0,'Casing Review'!J$42, " ")</f>
        <v xml:space="preserve"> </v>
      </c>
      <c r="AR27" s="616" t="str">
        <f>IF('Casing Review'!$C$42&gt;0,'Casing Review'!K$42, " ")</f>
        <v xml:space="preserve"> </v>
      </c>
      <c r="AS27" s="568"/>
    </row>
    <row r="28" spans="1:59" x14ac:dyDescent="0.25">
      <c r="C28" s="117" t="str">
        <f t="shared" si="6"/>
        <v/>
      </c>
      <c r="D28" s="568" t="str">
        <f t="shared" si="6"/>
        <v/>
      </c>
      <c r="E28" s="610" t="str">
        <f t="shared" si="6"/>
        <v/>
      </c>
      <c r="F28" s="610" t="str">
        <f t="shared" si="6"/>
        <v/>
      </c>
      <c r="G28" s="568" t="str">
        <f t="shared" si="6"/>
        <v/>
      </c>
      <c r="H28" s="610" t="str">
        <f t="shared" si="6"/>
        <v xml:space="preserve"> </v>
      </c>
      <c r="I28" s="568" t="str">
        <f t="shared" si="6"/>
        <v xml:space="preserve"> </v>
      </c>
      <c r="J28" s="568" t="str">
        <f t="shared" si="6"/>
        <v xml:space="preserve"> </v>
      </c>
      <c r="K28" s="568" t="str">
        <f t="shared" si="6"/>
        <v xml:space="preserve"> </v>
      </c>
      <c r="L28" s="118" t="str">
        <f t="shared" si="6"/>
        <v xml:space="preserve"> </v>
      </c>
      <c r="M28" s="568" t="str">
        <f t="shared" si="6"/>
        <v xml:space="preserve"> </v>
      </c>
      <c r="N28" s="145" t="str">
        <f t="shared" si="6"/>
        <v xml:space="preserve"> </v>
      </c>
      <c r="O28" s="446"/>
      <c r="R28" s="614" t="str">
        <f t="shared" si="7"/>
        <v/>
      </c>
      <c r="S28" s="118" t="str">
        <f t="shared" si="7"/>
        <v/>
      </c>
      <c r="T28" s="610" t="str">
        <f t="shared" si="7"/>
        <v/>
      </c>
      <c r="U28" s="610" t="str">
        <f t="shared" si="7"/>
        <v/>
      </c>
      <c r="V28" s="568" t="str">
        <f t="shared" si="7"/>
        <v/>
      </c>
      <c r="W28" s="610" t="str">
        <f t="shared" si="7"/>
        <v xml:space="preserve"> </v>
      </c>
      <c r="X28" s="610" t="str">
        <f t="shared" si="7"/>
        <v xml:space="preserve"> </v>
      </c>
      <c r="Y28" s="610" t="str">
        <f t="shared" si="7"/>
        <v xml:space="preserve"> </v>
      </c>
      <c r="Z28" s="568" t="str">
        <f t="shared" si="7"/>
        <v xml:space="preserve"> </v>
      </c>
      <c r="AA28" s="118" t="str">
        <f t="shared" si="7"/>
        <v xml:space="preserve"> </v>
      </c>
      <c r="AB28" s="568" t="str">
        <f t="shared" si="7"/>
        <v xml:space="preserve"> </v>
      </c>
      <c r="AC28" s="145" t="str">
        <f t="shared" si="7"/>
        <v xml:space="preserve"> </v>
      </c>
      <c r="AD28" s="118"/>
      <c r="AE28" s="528"/>
      <c r="AF28" s="528"/>
      <c r="AG28" s="136"/>
      <c r="AH28" s="138"/>
      <c r="AI28" s="137"/>
      <c r="AJ28" s="138"/>
      <c r="AK28" s="137"/>
      <c r="AL28" s="610" t="str">
        <f>IF('Casing Review'!$C$44&gt;0,'Casing Review'!E$44, " ")</f>
        <v xml:space="preserve"> </v>
      </c>
      <c r="AM28" s="610" t="str">
        <f>IF('Casing Review'!$C$44&gt;0,'Casing Review'!F$44, " ")</f>
        <v xml:space="preserve"> </v>
      </c>
      <c r="AN28" s="610" t="str">
        <f>IF('Casing Review'!$C$44&gt;0,'Casing Review'!G$44, " ")</f>
        <v xml:space="preserve"> </v>
      </c>
      <c r="AO28" s="610" t="str">
        <f>IF('Casing Review'!$C$44&gt;0,'Casing Review'!H$44, " ")</f>
        <v xml:space="preserve"> </v>
      </c>
      <c r="AP28" s="615" t="str">
        <f>IF('Casing Review'!$C$44&gt;0,'Casing Review'!I$44, " ")</f>
        <v xml:space="preserve"> </v>
      </c>
      <c r="AQ28" s="610" t="str">
        <f>IF('Casing Review'!$C$44&gt;0,'Casing Review'!J$44, " ")</f>
        <v xml:space="preserve"> </v>
      </c>
      <c r="AR28" s="616" t="str">
        <f>IF('Casing Review'!$C$44&gt;0,'Casing Review'!K$44, " ")</f>
        <v xml:space="preserve"> </v>
      </c>
      <c r="AS28" s="568"/>
    </row>
    <row r="29" spans="1:59" ht="15.75" customHeight="1" thickBot="1" x14ac:dyDescent="0.3">
      <c r="C29" s="119" t="str">
        <f t="shared" si="6"/>
        <v/>
      </c>
      <c r="D29" s="120" t="str">
        <f t="shared" si="6"/>
        <v/>
      </c>
      <c r="E29" s="617" t="str">
        <f t="shared" si="6"/>
        <v/>
      </c>
      <c r="F29" s="617" t="str">
        <f t="shared" si="6"/>
        <v/>
      </c>
      <c r="G29" s="120" t="str">
        <f t="shared" si="6"/>
        <v/>
      </c>
      <c r="H29" s="617" t="str">
        <f t="shared" si="6"/>
        <v xml:space="preserve"> </v>
      </c>
      <c r="I29" s="120" t="str">
        <f t="shared" si="6"/>
        <v xml:space="preserve"> </v>
      </c>
      <c r="J29" s="120" t="str">
        <f t="shared" si="6"/>
        <v xml:space="preserve"> </v>
      </c>
      <c r="K29" s="120" t="str">
        <f t="shared" si="6"/>
        <v xml:space="preserve"> </v>
      </c>
      <c r="L29" s="121" t="str">
        <f t="shared" si="6"/>
        <v xml:space="preserve"> </v>
      </c>
      <c r="M29" s="120" t="str">
        <f t="shared" si="6"/>
        <v xml:space="preserve"> </v>
      </c>
      <c r="N29" s="147" t="str">
        <f t="shared" si="6"/>
        <v xml:space="preserve"> </v>
      </c>
      <c r="O29" s="446"/>
      <c r="R29" s="618" t="str">
        <f t="shared" si="7"/>
        <v/>
      </c>
      <c r="S29" s="121" t="str">
        <f t="shared" si="7"/>
        <v/>
      </c>
      <c r="T29" s="617" t="str">
        <f t="shared" si="7"/>
        <v/>
      </c>
      <c r="U29" s="617" t="str">
        <f t="shared" si="7"/>
        <v/>
      </c>
      <c r="V29" s="120" t="str">
        <f t="shared" si="7"/>
        <v/>
      </c>
      <c r="W29" s="617" t="str">
        <f t="shared" si="7"/>
        <v xml:space="preserve"> </v>
      </c>
      <c r="X29" s="617" t="str">
        <f t="shared" si="7"/>
        <v xml:space="preserve"> </v>
      </c>
      <c r="Y29" s="617" t="str">
        <f t="shared" si="7"/>
        <v xml:space="preserve"> </v>
      </c>
      <c r="Z29" s="120" t="str">
        <f t="shared" si="7"/>
        <v xml:space="preserve"> </v>
      </c>
      <c r="AA29" s="121" t="str">
        <f t="shared" si="7"/>
        <v xml:space="preserve"> </v>
      </c>
      <c r="AB29" s="120" t="str">
        <f t="shared" si="7"/>
        <v xml:space="preserve"> </v>
      </c>
      <c r="AC29" s="147" t="str">
        <f t="shared" si="7"/>
        <v xml:space="preserve"> </v>
      </c>
      <c r="AD29" s="118"/>
      <c r="AE29" s="528"/>
      <c r="AF29" s="528"/>
      <c r="AG29" s="148"/>
      <c r="AH29" s="150"/>
      <c r="AI29" s="149"/>
      <c r="AJ29" s="150"/>
      <c r="AK29" s="149"/>
      <c r="AL29" s="617" t="str">
        <f>IF('Casing Review'!$C$46&gt;0,'Casing Review'!E$46, " ")</f>
        <v xml:space="preserve"> </v>
      </c>
      <c r="AM29" s="617" t="str">
        <f>IF('Casing Review'!$C$46&gt;0,'Casing Review'!F$46, " ")</f>
        <v xml:space="preserve"> </v>
      </c>
      <c r="AN29" s="617" t="str">
        <f>IF('Casing Review'!$C$46&gt;0,'Casing Review'!G$46, " ")</f>
        <v xml:space="preserve"> </v>
      </c>
      <c r="AO29" s="617" t="str">
        <f>IF('Casing Review'!$C$46&gt;0,'Casing Review'!H$46, " ")</f>
        <v xml:space="preserve"> </v>
      </c>
      <c r="AP29" s="619" t="str">
        <f>IF('Casing Review'!$C$46&gt;0,'Casing Review'!I$46, " ")</f>
        <v xml:space="preserve"> </v>
      </c>
      <c r="AQ29" s="617" t="str">
        <f>IF('Casing Review'!$C$46&gt;0,'Casing Review'!J$46, " ")</f>
        <v xml:space="preserve"> </v>
      </c>
      <c r="AR29" s="620" t="str">
        <f>IF('Casing Review'!$C$46&gt;0,'Casing Review'!K$46, " ")</f>
        <v xml:space="preserve"> </v>
      </c>
      <c r="AS29" s="568"/>
    </row>
    <row r="30" spans="1:59" ht="30" customHeight="1" x14ac:dyDescent="0.25">
      <c r="C30" s="568"/>
      <c r="D30" s="568"/>
      <c r="E30" s="568"/>
      <c r="F30" s="118"/>
      <c r="G30" s="568"/>
      <c r="H30" s="568"/>
      <c r="I30" s="118"/>
      <c r="J30" s="568"/>
      <c r="K30" s="118"/>
      <c r="L30" s="568"/>
      <c r="M30" s="610"/>
      <c r="N30" s="610"/>
      <c r="O30" s="446"/>
      <c r="R30" s="568"/>
      <c r="S30" s="568"/>
      <c r="T30" s="568"/>
      <c r="U30" s="118"/>
      <c r="V30" s="568"/>
      <c r="W30" s="568"/>
      <c r="X30" s="118"/>
      <c r="Y30" s="568"/>
      <c r="Z30" s="118"/>
      <c r="AA30" s="568"/>
      <c r="AB30" s="610"/>
      <c r="AC30" s="610"/>
      <c r="AD30" s="118"/>
      <c r="AE30" s="528"/>
      <c r="AF30" s="528"/>
      <c r="AG30" s="141" t="s">
        <v>38</v>
      </c>
      <c r="AH30" s="142" t="s">
        <v>234</v>
      </c>
      <c r="AI30" s="142" t="s">
        <v>235</v>
      </c>
      <c r="AJ30" s="142" t="s">
        <v>41</v>
      </c>
      <c r="AK30" s="142" t="s">
        <v>236</v>
      </c>
      <c r="AL30" s="142" t="s">
        <v>237</v>
      </c>
      <c r="AM30" s="142" t="s">
        <v>44</v>
      </c>
      <c r="AN30" s="142" t="s">
        <v>238</v>
      </c>
      <c r="AO30" s="142" t="s">
        <v>46</v>
      </c>
      <c r="AP30" s="142" t="s">
        <v>239</v>
      </c>
      <c r="AQ30" s="142" t="s">
        <v>240</v>
      </c>
      <c r="AR30" s="143" t="s">
        <v>241</v>
      </c>
      <c r="AS30" s="568"/>
    </row>
    <row r="31" spans="1:59" x14ac:dyDescent="0.25">
      <c r="C31" s="446"/>
      <c r="D31" s="446"/>
      <c r="E31" s="446"/>
      <c r="F31" s="446"/>
      <c r="G31" s="446"/>
      <c r="H31" s="446"/>
      <c r="I31" s="446"/>
      <c r="J31" s="446"/>
      <c r="K31" s="446"/>
      <c r="L31" s="446"/>
      <c r="M31" s="446"/>
      <c r="N31" s="446"/>
      <c r="O31" s="446"/>
      <c r="R31" s="446"/>
      <c r="S31" s="446"/>
      <c r="T31" s="446"/>
      <c r="U31" s="446"/>
      <c r="V31" s="446"/>
      <c r="W31" s="446"/>
      <c r="X31" s="242"/>
      <c r="Y31" s="446"/>
      <c r="Z31" s="446"/>
      <c r="AA31" s="446"/>
      <c r="AB31" s="446"/>
      <c r="AC31" s="446"/>
      <c r="AD31" s="446"/>
      <c r="AE31" s="528">
        <f>'Vertical WBD'!BL123</f>
        <v>0</v>
      </c>
      <c r="AF31" s="528" t="str">
        <f>'Vertical WBD'!BM123</f>
        <v>'' Casing</v>
      </c>
      <c r="AG31" s="117" t="str">
        <f>IF('Casing Review'!$C$57&gt;0,'Casing Review'!S57, " ")</f>
        <v xml:space="preserve"> </v>
      </c>
      <c r="AH31" s="568" t="str">
        <f>IF('Casing Review'!$C$57&gt;0,'Casing Review'!T57, " ")</f>
        <v xml:space="preserve"> </v>
      </c>
      <c r="AI31" s="568" t="str">
        <f>IF('Casing Review'!$C$57&gt;0,'Casing Review'!U57, " ")</f>
        <v xml:space="preserve"> </v>
      </c>
      <c r="AJ31" s="118" t="str">
        <f>IF('Casing Review'!$C$57&gt;0,'Casing Review'!V57, " ")</f>
        <v xml:space="preserve"> </v>
      </c>
      <c r="AK31" s="568" t="str">
        <f>IF('Casing Review'!$C$57&gt;0,'Casing Review'!W57, " ")</f>
        <v xml:space="preserve"> </v>
      </c>
      <c r="AL31" s="568" t="str">
        <f>IF('Casing Review'!$C$57&gt;0,'Casing Review'!X57, " ")</f>
        <v xml:space="preserve"> </v>
      </c>
      <c r="AM31" s="118" t="str">
        <f>IF('Casing Review'!$C$57&gt;0,'Casing Review'!Y57, " ")</f>
        <v xml:space="preserve"> </v>
      </c>
      <c r="AN31" s="568" t="str">
        <f>IF('Casing Review'!$C$57&gt;0,'Casing Review'!Z57, " ")</f>
        <v xml:space="preserve"> </v>
      </c>
      <c r="AO31" s="118" t="str">
        <f>IF('Casing Review'!$C$57&gt;0,'Casing Review'!AA57, " ")</f>
        <v xml:space="preserve"> </v>
      </c>
      <c r="AP31" s="568" t="str">
        <f>IF('Casing Review'!$C$57&gt;0,'Casing Review'!AB57, " ")</f>
        <v xml:space="preserve"> </v>
      </c>
      <c r="AQ31" s="610" t="str">
        <f>IF('Casing Review'!$C$57&gt;0,'Casing Review'!AC57, " ")</f>
        <v xml:space="preserve"> </v>
      </c>
      <c r="AR31" s="611" t="str">
        <f>IF('Casing Review'!$C$57&gt;0,'Casing Review'!AD57, " ")</f>
        <v xml:space="preserve"> </v>
      </c>
      <c r="AS31" s="568"/>
    </row>
    <row r="32" spans="1:59" x14ac:dyDescent="0.25">
      <c r="C32" s="446"/>
      <c r="E32" s="446"/>
      <c r="F32" s="242"/>
      <c r="H32" s="446"/>
      <c r="I32" s="242"/>
      <c r="K32" s="242"/>
      <c r="L32" s="446"/>
      <c r="M32" s="242"/>
      <c r="N32" s="242"/>
      <c r="O32" s="242"/>
      <c r="AG32" s="117"/>
      <c r="AH32" s="568" t="str">
        <f>IF('Casing Review'!$C$59&gt;0,'Casing Review'!T59, " ")</f>
        <v xml:space="preserve"> </v>
      </c>
      <c r="AI32" s="568" t="str">
        <f>IF('Casing Review'!$C$59&gt;0,'Casing Review'!U59, " ")</f>
        <v xml:space="preserve"> </v>
      </c>
      <c r="AJ32" s="118" t="str">
        <f>IF('Casing Review'!$C$59&gt;0,'Casing Review'!V59, " ")</f>
        <v xml:space="preserve"> </v>
      </c>
      <c r="AK32" s="568" t="str">
        <f>IF('Casing Review'!$C$59&gt;0,'Casing Review'!W59, " ")</f>
        <v xml:space="preserve"> </v>
      </c>
      <c r="AL32" s="568" t="str">
        <f>IF('Casing Review'!$C$59&gt;0,'Casing Review'!X59, " ")</f>
        <v xml:space="preserve"> </v>
      </c>
      <c r="AM32" s="118" t="str">
        <f>IF('Casing Review'!$C$59&gt;0,'Casing Review'!Y59, " ")</f>
        <v xml:space="preserve"> </v>
      </c>
      <c r="AN32" s="568" t="str">
        <f>IF('Casing Review'!$C$59&gt;0,'Casing Review'!Z59, " ")</f>
        <v xml:space="preserve"> </v>
      </c>
      <c r="AO32" s="118" t="str">
        <f>IF('Casing Review'!$C$59&gt;0,'Casing Review'!AA59, " ")</f>
        <v xml:space="preserve"> </v>
      </c>
      <c r="AP32" s="568" t="str">
        <f>IF('Casing Review'!$C$59&gt;0,'Casing Review'!AB59, " ")</f>
        <v xml:space="preserve"> </v>
      </c>
      <c r="AQ32" s="568" t="str">
        <f>IF('Casing Review'!$C$59&gt;0,'Casing Review'!AC59, " ")</f>
        <v xml:space="preserve"> </v>
      </c>
      <c r="AR32" s="611" t="str">
        <f>IF('Casing Review'!$C$59&gt;0,'Casing Review'!AD59, " ")</f>
        <v xml:space="preserve"> </v>
      </c>
      <c r="AS32" s="568"/>
    </row>
    <row r="33" spans="3:45" x14ac:dyDescent="0.25">
      <c r="C33" s="446"/>
      <c r="E33" s="446"/>
      <c r="F33" s="242"/>
      <c r="H33" s="446"/>
      <c r="I33" s="242"/>
      <c r="L33" s="446"/>
      <c r="AG33" s="117"/>
      <c r="AH33" s="568" t="str">
        <f>IF('Casing Review'!$C$61&gt;0,'Casing Review'!T61, " ")</f>
        <v xml:space="preserve"> </v>
      </c>
      <c r="AI33" s="568" t="str">
        <f>IF('Casing Review'!$C$61&gt;0,'Casing Review'!U61, " ")</f>
        <v xml:space="preserve"> </v>
      </c>
      <c r="AJ33" s="118" t="str">
        <f>IF('Casing Review'!$C$61&gt;0,'Casing Review'!V61, " ")</f>
        <v xml:space="preserve"> </v>
      </c>
      <c r="AK33" s="568" t="str">
        <f>IF('Casing Review'!$C$61&gt;0,'Casing Review'!W61, " ")</f>
        <v xml:space="preserve"> </v>
      </c>
      <c r="AL33" s="568" t="str">
        <f>IF('Casing Review'!$C$61&gt;0,'Casing Review'!X61, " ")</f>
        <v xml:space="preserve"> </v>
      </c>
      <c r="AM33" s="118" t="str">
        <f>IF('Casing Review'!$C$61&gt;0,'Casing Review'!Y61, " ")</f>
        <v xml:space="preserve"> </v>
      </c>
      <c r="AN33" s="568" t="str">
        <f>IF('Casing Review'!$C$61&gt;0,'Casing Review'!Z61, " ")</f>
        <v xml:space="preserve"> </v>
      </c>
      <c r="AO33" s="118" t="str">
        <f>IF('Casing Review'!$C$61&gt;0,'Casing Review'!AA61, " ")</f>
        <v xml:space="preserve"> </v>
      </c>
      <c r="AP33" s="568" t="str">
        <f>IF('Casing Review'!$C$61&gt;0,'Casing Review'!AB61, " ")</f>
        <v xml:space="preserve"> </v>
      </c>
      <c r="AQ33" s="568" t="str">
        <f>IF('Casing Review'!$C$61&gt;0,'Casing Review'!AC61, " ")</f>
        <v xml:space="preserve"> </v>
      </c>
      <c r="AR33" s="611" t="str">
        <f>IF('Casing Review'!$C$61&gt;0,'Casing Review'!AD61, " ")</f>
        <v xml:space="preserve"> </v>
      </c>
      <c r="AS33" s="568"/>
    </row>
    <row r="34" spans="3:45" ht="30" customHeight="1" x14ac:dyDescent="0.25">
      <c r="C34" s="446"/>
      <c r="E34" s="446"/>
      <c r="F34" s="242"/>
      <c r="H34" s="446"/>
      <c r="I34" s="242"/>
      <c r="L34" s="446"/>
      <c r="AG34" s="144" t="s">
        <v>242</v>
      </c>
      <c r="AH34" s="139" t="s">
        <v>243</v>
      </c>
      <c r="AI34" s="139" t="s">
        <v>244</v>
      </c>
      <c r="AJ34" s="140" t="s">
        <v>245</v>
      </c>
      <c r="AK34" s="139" t="s">
        <v>246</v>
      </c>
      <c r="AL34" s="139" t="s">
        <v>247</v>
      </c>
      <c r="AM34" s="140" t="s">
        <v>248</v>
      </c>
      <c r="AN34" s="139" t="s">
        <v>249</v>
      </c>
      <c r="AO34" s="140" t="s">
        <v>250</v>
      </c>
      <c r="AP34" s="139" t="s">
        <v>251</v>
      </c>
      <c r="AQ34" s="612" t="s">
        <v>252</v>
      </c>
      <c r="AR34" s="613" t="s">
        <v>253</v>
      </c>
    </row>
    <row r="35" spans="3:45" x14ac:dyDescent="0.25">
      <c r="C35" s="446"/>
      <c r="E35" s="446"/>
      <c r="F35" s="242"/>
      <c r="H35" s="446"/>
      <c r="I35" s="242"/>
      <c r="L35" s="446"/>
      <c r="AG35" s="614" t="str">
        <f>IF('Casing Review'!$C$57&gt;0,'Casing Review'!$B$63, " ")</f>
        <v xml:space="preserve"> </v>
      </c>
      <c r="AH35" s="118" t="str">
        <f>IF('Casing Review'!$C$57&gt;0,'Casing Review'!$B$66, " ")</f>
        <v xml:space="preserve"> </v>
      </c>
      <c r="AI35" s="610" t="str">
        <f>IF('Casing Review'!$C$57&gt;0,'Casing Review'!$B$67, " ")</f>
        <v xml:space="preserve"> </v>
      </c>
      <c r="AJ35" s="610" t="str">
        <f>IF('Casing Review'!$C$57&gt;0,'Casing Review'!$B$68, " ")</f>
        <v xml:space="preserve"> </v>
      </c>
      <c r="AK35" s="568" t="str">
        <f>IF('Casing Review'!$C$57&gt;0,'Casing Review'!$B$69, " ")</f>
        <v xml:space="preserve"> </v>
      </c>
      <c r="AL35" s="610" t="str">
        <f>IF('Casing Review'!$C$57&gt;0,'Casing Review'!E$57, " ")</f>
        <v xml:space="preserve"> </v>
      </c>
      <c r="AM35" s="610" t="str">
        <f>IF('Casing Review'!$C$57&gt;0,'Casing Review'!F$57, " ")</f>
        <v xml:space="preserve"> </v>
      </c>
      <c r="AN35" s="610" t="str">
        <f>IF('Casing Review'!$C$57&gt;0,'Casing Review'!G$57, " ")</f>
        <v xml:space="preserve"> </v>
      </c>
      <c r="AO35" s="610" t="str">
        <f>IF('Casing Review'!$C$57&gt;0,'Casing Review'!H$57, " ")</f>
        <v xml:space="preserve"> </v>
      </c>
      <c r="AP35" s="615" t="str">
        <f>IF('Casing Review'!$C$57&gt;0,'Casing Review'!I$57, " ")</f>
        <v xml:space="preserve"> </v>
      </c>
      <c r="AQ35" s="610" t="str">
        <f>IF('Casing Review'!$C$57&gt;0,'Casing Review'!J$57, " ")</f>
        <v xml:space="preserve"> </v>
      </c>
      <c r="AR35" s="616" t="str">
        <f>IF('Casing Review'!$C$57&gt;0,'Casing Review'!K$57, " ")</f>
        <v xml:space="preserve"> </v>
      </c>
    </row>
    <row r="36" spans="3:45" x14ac:dyDescent="0.25">
      <c r="C36" s="446"/>
      <c r="E36" s="446"/>
      <c r="F36" s="242"/>
      <c r="H36" s="446"/>
      <c r="I36" s="242"/>
      <c r="L36" s="446"/>
      <c r="AG36" s="598"/>
      <c r="AH36" s="242"/>
      <c r="AK36" s="446"/>
      <c r="AL36" s="610" t="str">
        <f>IF('Casing Review'!$C$59&gt;0,'Casing Review'!E$59, " ")</f>
        <v xml:space="preserve"> </v>
      </c>
      <c r="AM36" s="610" t="str">
        <f>IF('Casing Review'!$C$59&gt;0,'Casing Review'!F$59, " ")</f>
        <v xml:space="preserve"> </v>
      </c>
      <c r="AN36" s="610" t="str">
        <f>IF('Casing Review'!$C$59&gt;0,'Casing Review'!G$59, " ")</f>
        <v xml:space="preserve"> </v>
      </c>
      <c r="AO36" s="610" t="str">
        <f>IF('Casing Review'!$C$59&gt;0,'Casing Review'!H$59, " ")</f>
        <v xml:space="preserve"> </v>
      </c>
      <c r="AP36" s="615" t="str">
        <f>IF('Casing Review'!$C$59&gt;0,'Casing Review'!I$59, " ")</f>
        <v xml:space="preserve"> </v>
      </c>
      <c r="AQ36" s="610" t="str">
        <f>IF('Casing Review'!$C$59&gt;0,'Casing Review'!J$59, " ")</f>
        <v xml:space="preserve"> </v>
      </c>
      <c r="AR36" s="616" t="str">
        <f>IF('Casing Review'!$C$59&gt;0,'Casing Review'!K$59, " ")</f>
        <v xml:space="preserve"> </v>
      </c>
    </row>
    <row r="37" spans="3:45" ht="15.75" customHeight="1" thickBot="1" x14ac:dyDescent="0.3">
      <c r="C37" s="446"/>
      <c r="E37" s="446"/>
      <c r="F37" s="242"/>
      <c r="H37" s="446"/>
      <c r="I37" s="242"/>
      <c r="L37" s="446"/>
      <c r="AG37" s="584"/>
      <c r="AH37" s="124"/>
      <c r="AI37" s="576"/>
      <c r="AJ37" s="576"/>
      <c r="AK37" s="153"/>
      <c r="AL37" s="617" t="str">
        <f>IF('Casing Review'!$C$61&gt;0,'Casing Review'!E$61, " ")</f>
        <v xml:space="preserve"> </v>
      </c>
      <c r="AM37" s="617" t="str">
        <f>IF('Casing Review'!$C$61&gt;0,'Casing Review'!F$61, " ")</f>
        <v xml:space="preserve"> </v>
      </c>
      <c r="AN37" s="617" t="str">
        <f>IF('Casing Review'!$C$61&gt;0,'Casing Review'!G$61, " ")</f>
        <v xml:space="preserve"> </v>
      </c>
      <c r="AO37" s="617" t="str">
        <f>IF('Casing Review'!$C$61&gt;0,'Casing Review'!H$61, " ")</f>
        <v xml:space="preserve"> </v>
      </c>
      <c r="AP37" s="619" t="str">
        <f>IF('Casing Review'!$C$61&gt;0,'Casing Review'!I$61, " ")</f>
        <v xml:space="preserve"> </v>
      </c>
      <c r="AQ37" s="617" t="str">
        <f>IF('Casing Review'!$C$61&gt;0,'Casing Review'!J$61, " ")</f>
        <v xml:space="preserve"> </v>
      </c>
      <c r="AR37" s="620" t="str">
        <f>IF('Casing Review'!$C$61&gt;0,'Casing Review'!K$61, " ")</f>
        <v xml:space="preserve"> </v>
      </c>
    </row>
    <row r="38" spans="3:45" x14ac:dyDescent="0.25">
      <c r="C38" s="446"/>
      <c r="E38" s="446"/>
      <c r="F38" s="242"/>
      <c r="H38" s="446"/>
      <c r="I38" s="242"/>
      <c r="L38" s="446"/>
    </row>
    <row r="39" spans="3:45" x14ac:dyDescent="0.25">
      <c r="E39" s="446"/>
      <c r="F39" s="242"/>
      <c r="I39" s="242"/>
    </row>
    <row r="40" spans="3:45" x14ac:dyDescent="0.25">
      <c r="E40" s="446"/>
      <c r="F40" s="242"/>
    </row>
  </sheetData>
  <mergeCells count="12">
    <mergeCell ref="P3:AC3"/>
    <mergeCell ref="P4:AC4"/>
    <mergeCell ref="A2:N2"/>
    <mergeCell ref="A3:N3"/>
    <mergeCell ref="A4:N4"/>
    <mergeCell ref="P2:AC2"/>
    <mergeCell ref="AE2:AR2"/>
    <mergeCell ref="AE3:AR3"/>
    <mergeCell ref="AE4:AR4"/>
    <mergeCell ref="AT2:BG2"/>
    <mergeCell ref="AT3:BG3"/>
    <mergeCell ref="AT4:BG4"/>
  </mergeCells>
  <conditionalFormatting sqref="AY7">
    <cfRule type="expression" dxfId="848" priority="122">
      <formula>AY7&lt;AY$5</formula>
    </cfRule>
  </conditionalFormatting>
  <conditionalFormatting sqref="AY15">
    <cfRule type="expression" dxfId="847" priority="19">
      <formula>AY15&lt;AY$5</formula>
    </cfRule>
    <cfRule type="expression" dxfId="846" priority="121">
      <formula>AY15&lt;$AY$5</formula>
    </cfRule>
  </conditionalFormatting>
  <conditionalFormatting sqref="BB7">
    <cfRule type="expression" dxfId="845" priority="11">
      <formula>BB7&lt;BB$5</formula>
    </cfRule>
    <cfRule type="expression" dxfId="844" priority="120">
      <formula>BB7&lt;BB$5</formula>
    </cfRule>
  </conditionalFormatting>
  <conditionalFormatting sqref="BD7">
    <cfRule type="expression" dxfId="843" priority="10">
      <formula>BD7&lt;BD$5</formula>
    </cfRule>
    <cfRule type="expression" dxfId="842" priority="119">
      <formula>BD7&lt;BD$5</formula>
    </cfRule>
  </conditionalFormatting>
  <conditionalFormatting sqref="BB15">
    <cfRule type="expression" dxfId="841" priority="14">
      <formula>BB15&lt;BB$5</formula>
    </cfRule>
    <cfRule type="expression" dxfId="840" priority="118">
      <formula>BB15&lt;BB$5</formula>
    </cfRule>
  </conditionalFormatting>
  <conditionalFormatting sqref="BD15">
    <cfRule type="expression" dxfId="839" priority="7">
      <formula>BD15&lt;BD$5</formula>
    </cfRule>
    <cfRule type="expression" dxfId="838" priority="117">
      <formula>BD15&lt;BD$5</formula>
    </cfRule>
  </conditionalFormatting>
  <conditionalFormatting sqref="AO7">
    <cfRule type="expression" dxfId="837" priority="87">
      <formula>AO7&lt;AO$5</formula>
    </cfRule>
    <cfRule type="expression" dxfId="836" priority="116">
      <formula>AO7&lt;AO$5</formula>
    </cfRule>
  </conditionalFormatting>
  <conditionalFormatting sqref="AM7">
    <cfRule type="expression" dxfId="835" priority="88">
      <formula>AM7&lt;AM$5</formula>
    </cfRule>
    <cfRule type="expression" dxfId="834" priority="115">
      <formula>AM7&lt;AM$5</formula>
    </cfRule>
  </conditionalFormatting>
  <conditionalFormatting sqref="AJ7">
    <cfRule type="expression" dxfId="833" priority="114">
      <formula>AJ7&lt;AJ$5</formula>
    </cfRule>
  </conditionalFormatting>
  <conditionalFormatting sqref="AJ15">
    <cfRule type="expression" dxfId="832" priority="108">
      <formula>AJ15&lt;AJ$5</formula>
    </cfRule>
    <cfRule type="expression" dxfId="831" priority="113">
      <formula>AJ15&lt;AJ$5</formula>
    </cfRule>
  </conditionalFormatting>
  <conditionalFormatting sqref="AM15">
    <cfRule type="expression" dxfId="830" priority="91">
      <formula>AM15&lt;AM$5</formula>
    </cfRule>
    <cfRule type="expression" dxfId="829" priority="112">
      <formula>AM15&lt;AM$5</formula>
    </cfRule>
  </conditionalFormatting>
  <conditionalFormatting sqref="AO15">
    <cfRule type="expression" dxfId="828" priority="84">
      <formula>AO15&lt;AO$5</formula>
    </cfRule>
    <cfRule type="expression" dxfId="827" priority="111">
      <formula>AO15&lt;AO$5</formula>
    </cfRule>
  </conditionalFormatting>
  <conditionalFormatting sqref="AJ8">
    <cfRule type="expression" dxfId="826" priority="110">
      <formula>AJ8&lt;AJ$5</formula>
    </cfRule>
  </conditionalFormatting>
  <conditionalFormatting sqref="AJ9">
    <cfRule type="expression" dxfId="825" priority="109">
      <formula>AJ9&lt;AJ$5</formula>
    </cfRule>
  </conditionalFormatting>
  <conditionalFormatting sqref="AJ16">
    <cfRule type="expression" dxfId="824" priority="107">
      <formula>AJ16&lt;AJ$5</formula>
    </cfRule>
  </conditionalFormatting>
  <conditionalFormatting sqref="AJ17">
    <cfRule type="expression" dxfId="823" priority="106">
      <formula>AJ17&lt;AJ$5</formula>
    </cfRule>
  </conditionalFormatting>
  <conditionalFormatting sqref="AJ23">
    <cfRule type="expression" dxfId="822" priority="105">
      <formula>AJ23&lt;AJ$5</formula>
    </cfRule>
  </conditionalFormatting>
  <conditionalFormatting sqref="AJ24">
    <cfRule type="expression" dxfId="821" priority="104">
      <formula>AJ24&lt;AJ$5</formula>
    </cfRule>
  </conditionalFormatting>
  <conditionalFormatting sqref="AJ25">
    <cfRule type="expression" dxfId="820" priority="103">
      <formula>AJ25&lt;AJ$5</formula>
    </cfRule>
  </conditionalFormatting>
  <conditionalFormatting sqref="AJ31">
    <cfRule type="expression" dxfId="819" priority="102">
      <formula>AJ31&lt;AJ$5</formula>
    </cfRule>
  </conditionalFormatting>
  <conditionalFormatting sqref="AJ32">
    <cfRule type="expression" dxfId="818" priority="101">
      <formula>AJ32&lt;AJ$5</formula>
    </cfRule>
  </conditionalFormatting>
  <conditionalFormatting sqref="AJ33">
    <cfRule type="expression" dxfId="817" priority="100">
      <formula>AJ33&lt;AJ$5</formula>
    </cfRule>
  </conditionalFormatting>
  <conditionalFormatting sqref="AM33">
    <cfRule type="expression" dxfId="816" priority="99">
      <formula>AM33&lt;AM$5</formula>
    </cfRule>
  </conditionalFormatting>
  <conditionalFormatting sqref="AM32">
    <cfRule type="expression" dxfId="815" priority="98">
      <formula>AM32&lt;AM$5</formula>
    </cfRule>
  </conditionalFormatting>
  <conditionalFormatting sqref="AM31">
    <cfRule type="expression" dxfId="814" priority="97">
      <formula>AM31&lt;AM$5</formula>
    </cfRule>
  </conditionalFormatting>
  <conditionalFormatting sqref="AM25">
    <cfRule type="expression" dxfId="813" priority="96">
      <formula>AM25&lt;AM$5</formula>
    </cfRule>
  </conditionalFormatting>
  <conditionalFormatting sqref="AM24">
    <cfRule type="expression" dxfId="812" priority="95">
      <formula>AM24&lt;AM$5</formula>
    </cfRule>
  </conditionalFormatting>
  <conditionalFormatting sqref="AM23">
    <cfRule type="expression" dxfId="811" priority="94">
      <formula>AM23&lt;AM$5</formula>
    </cfRule>
  </conditionalFormatting>
  <conditionalFormatting sqref="AM17">
    <cfRule type="expression" dxfId="810" priority="93">
      <formula>AM17&lt;AM$5</formula>
    </cfRule>
  </conditionalFormatting>
  <conditionalFormatting sqref="AM16">
    <cfRule type="expression" dxfId="809" priority="92">
      <formula>AM16&lt;AM$5</formula>
    </cfRule>
  </conditionalFormatting>
  <conditionalFormatting sqref="AM9">
    <cfRule type="expression" dxfId="808" priority="90">
      <formula>AM9&lt;AM$5</formula>
    </cfRule>
  </conditionalFormatting>
  <conditionalFormatting sqref="AM8">
    <cfRule type="expression" dxfId="807" priority="89">
      <formula>AM8&lt;AM$5</formula>
    </cfRule>
  </conditionalFormatting>
  <conditionalFormatting sqref="AO8">
    <cfRule type="expression" dxfId="806" priority="86">
      <formula>AO8&lt;AO$5</formula>
    </cfRule>
  </conditionalFormatting>
  <conditionalFormatting sqref="AO9">
    <cfRule type="expression" dxfId="805" priority="85">
      <formula>AO9&lt;AO$5</formula>
    </cfRule>
  </conditionalFormatting>
  <conditionalFormatting sqref="AO16">
    <cfRule type="expression" dxfId="804" priority="83">
      <formula>AO16&lt;AO$5</formula>
    </cfRule>
  </conditionalFormatting>
  <conditionalFormatting sqref="AO17">
    <cfRule type="expression" dxfId="803" priority="82">
      <formula>AO17&lt;AO$5</formula>
    </cfRule>
  </conditionalFormatting>
  <conditionalFormatting sqref="AO23">
    <cfRule type="expression" dxfId="802" priority="81">
      <formula>AO23&lt;AO$5</formula>
    </cfRule>
  </conditionalFormatting>
  <conditionalFormatting sqref="AO24">
    <cfRule type="expression" dxfId="801" priority="80">
      <formula>AO24&lt;AO$5</formula>
    </cfRule>
  </conditionalFormatting>
  <conditionalFormatting sqref="AO25">
    <cfRule type="expression" dxfId="800" priority="79">
      <formula>AO25&lt;AO$5</formula>
    </cfRule>
  </conditionalFormatting>
  <conditionalFormatting sqref="AO31">
    <cfRule type="expression" dxfId="799" priority="78">
      <formula>AO31&lt;AO$5</formula>
    </cfRule>
  </conditionalFormatting>
  <conditionalFormatting sqref="AO32">
    <cfRule type="expression" dxfId="798" priority="77">
      <formula>AO32&lt;AO$5</formula>
    </cfRule>
  </conditionalFormatting>
  <conditionalFormatting sqref="AO33">
    <cfRule type="expression" dxfId="797" priority="76">
      <formula>AO33&lt;AO$5</formula>
    </cfRule>
  </conditionalFormatting>
  <conditionalFormatting sqref="Z7">
    <cfRule type="expression" dxfId="796" priority="75">
      <formula>Z7&lt;Z$5</formula>
    </cfRule>
  </conditionalFormatting>
  <conditionalFormatting sqref="Z8">
    <cfRule type="expression" dxfId="795" priority="74">
      <formula>Z8&lt;Z$5</formula>
    </cfRule>
  </conditionalFormatting>
  <conditionalFormatting sqref="Z9">
    <cfRule type="expression" dxfId="794" priority="73">
      <formula>Z9&lt;Z$5</formula>
    </cfRule>
  </conditionalFormatting>
  <conditionalFormatting sqref="Z15">
    <cfRule type="expression" dxfId="793" priority="72">
      <formula>Z15&lt;Z$5</formula>
    </cfRule>
  </conditionalFormatting>
  <conditionalFormatting sqref="Z16">
    <cfRule type="expression" dxfId="792" priority="71">
      <formula>Z16&lt;Z$5</formula>
    </cfRule>
  </conditionalFormatting>
  <conditionalFormatting sqref="Z17">
    <cfRule type="expression" dxfId="791" priority="70">
      <formula>Z17&lt;Z$5</formula>
    </cfRule>
  </conditionalFormatting>
  <conditionalFormatting sqref="Z23">
    <cfRule type="expression" dxfId="790" priority="69">
      <formula>Z23&lt;Z$5</formula>
    </cfRule>
  </conditionalFormatting>
  <conditionalFormatting sqref="Z24">
    <cfRule type="expression" dxfId="789" priority="68">
      <formula>Z24&lt;Z$5</formula>
    </cfRule>
  </conditionalFormatting>
  <conditionalFormatting sqref="Z25">
    <cfRule type="expression" dxfId="788" priority="67">
      <formula>Z25&lt;Z$5</formula>
    </cfRule>
  </conditionalFormatting>
  <conditionalFormatting sqref="X25">
    <cfRule type="expression" dxfId="787" priority="66">
      <formula>X25&lt;X$5</formula>
    </cfRule>
  </conditionalFormatting>
  <conditionalFormatting sqref="X24">
    <cfRule type="expression" dxfId="786" priority="65">
      <formula>X24&lt;X$5</formula>
    </cfRule>
  </conditionalFormatting>
  <conditionalFormatting sqref="X23">
    <cfRule type="expression" dxfId="785" priority="64">
      <formula>X23&lt;X$5</formula>
    </cfRule>
  </conditionalFormatting>
  <conditionalFormatting sqref="X17">
    <cfRule type="expression" dxfId="784" priority="63">
      <formula>X17&lt;X$5</formula>
    </cfRule>
  </conditionalFormatting>
  <conditionalFormatting sqref="X16">
    <cfRule type="expression" dxfId="783" priority="62">
      <formula>X16&lt;X$5</formula>
    </cfRule>
  </conditionalFormatting>
  <conditionalFormatting sqref="X15">
    <cfRule type="expression" dxfId="782" priority="61">
      <formula>X15&lt;X$5</formula>
    </cfRule>
  </conditionalFormatting>
  <conditionalFormatting sqref="X9">
    <cfRule type="expression" dxfId="781" priority="60">
      <formula>X9&lt;X$5</formula>
    </cfRule>
  </conditionalFormatting>
  <conditionalFormatting sqref="X8">
    <cfRule type="expression" dxfId="780" priority="59">
      <formula>X8&lt;X$5</formula>
    </cfRule>
  </conditionalFormatting>
  <conditionalFormatting sqref="X7">
    <cfRule type="expression" dxfId="779" priority="58">
      <formula>X7&lt;X$5</formula>
    </cfRule>
  </conditionalFormatting>
  <conditionalFormatting sqref="U7">
    <cfRule type="expression" dxfId="778" priority="57">
      <formula>U7&lt;U$5</formula>
    </cfRule>
  </conditionalFormatting>
  <conditionalFormatting sqref="U8">
    <cfRule type="expression" dxfId="777" priority="56">
      <formula>U8&lt;U$5</formula>
    </cfRule>
  </conditionalFormatting>
  <conditionalFormatting sqref="U9">
    <cfRule type="expression" dxfId="776" priority="55">
      <formula>U9&lt;U$5</formula>
    </cfRule>
  </conditionalFormatting>
  <conditionalFormatting sqref="U15">
    <cfRule type="expression" dxfId="775" priority="54">
      <formula>U15&lt;U$5</formula>
    </cfRule>
  </conditionalFormatting>
  <conditionalFormatting sqref="U16">
    <cfRule type="expression" dxfId="774" priority="53">
      <formula>U16&lt;U$5</formula>
    </cfRule>
  </conditionalFormatting>
  <conditionalFormatting sqref="U17">
    <cfRule type="expression" dxfId="773" priority="52">
      <formula>U17&lt;U$5</formula>
    </cfRule>
  </conditionalFormatting>
  <conditionalFormatting sqref="U23">
    <cfRule type="expression" dxfId="772" priority="51">
      <formula>U23&lt;U$5</formula>
    </cfRule>
  </conditionalFormatting>
  <conditionalFormatting sqref="U24">
    <cfRule type="expression" dxfId="771" priority="50">
      <formula>U24&lt;U$5</formula>
    </cfRule>
  </conditionalFormatting>
  <conditionalFormatting sqref="U25">
    <cfRule type="expression" dxfId="770" priority="49">
      <formula>U25&lt;U$5</formula>
    </cfRule>
  </conditionalFormatting>
  <conditionalFormatting sqref="K7">
    <cfRule type="expression" dxfId="769" priority="48">
      <formula>K7&lt;K$5</formula>
    </cfRule>
  </conditionalFormatting>
  <conditionalFormatting sqref="K8">
    <cfRule type="expression" dxfId="768" priority="47">
      <formula>K8&lt;K$5</formula>
    </cfRule>
  </conditionalFormatting>
  <conditionalFormatting sqref="K9">
    <cfRule type="expression" dxfId="767" priority="46">
      <formula>K9&lt;K$5</formula>
    </cfRule>
  </conditionalFormatting>
  <conditionalFormatting sqref="K15">
    <cfRule type="expression" dxfId="766" priority="45">
      <formula>K15&lt;K$5</formula>
    </cfRule>
  </conditionalFormatting>
  <conditionalFormatting sqref="K16">
    <cfRule type="expression" dxfId="765" priority="44">
      <formula>K16&lt;K$5</formula>
    </cfRule>
  </conditionalFormatting>
  <conditionalFormatting sqref="K17">
    <cfRule type="expression" dxfId="764" priority="43">
      <formula>K17&lt;K$5</formula>
    </cfRule>
  </conditionalFormatting>
  <conditionalFormatting sqref="K23">
    <cfRule type="expression" dxfId="763" priority="42">
      <formula>K23&lt;K$5</formula>
    </cfRule>
  </conditionalFormatting>
  <conditionalFormatting sqref="K24">
    <cfRule type="expression" dxfId="762" priority="41">
      <formula>K24&lt;K$5</formula>
    </cfRule>
  </conditionalFormatting>
  <conditionalFormatting sqref="K25">
    <cfRule type="expression" dxfId="761" priority="40">
      <formula>K25&lt;K$5</formula>
    </cfRule>
  </conditionalFormatting>
  <conditionalFormatting sqref="I25">
    <cfRule type="expression" dxfId="760" priority="39">
      <formula>I25&lt;I$5</formula>
    </cfRule>
  </conditionalFormatting>
  <conditionalFormatting sqref="I24">
    <cfRule type="expression" dxfId="759" priority="38">
      <formula>I24&lt;I$5</formula>
    </cfRule>
  </conditionalFormatting>
  <conditionalFormatting sqref="I23">
    <cfRule type="expression" dxfId="758" priority="37">
      <formula>I23&lt;I$5</formula>
    </cfRule>
  </conditionalFormatting>
  <conditionalFormatting sqref="I17">
    <cfRule type="expression" dxfId="757" priority="36">
      <formula>I17&lt;I$5</formula>
    </cfRule>
  </conditionalFormatting>
  <conditionalFormatting sqref="I16">
    <cfRule type="expression" dxfId="756" priority="35">
      <formula>I16&lt;I$5</formula>
    </cfRule>
  </conditionalFormatting>
  <conditionalFormatting sqref="I15">
    <cfRule type="expression" dxfId="755" priority="34">
      <formula>I15&lt;I$5</formula>
    </cfRule>
  </conditionalFormatting>
  <conditionalFormatting sqref="I9">
    <cfRule type="expression" dxfId="754" priority="33">
      <formula>I9&lt;I$5</formula>
    </cfRule>
  </conditionalFormatting>
  <conditionalFormatting sqref="I8">
    <cfRule type="expression" dxfId="753" priority="32">
      <formula>I8&lt;I$5</formula>
    </cfRule>
  </conditionalFormatting>
  <conditionalFormatting sqref="I7">
    <cfRule type="expression" dxfId="752" priority="31">
      <formula>I7&lt;I$5</formula>
    </cfRule>
  </conditionalFormatting>
  <conditionalFormatting sqref="F7">
    <cfRule type="expression" dxfId="751" priority="30">
      <formula>F7&lt;F$5</formula>
    </cfRule>
  </conditionalFormatting>
  <conditionalFormatting sqref="F8">
    <cfRule type="expression" dxfId="750" priority="29">
      <formula>F8&lt;F$5</formula>
    </cfRule>
  </conditionalFormatting>
  <conditionalFormatting sqref="F9">
    <cfRule type="expression" dxfId="749" priority="28">
      <formula>F9&lt;F$5</formula>
    </cfRule>
  </conditionalFormatting>
  <conditionalFormatting sqref="F15">
    <cfRule type="expression" dxfId="748" priority="27">
      <formula>F15&lt;F$5</formula>
    </cfRule>
  </conditionalFormatting>
  <conditionalFormatting sqref="F16">
    <cfRule type="expression" dxfId="747" priority="26">
      <formula>F16&lt;F$5</formula>
    </cfRule>
  </conditionalFormatting>
  <conditionalFormatting sqref="F17">
    <cfRule type="expression" dxfId="746" priority="25">
      <formula>F17&lt;F$5</formula>
    </cfRule>
  </conditionalFormatting>
  <conditionalFormatting sqref="F23">
    <cfRule type="expression" dxfId="745" priority="24">
      <formula>F23&lt;F$5</formula>
    </cfRule>
  </conditionalFormatting>
  <conditionalFormatting sqref="F24">
    <cfRule type="expression" dxfId="744" priority="23">
      <formula>F24&lt;F$5</formula>
    </cfRule>
  </conditionalFormatting>
  <conditionalFormatting sqref="F25">
    <cfRule type="expression" dxfId="743" priority="22">
      <formula>F25&lt;F$5</formula>
    </cfRule>
  </conditionalFormatting>
  <conditionalFormatting sqref="AY8">
    <cfRule type="expression" dxfId="742" priority="21">
      <formula>AY8&lt;AY$5</formula>
    </cfRule>
  </conditionalFormatting>
  <conditionalFormatting sqref="AY9">
    <cfRule type="expression" dxfId="741" priority="20">
      <formula>AY9&lt;AY$5</formula>
    </cfRule>
  </conditionalFormatting>
  <conditionalFormatting sqref="AY16">
    <cfRule type="expression" dxfId="740" priority="18">
      <formula>AY16&lt;AY$5</formula>
    </cfRule>
  </conditionalFormatting>
  <conditionalFormatting sqref="AY17">
    <cfRule type="expression" dxfId="739" priority="17">
      <formula>AY17&lt;AY$5</formula>
    </cfRule>
  </conditionalFormatting>
  <conditionalFormatting sqref="BB17">
    <cfRule type="expression" dxfId="738" priority="16">
      <formula>BB17&lt;BB$5</formula>
    </cfRule>
  </conditionalFormatting>
  <conditionalFormatting sqref="BB16">
    <cfRule type="expression" dxfId="737" priority="15">
      <formula>BB16&lt;BB$5</formula>
    </cfRule>
  </conditionalFormatting>
  <conditionalFormatting sqref="BB9">
    <cfRule type="expression" dxfId="736" priority="13">
      <formula>BB9&lt;BB$5</formula>
    </cfRule>
  </conditionalFormatting>
  <conditionalFormatting sqref="BB8">
    <cfRule type="expression" dxfId="735" priority="12">
      <formula>BB8&lt;BB$5</formula>
    </cfRule>
  </conditionalFormatting>
  <conditionalFormatting sqref="BD8">
    <cfRule type="expression" dxfId="734" priority="9">
      <formula>BD8&lt;BD$5</formula>
    </cfRule>
  </conditionalFormatting>
  <conditionalFormatting sqref="BD9">
    <cfRule type="expression" dxfId="733" priority="8">
      <formula>BD9&lt;BD$5</formula>
    </cfRule>
  </conditionalFormatting>
  <conditionalFormatting sqref="BD16">
    <cfRule type="expression" dxfId="732" priority="6">
      <formula>BD16&lt;BD$5</formula>
    </cfRule>
  </conditionalFormatting>
  <conditionalFormatting sqref="BD17">
    <cfRule type="expression" dxfId="731" priority="5">
      <formula>BD17&lt;BD$5</formula>
    </cfRule>
  </conditionalFormatting>
  <conditionalFormatting sqref="E11:F13 E19:F21 E27:F29">
    <cfRule type="cellIs" dxfId="730" priority="4" operator="greaterThan">
      <formula>0</formula>
    </cfRule>
  </conditionalFormatting>
  <conditionalFormatting sqref="T11:U13 T19:U21 T27:U29">
    <cfRule type="cellIs" dxfId="729" priority="3" operator="greaterThan">
      <formula>0</formula>
    </cfRule>
  </conditionalFormatting>
  <conditionalFormatting sqref="AI11:AJ13 AI19:AJ21 AI27:AJ29 AI35:AJ37">
    <cfRule type="cellIs" dxfId="728" priority="2" operator="greaterThan">
      <formula>0</formula>
    </cfRule>
  </conditionalFormatting>
  <conditionalFormatting sqref="AX11:AY13 AX19:AY21">
    <cfRule type="cellIs" dxfId="727" priority="1" operator="greaterThan">
      <formula>0</formula>
    </cfRule>
  </conditionalFormatting>
  <pageMargins left="0.5" right="0.5" top="0.5" bottom="0.5" header="0.3" footer="0.3"/>
  <pageSetup scale="79" fitToWidth="0" fitToHeight="0" orientation="landscape" verticalDpi="1200" r:id="rId1"/>
  <headerFooter>
    <oddFooter>&amp;L&amp;9 &amp;F&amp;R&amp;9 DOGM Casing/Cement Review &amp;D</oddFooter>
  </headerFooter>
  <colBreaks count="3" manualBreakCount="3">
    <brk id="15" max="38" man="1"/>
    <brk id="30" max="38" man="1"/>
    <brk id="45" max="38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51"/>
  <sheetViews>
    <sheetView zoomScaleNormal="100" workbookViewId="0">
      <selection activeCell="G7" sqref="G7"/>
    </sheetView>
  </sheetViews>
  <sheetFormatPr defaultColWidth="9.140625" defaultRowHeight="12.75" x14ac:dyDescent="0.2"/>
  <cols>
    <col min="1" max="1" width="26.7109375" style="580" customWidth="1"/>
    <col min="2" max="2" width="39.28515625" style="580" customWidth="1"/>
    <col min="3" max="6" width="12.7109375" style="580" customWidth="1"/>
    <col min="7" max="7" width="29.42578125" style="580" customWidth="1"/>
    <col min="8" max="9" width="9.140625" style="580" customWidth="1"/>
    <col min="10" max="16384" width="9.140625" style="580"/>
  </cols>
  <sheetData>
    <row r="1" spans="1:13" ht="10.5" customHeight="1" x14ac:dyDescent="0.25">
      <c r="A1" s="701" t="s">
        <v>254</v>
      </c>
      <c r="B1" s="702"/>
      <c r="C1" s="217"/>
      <c r="D1" s="705"/>
      <c r="E1" s="702"/>
      <c r="F1" s="702"/>
      <c r="G1" s="706"/>
      <c r="H1" s="580" t="s">
        <v>69</v>
      </c>
    </row>
    <row r="2" spans="1:13" ht="13.5" customHeight="1" thickBot="1" x14ac:dyDescent="0.25">
      <c r="A2" s="703"/>
      <c r="B2" s="704"/>
      <c r="C2" s="218"/>
      <c r="D2" s="704"/>
      <c r="E2" s="704"/>
      <c r="F2" s="704"/>
      <c r="G2" s="707"/>
    </row>
    <row r="3" spans="1:13" ht="15" customHeight="1" x14ac:dyDescent="0.25">
      <c r="A3" s="719" t="s">
        <v>6</v>
      </c>
      <c r="B3" s="720"/>
      <c r="C3" s="238">
        <f>'Casing Review'!B4</f>
        <v>0</v>
      </c>
      <c r="D3" s="232"/>
      <c r="E3" s="232">
        <f>'Casing Review'!B5</f>
        <v>0</v>
      </c>
      <c r="F3" s="233"/>
      <c r="G3" s="239">
        <f>'Casing Review'!B6</f>
        <v>0</v>
      </c>
    </row>
    <row r="4" spans="1:13" ht="15" customHeight="1" x14ac:dyDescent="0.25">
      <c r="A4" s="721" t="s">
        <v>255</v>
      </c>
      <c r="B4" s="722"/>
      <c r="C4" s="245" t="s">
        <v>256</v>
      </c>
      <c r="D4" s="245" t="s">
        <v>257</v>
      </c>
      <c r="E4" s="245" t="s">
        <v>258</v>
      </c>
      <c r="F4" s="245"/>
      <c r="G4" s="203"/>
    </row>
    <row r="5" spans="1:13" ht="15" customHeight="1" x14ac:dyDescent="0.25">
      <c r="A5" s="721" t="s">
        <v>259</v>
      </c>
      <c r="B5" s="722"/>
      <c r="C5" s="226">
        <f>'Casing Review'!C12</f>
        <v>0</v>
      </c>
      <c r="D5" s="226">
        <f>'Casing Review'!C27</f>
        <v>0</v>
      </c>
      <c r="E5" s="226">
        <f>IF('Casing Review'!$C$42=0,'Casing Review'!$C$57,'Casing Review'!$C$42)</f>
        <v>0</v>
      </c>
      <c r="F5" s="226">
        <f>IF('Casing Review'!$C$42=0,0,'Casing Review'!$C$57)</f>
        <v>0</v>
      </c>
      <c r="G5" s="203"/>
    </row>
    <row r="6" spans="1:13" ht="15" customHeight="1" x14ac:dyDescent="0.25">
      <c r="A6" s="721" t="s">
        <v>260</v>
      </c>
      <c r="B6" s="722"/>
      <c r="C6" s="228" t="e">
        <f>'Casing Review'!B19</f>
        <v>#N/A</v>
      </c>
      <c r="D6" s="228" t="e">
        <f>IF('Casing Review'!B34=0,'Casing Review'!B64,'Casing Review'!B34)</f>
        <v>#N/A</v>
      </c>
      <c r="E6" s="228" t="e">
        <f>IF('Casing Review'!B49=0,'Casing Review'!B64,'Casing Review'!B49)</f>
        <v>#N/A</v>
      </c>
      <c r="F6" s="228" t="e">
        <f>IF('Casing Review'!B49=0,0,'Casing Review'!B64)</f>
        <v>#N/A</v>
      </c>
      <c r="G6" s="203"/>
    </row>
    <row r="7" spans="1:13" ht="15" customHeight="1" x14ac:dyDescent="0.25">
      <c r="A7" s="721" t="s">
        <v>261</v>
      </c>
      <c r="B7" s="722"/>
      <c r="C7" s="227"/>
      <c r="D7" s="228" t="e">
        <f>C6</f>
        <v>#N/A</v>
      </c>
      <c r="E7" s="228" t="e">
        <f>D6</f>
        <v>#N/A</v>
      </c>
      <c r="F7" s="228" t="e">
        <f>E6</f>
        <v>#N/A</v>
      </c>
      <c r="G7" s="203" t="s">
        <v>69</v>
      </c>
    </row>
    <row r="8" spans="1:13" ht="15" customHeight="1" x14ac:dyDescent="0.25">
      <c r="A8" s="721" t="s">
        <v>262</v>
      </c>
      <c r="B8" s="722"/>
      <c r="C8" s="231">
        <f>'Casing Review'!$B$18</f>
        <v>0</v>
      </c>
      <c r="D8" s="231">
        <f>'Casing Review'!$B$33</f>
        <v>0</v>
      </c>
      <c r="E8" s="231" t="e">
        <f>IF('Casing Review'!B49=0,'Casing Review'!B63,'Casing Review'!B48)</f>
        <v>#N/A</v>
      </c>
      <c r="F8" s="231" t="e">
        <f>IF('Casing Review'!B49=0,0,'Casing Review'!B63)</f>
        <v>#N/A</v>
      </c>
      <c r="G8" s="203"/>
    </row>
    <row r="9" spans="1:13" ht="15" customHeight="1" x14ac:dyDescent="0.25">
      <c r="A9" s="721" t="s">
        <v>263</v>
      </c>
      <c r="B9" s="722"/>
      <c r="C9" s="229"/>
      <c r="D9" s="229"/>
      <c r="E9" s="229"/>
      <c r="F9" s="229"/>
      <c r="G9" s="203"/>
    </row>
    <row r="10" spans="1:13" ht="15" customHeight="1" x14ac:dyDescent="0.25">
      <c r="A10" s="721" t="s">
        <v>264</v>
      </c>
      <c r="B10" s="722"/>
      <c r="C10" s="231" t="e">
        <f>'Casing Review'!W12</f>
        <v>#NUM!</v>
      </c>
      <c r="D10" s="231" t="e">
        <f>IF('Casing Review'!B34=0,'Casing Review'!W57,'Casing Review'!W27)</f>
        <v>#N/A</v>
      </c>
      <c r="E10" s="231" t="e">
        <f>IF('Casing Review'!B49=0,IF('Casing Review'!B57=0,0,'Casing Review'!W57),'Casing Review'!W42)</f>
        <v>#N/A</v>
      </c>
      <c r="F10" s="234" t="e">
        <f>IF('Casing Review'!B49=0,0,'Casing Review'!W57)</f>
        <v>#N/A</v>
      </c>
      <c r="G10" s="203"/>
    </row>
    <row r="11" spans="1:13" ht="15.75" customHeight="1" thickBot="1" x14ac:dyDescent="0.3">
      <c r="A11" s="699" t="s">
        <v>265</v>
      </c>
      <c r="B11" s="700"/>
      <c r="C11" s="230"/>
      <c r="D11" s="621"/>
      <c r="E11" s="621"/>
      <c r="F11" s="622" t="e">
        <f>C11/(0.052*MAX(C6:F6))</f>
        <v>#N/A</v>
      </c>
      <c r="G11" s="219" t="s">
        <v>86</v>
      </c>
      <c r="J11" s="580" t="s">
        <v>266</v>
      </c>
    </row>
    <row r="12" spans="1:13" ht="10.5" customHeight="1" thickBot="1" x14ac:dyDescent="0.25"/>
    <row r="13" spans="1:13" ht="16.5" customHeight="1" thickBot="1" x14ac:dyDescent="0.3">
      <c r="A13" s="205" t="s">
        <v>267</v>
      </c>
      <c r="B13" s="206" t="str">
        <f>C$4</f>
        <v>Surface</v>
      </c>
      <c r="C13" s="225">
        <f>C$5</f>
        <v>0</v>
      </c>
      <c r="D13" s="207" t="s">
        <v>268</v>
      </c>
      <c r="E13" s="201"/>
      <c r="F13" s="201"/>
      <c r="G13" s="202"/>
      <c r="J13" s="215">
        <f>C9</f>
        <v>0</v>
      </c>
      <c r="K13" s="215">
        <f>D9</f>
        <v>0</v>
      </c>
      <c r="L13" s="215">
        <f>E9</f>
        <v>0</v>
      </c>
      <c r="M13" s="215">
        <f>F9</f>
        <v>0</v>
      </c>
    </row>
    <row r="14" spans="1:13" x14ac:dyDescent="0.2">
      <c r="A14" s="582" t="s">
        <v>269</v>
      </c>
      <c r="B14" s="208" t="s">
        <v>270</v>
      </c>
      <c r="C14" s="209" t="e">
        <f>C$6*0.052*C$8</f>
        <v>#N/A</v>
      </c>
      <c r="G14" s="203"/>
      <c r="J14" s="215" t="e">
        <f>C6</f>
        <v>#N/A</v>
      </c>
      <c r="K14" s="215" t="e">
        <f>D6</f>
        <v>#N/A</v>
      </c>
      <c r="L14" s="215" t="e">
        <f>E6</f>
        <v>#N/A</v>
      </c>
      <c r="M14" s="215" t="e">
        <f>F6</f>
        <v>#N/A</v>
      </c>
    </row>
    <row r="15" spans="1:13" ht="15" customHeight="1" x14ac:dyDescent="0.25">
      <c r="A15" s="204"/>
      <c r="B15" s="210"/>
      <c r="C15" s="215" t="s">
        <v>69</v>
      </c>
      <c r="D15" s="708" t="s">
        <v>271</v>
      </c>
      <c r="E15" s="709"/>
      <c r="F15" s="709"/>
      <c r="G15" s="710"/>
      <c r="J15" s="215" t="e">
        <f>C10*0.7</f>
        <v>#NUM!</v>
      </c>
      <c r="K15" s="215" t="e">
        <f>D10*0.7</f>
        <v>#N/A</v>
      </c>
      <c r="L15" s="215" t="e">
        <f>E10*0.7</f>
        <v>#N/A</v>
      </c>
      <c r="M15" s="215" t="e">
        <f>F10*0.7</f>
        <v>#N/A</v>
      </c>
    </row>
    <row r="16" spans="1:13" ht="15" customHeight="1" x14ac:dyDescent="0.25">
      <c r="A16" s="582" t="s">
        <v>272</v>
      </c>
      <c r="B16" s="208" t="s">
        <v>273</v>
      </c>
      <c r="C16" s="211" t="e">
        <f>C$14-0.12*C$6</f>
        <v>#N/A</v>
      </c>
      <c r="D16" s="212" t="e">
        <f>IF(C$9&gt;C$16,"YES","NO")</f>
        <v>#N/A</v>
      </c>
      <c r="E16" s="711" t="s">
        <v>274</v>
      </c>
      <c r="F16" s="682"/>
      <c r="G16" s="712"/>
      <c r="J16" s="215">
        <f>D9</f>
        <v>0</v>
      </c>
      <c r="K16" s="215">
        <f>E9</f>
        <v>0</v>
      </c>
      <c r="L16" s="215">
        <f>F9</f>
        <v>0</v>
      </c>
      <c r="M16" s="215">
        <f>G9</f>
        <v>0</v>
      </c>
    </row>
    <row r="17" spans="1:13" ht="15" customHeight="1" x14ac:dyDescent="0.25">
      <c r="A17" s="582" t="s">
        <v>275</v>
      </c>
      <c r="B17" s="208" t="s">
        <v>276</v>
      </c>
      <c r="C17" s="211" t="e">
        <f>C$14-0.22*C$6</f>
        <v>#N/A</v>
      </c>
      <c r="D17" s="212" t="e">
        <f>IF(C$9&gt;C$17,"YES","NO")</f>
        <v>#N/A</v>
      </c>
      <c r="E17" s="713" t="s">
        <v>277</v>
      </c>
      <c r="F17" s="682"/>
      <c r="G17" s="712"/>
    </row>
    <row r="18" spans="1:13" ht="15" customHeight="1" x14ac:dyDescent="0.25">
      <c r="A18" s="204"/>
      <c r="C18" s="215" t="s">
        <v>69</v>
      </c>
      <c r="D18" s="696" t="s">
        <v>278</v>
      </c>
      <c r="E18" s="697"/>
      <c r="F18" s="697"/>
      <c r="G18" s="698"/>
      <c r="J18" s="580" t="s">
        <v>279</v>
      </c>
    </row>
    <row r="19" spans="1:13" ht="15" customHeight="1" x14ac:dyDescent="0.25">
      <c r="A19" s="582" t="s">
        <v>280</v>
      </c>
      <c r="B19" s="208" t="s">
        <v>281</v>
      </c>
      <c r="C19" s="211" t="e">
        <f>C$14-0.22*(C$6-C$7)</f>
        <v>#N/A</v>
      </c>
      <c r="D19" s="212" t="e">
        <f>IF(C$7&gt;C$19,"YES","NO")</f>
        <v>#N/A</v>
      </c>
      <c r="E19" s="713" t="s">
        <v>282</v>
      </c>
      <c r="F19" s="682"/>
      <c r="G19" s="712"/>
      <c r="I19" s="580" t="s">
        <v>17</v>
      </c>
      <c r="J19" s="215">
        <f>C7</f>
        <v>0</v>
      </c>
      <c r="K19" s="215" t="e">
        <f>D7</f>
        <v>#N/A</v>
      </c>
      <c r="L19" s="215" t="e">
        <f>E7</f>
        <v>#N/A</v>
      </c>
      <c r="M19" s="215" t="e">
        <f>F7</f>
        <v>#N/A</v>
      </c>
    </row>
    <row r="20" spans="1:13" ht="15" customHeight="1" x14ac:dyDescent="0.25">
      <c r="A20" s="714" t="s">
        <v>283</v>
      </c>
      <c r="B20" s="683"/>
      <c r="C20" s="209" t="e">
        <f>IF(D$9&gt;0,SMALL(J$14:J$16,1),SMALL(J$13:J$15,1))</f>
        <v>#N/A</v>
      </c>
      <c r="D20" s="220" t="s">
        <v>284</v>
      </c>
      <c r="E20" s="213"/>
      <c r="F20" s="213"/>
      <c r="G20" s="214"/>
      <c r="I20" s="580" t="s">
        <v>3</v>
      </c>
      <c r="J20" s="215">
        <f>C7</f>
        <v>0</v>
      </c>
      <c r="K20" s="215" t="e">
        <f>C10</f>
        <v>#NUM!</v>
      </c>
      <c r="L20" s="215" t="e">
        <f>D10</f>
        <v>#N/A</v>
      </c>
      <c r="M20" s="215" t="e">
        <f>E10</f>
        <v>#N/A</v>
      </c>
    </row>
    <row r="21" spans="1:13" ht="13.5" customHeight="1" thickBot="1" x14ac:dyDescent="0.3">
      <c r="A21" s="715" t="s">
        <v>285</v>
      </c>
      <c r="B21" s="716"/>
      <c r="C21" s="221" t="e">
        <f>IF(D$19="NO",SMALL(J$19:J$21,1),SMALL(J$19:J$20,1))</f>
        <v>#N/A</v>
      </c>
      <c r="D21" s="222" t="s">
        <v>284</v>
      </c>
      <c r="E21" s="717" t="s">
        <v>286</v>
      </c>
      <c r="F21" s="704"/>
      <c r="G21" s="707"/>
      <c r="I21" s="580" t="s">
        <v>287</v>
      </c>
      <c r="J21" s="215" t="e">
        <f>C19</f>
        <v>#N/A</v>
      </c>
      <c r="K21" s="215" t="e">
        <f>C29</f>
        <v>#N/A</v>
      </c>
      <c r="L21" s="215" t="e">
        <f>C39</f>
        <v>#N/A</v>
      </c>
      <c r="M21" s="215" t="e">
        <f>C49</f>
        <v>#N/A</v>
      </c>
    </row>
    <row r="22" spans="1:13" ht="9" customHeight="1" thickBot="1" x14ac:dyDescent="0.25"/>
    <row r="23" spans="1:13" ht="16.5" customHeight="1" thickBot="1" x14ac:dyDescent="0.3">
      <c r="A23" s="205" t="s">
        <v>267</v>
      </c>
      <c r="B23" s="206" t="str">
        <f>D$4</f>
        <v>Intermediate</v>
      </c>
      <c r="C23" s="225">
        <f>D$5</f>
        <v>0</v>
      </c>
      <c r="D23" s="207" t="s">
        <v>268</v>
      </c>
      <c r="E23" s="201"/>
      <c r="F23" s="201"/>
      <c r="G23" s="202"/>
    </row>
    <row r="24" spans="1:13" x14ac:dyDescent="0.2">
      <c r="A24" s="582" t="s">
        <v>269</v>
      </c>
      <c r="B24" s="208" t="s">
        <v>270</v>
      </c>
      <c r="C24" s="209" t="e">
        <f>D$6*0.052*D$8</f>
        <v>#N/A</v>
      </c>
      <c r="G24" s="203"/>
    </row>
    <row r="25" spans="1:13" ht="15" customHeight="1" x14ac:dyDescent="0.25">
      <c r="A25" s="204"/>
      <c r="B25" s="210"/>
      <c r="C25" s="215" t="s">
        <v>69</v>
      </c>
      <c r="D25" s="708" t="s">
        <v>271</v>
      </c>
      <c r="E25" s="709"/>
      <c r="F25" s="709"/>
      <c r="G25" s="710"/>
    </row>
    <row r="26" spans="1:13" ht="15" customHeight="1" x14ac:dyDescent="0.25">
      <c r="A26" s="582" t="s">
        <v>272</v>
      </c>
      <c r="B26" s="208" t="s">
        <v>273</v>
      </c>
      <c r="C26" s="211" t="e">
        <f>C$24-0.12*D$6</f>
        <v>#N/A</v>
      </c>
      <c r="D26" s="212" t="e">
        <f>IF(D$9&gt;C$26,"YES","NO")</f>
        <v>#N/A</v>
      </c>
      <c r="E26" s="711" t="s">
        <v>288</v>
      </c>
      <c r="F26" s="682"/>
      <c r="G26" s="712"/>
    </row>
    <row r="27" spans="1:13" ht="15" customHeight="1" x14ac:dyDescent="0.25">
      <c r="A27" s="582" t="s">
        <v>275</v>
      </c>
      <c r="B27" s="208" t="s">
        <v>276</v>
      </c>
      <c r="C27" s="211" t="e">
        <f>C$24-0.22*D$6</f>
        <v>#N/A</v>
      </c>
      <c r="D27" s="212" t="e">
        <f>IF(D$9&gt;C$27,"YES","NO")</f>
        <v>#N/A</v>
      </c>
      <c r="E27" s="711" t="s">
        <v>277</v>
      </c>
      <c r="F27" s="682"/>
      <c r="G27" s="712"/>
    </row>
    <row r="28" spans="1:13" ht="15" customHeight="1" x14ac:dyDescent="0.25">
      <c r="A28" s="204"/>
      <c r="C28" s="215" t="s">
        <v>69</v>
      </c>
      <c r="D28" s="718" t="s">
        <v>278</v>
      </c>
      <c r="E28" s="682"/>
      <c r="F28" s="682"/>
      <c r="G28" s="712"/>
    </row>
    <row r="29" spans="1:13" x14ac:dyDescent="0.2">
      <c r="A29" s="582" t="s">
        <v>280</v>
      </c>
      <c r="B29" s="208" t="s">
        <v>281</v>
      </c>
      <c r="C29" s="211" t="e">
        <f>C$24-0.22*(D$6-D$7)</f>
        <v>#N/A</v>
      </c>
      <c r="D29" s="212" t="e">
        <f>IF(D$7&gt;C$29,"YES","NO")</f>
        <v>#N/A</v>
      </c>
      <c r="E29" s="223" t="s">
        <v>289</v>
      </c>
      <c r="F29" s="223"/>
      <c r="G29" s="224"/>
    </row>
    <row r="30" spans="1:13" ht="15" customHeight="1" x14ac:dyDescent="0.25">
      <c r="A30" s="714" t="s">
        <v>283</v>
      </c>
      <c r="B30" s="683"/>
      <c r="C30" s="209" t="e">
        <f>IF(E$9&gt;0,SMALL(K$14:K$16,1),SMALL(K$13:K$15,1))</f>
        <v>#N/A</v>
      </c>
      <c r="D30" s="238" t="s">
        <v>284</v>
      </c>
      <c r="E30" s="213"/>
      <c r="F30" s="213"/>
      <c r="G30" s="214"/>
    </row>
    <row r="31" spans="1:13" ht="12.75" customHeight="1" thickBot="1" x14ac:dyDescent="0.3">
      <c r="A31" s="715" t="s">
        <v>285</v>
      </c>
      <c r="B31" s="716"/>
      <c r="C31" s="221" t="e">
        <f>IF(D$29="NO",SMALL(K$19:K$21,1),SMALL(K$19:K$20,1))</f>
        <v>#N/A</v>
      </c>
      <c r="D31" s="222" t="s">
        <v>284</v>
      </c>
      <c r="E31" s="717" t="s">
        <v>290</v>
      </c>
      <c r="F31" s="704"/>
      <c r="G31" s="707"/>
    </row>
    <row r="32" spans="1:13" ht="9" customHeight="1" thickBot="1" x14ac:dyDescent="0.25"/>
    <row r="33" spans="1:7" ht="16.5" customHeight="1" thickBot="1" x14ac:dyDescent="0.3">
      <c r="A33" s="205" t="s">
        <v>267</v>
      </c>
      <c r="B33" s="206" t="str">
        <f>E$4</f>
        <v>Production</v>
      </c>
      <c r="C33" s="225">
        <f>E$5</f>
        <v>0</v>
      </c>
      <c r="D33" s="207" t="s">
        <v>268</v>
      </c>
      <c r="E33" s="201"/>
      <c r="F33" s="201"/>
      <c r="G33" s="202"/>
    </row>
    <row r="34" spans="1:7" x14ac:dyDescent="0.2">
      <c r="A34" s="582" t="s">
        <v>269</v>
      </c>
      <c r="B34" s="208" t="s">
        <v>270</v>
      </c>
      <c r="C34" s="209" t="e">
        <f>E$6*0.052*E$8</f>
        <v>#N/A</v>
      </c>
      <c r="G34" s="203"/>
    </row>
    <row r="35" spans="1:7" ht="15" customHeight="1" x14ac:dyDescent="0.25">
      <c r="A35" s="204"/>
      <c r="B35" s="210"/>
      <c r="C35" s="215" t="s">
        <v>69</v>
      </c>
      <c r="D35" s="708" t="s">
        <v>271</v>
      </c>
      <c r="E35" s="709"/>
      <c r="F35" s="709"/>
      <c r="G35" s="710"/>
    </row>
    <row r="36" spans="1:7" ht="15" customHeight="1" x14ac:dyDescent="0.25">
      <c r="A36" s="582" t="s">
        <v>272</v>
      </c>
      <c r="B36" s="208" t="s">
        <v>273</v>
      </c>
      <c r="C36" s="211" t="e">
        <f>C$34-0.12*E$6</f>
        <v>#N/A</v>
      </c>
      <c r="D36" s="216" t="e">
        <f>IF(E$9&gt;C36,"YES","NO")</f>
        <v>#N/A</v>
      </c>
      <c r="E36" s="711" t="s">
        <v>288</v>
      </c>
      <c r="F36" s="682"/>
      <c r="G36" s="712"/>
    </row>
    <row r="37" spans="1:7" ht="15" customHeight="1" x14ac:dyDescent="0.25">
      <c r="A37" s="582" t="s">
        <v>275</v>
      </c>
      <c r="B37" s="208" t="s">
        <v>276</v>
      </c>
      <c r="C37" s="211" t="e">
        <f>C$34-0.22*E$6</f>
        <v>#N/A</v>
      </c>
      <c r="D37" s="212" t="e">
        <f>IF(E$9&gt;C37,"YES","NO")</f>
        <v>#N/A</v>
      </c>
      <c r="E37" s="711" t="s">
        <v>277</v>
      </c>
      <c r="F37" s="682"/>
      <c r="G37" s="712"/>
    </row>
    <row r="38" spans="1:7" ht="15" customHeight="1" x14ac:dyDescent="0.25">
      <c r="A38" s="204"/>
      <c r="C38" s="215" t="s">
        <v>69</v>
      </c>
      <c r="D38" s="718" t="s">
        <v>278</v>
      </c>
      <c r="E38" s="682"/>
      <c r="F38" s="682"/>
      <c r="G38" s="712"/>
    </row>
    <row r="39" spans="1:7" ht="15" customHeight="1" x14ac:dyDescent="0.25">
      <c r="A39" s="582" t="s">
        <v>280</v>
      </c>
      <c r="B39" s="208" t="s">
        <v>281</v>
      </c>
      <c r="C39" s="211" t="e">
        <f>C$34-0.22*(E$6-E$7)</f>
        <v>#N/A</v>
      </c>
      <c r="D39" s="212" t="e">
        <f>IF(E$7&gt;C$39,"YES","NO")</f>
        <v>#N/A</v>
      </c>
      <c r="E39" s="713" t="s">
        <v>277</v>
      </c>
      <c r="F39" s="682"/>
      <c r="G39" s="712"/>
    </row>
    <row r="40" spans="1:7" ht="15" customHeight="1" x14ac:dyDescent="0.25">
      <c r="A40" s="714" t="s">
        <v>283</v>
      </c>
      <c r="B40" s="683"/>
      <c r="C40" s="209" t="e">
        <f>IF(F$9&gt;0,SMALL(L$14:L$16,1),SMALL(L$13:L$15,1))</f>
        <v>#N/A</v>
      </c>
      <c r="D40" s="238" t="s">
        <v>284</v>
      </c>
      <c r="E40" s="213"/>
      <c r="F40" s="213"/>
      <c r="G40" s="214"/>
    </row>
    <row r="41" spans="1:7" ht="13.5" customHeight="1" thickBot="1" x14ac:dyDescent="0.3">
      <c r="A41" s="715" t="s">
        <v>285</v>
      </c>
      <c r="B41" s="716"/>
      <c r="C41" s="221" t="e">
        <f>IF(D$39="NO",SMALL(L$19:L$21,1),SMALL(L$19:L$20,1))</f>
        <v>#N/A</v>
      </c>
      <c r="D41" s="222" t="s">
        <v>284</v>
      </c>
      <c r="E41" s="717" t="s">
        <v>290</v>
      </c>
      <c r="F41" s="704"/>
      <c r="G41" s="707"/>
    </row>
    <row r="42" spans="1:7" ht="9" customHeight="1" thickBot="1" x14ac:dyDescent="0.25"/>
    <row r="43" spans="1:7" ht="16.5" customHeight="1" thickBot="1" x14ac:dyDescent="0.3">
      <c r="A43" s="205" t="s">
        <v>267</v>
      </c>
      <c r="B43" s="206">
        <f>F$4</f>
        <v>0</v>
      </c>
      <c r="C43" s="225">
        <f>F$5</f>
        <v>0</v>
      </c>
      <c r="D43" s="207" t="s">
        <v>268</v>
      </c>
      <c r="E43" s="201"/>
      <c r="F43" s="201"/>
      <c r="G43" s="202"/>
    </row>
    <row r="44" spans="1:7" x14ac:dyDescent="0.2">
      <c r="A44" s="582" t="s">
        <v>269</v>
      </c>
      <c r="B44" s="208" t="s">
        <v>270</v>
      </c>
      <c r="C44" s="209" t="e">
        <f>F$6*0.052*F$8</f>
        <v>#N/A</v>
      </c>
      <c r="G44" s="203"/>
    </row>
    <row r="45" spans="1:7" ht="15" customHeight="1" x14ac:dyDescent="0.25">
      <c r="A45" s="204"/>
      <c r="B45" s="210"/>
      <c r="C45" s="215" t="s">
        <v>69</v>
      </c>
      <c r="D45" s="708" t="s">
        <v>271</v>
      </c>
      <c r="E45" s="709"/>
      <c r="F45" s="709"/>
      <c r="G45" s="710"/>
    </row>
    <row r="46" spans="1:7" ht="15" customHeight="1" x14ac:dyDescent="0.25">
      <c r="A46" s="582" t="s">
        <v>272</v>
      </c>
      <c r="B46" s="208" t="s">
        <v>273</v>
      </c>
      <c r="C46" s="211" t="e">
        <f>C$44-0.12*F$6</f>
        <v>#N/A</v>
      </c>
      <c r="D46" s="212" t="e">
        <f>IF(F$9&gt;C46,"YES","NO")</f>
        <v>#N/A</v>
      </c>
      <c r="E46" s="711"/>
      <c r="F46" s="682"/>
      <c r="G46" s="712"/>
    </row>
    <row r="47" spans="1:7" ht="15" customHeight="1" x14ac:dyDescent="0.25">
      <c r="A47" s="582" t="s">
        <v>275</v>
      </c>
      <c r="B47" s="208" t="s">
        <v>276</v>
      </c>
      <c r="C47" s="211" t="e">
        <f>C$44-0.22*F$6</f>
        <v>#N/A</v>
      </c>
      <c r="D47" s="212" t="e">
        <f>IF(F$9&gt;C47,"YES","NO")</f>
        <v>#N/A</v>
      </c>
      <c r="E47" s="711"/>
      <c r="F47" s="682"/>
      <c r="G47" s="712"/>
    </row>
    <row r="48" spans="1:7" ht="15" customHeight="1" x14ac:dyDescent="0.25">
      <c r="A48" s="204"/>
      <c r="C48" s="215" t="s">
        <v>69</v>
      </c>
      <c r="D48" s="696" t="s">
        <v>278</v>
      </c>
      <c r="E48" s="697"/>
      <c r="F48" s="697"/>
      <c r="G48" s="698"/>
    </row>
    <row r="49" spans="1:7" ht="15" customHeight="1" x14ac:dyDescent="0.25">
      <c r="A49" s="582" t="s">
        <v>280</v>
      </c>
      <c r="B49" s="208" t="s">
        <v>281</v>
      </c>
      <c r="C49" s="211" t="e">
        <f>C$44-0.22*(F$6-F$7)</f>
        <v>#N/A</v>
      </c>
      <c r="D49" s="212" t="e">
        <f>IF(F$7&gt;C49,"YES","NO")</f>
        <v>#N/A</v>
      </c>
      <c r="E49" s="713"/>
      <c r="F49" s="682"/>
      <c r="G49" s="712"/>
    </row>
    <row r="50" spans="1:7" ht="15" customHeight="1" x14ac:dyDescent="0.25">
      <c r="A50" s="714" t="s">
        <v>283</v>
      </c>
      <c r="B50" s="683"/>
      <c r="C50" s="209" t="e">
        <f>IF(G$9&gt;0,SMALL(M$14:M$16,1),SMALL(M$13:M$15,1))</f>
        <v>#N/A</v>
      </c>
      <c r="D50" s="220" t="s">
        <v>284</v>
      </c>
      <c r="E50" s="213"/>
      <c r="F50" s="213"/>
      <c r="G50" s="214"/>
    </row>
    <row r="51" spans="1:7" ht="13.5" customHeight="1" thickBot="1" x14ac:dyDescent="0.3">
      <c r="A51" s="715" t="s">
        <v>285</v>
      </c>
      <c r="B51" s="716"/>
      <c r="C51" s="221" t="e">
        <f>IF(D$49="NO",SMALL(M$19:M$21,1),SMALL(M$19:M$20,1))</f>
        <v>#N/A</v>
      </c>
      <c r="D51" s="222" t="s">
        <v>284</v>
      </c>
      <c r="E51" s="717" t="s">
        <v>286</v>
      </c>
      <c r="F51" s="704"/>
      <c r="G51" s="707"/>
    </row>
  </sheetData>
  <mergeCells count="42">
    <mergeCell ref="A51:B51"/>
    <mergeCell ref="E51:G51"/>
    <mergeCell ref="A3:B3"/>
    <mergeCell ref="A4:B4"/>
    <mergeCell ref="A5:B5"/>
    <mergeCell ref="A6:B6"/>
    <mergeCell ref="A7:B7"/>
    <mergeCell ref="A8:B8"/>
    <mergeCell ref="A9:B9"/>
    <mergeCell ref="A10:B10"/>
    <mergeCell ref="D45:G45"/>
    <mergeCell ref="E46:G46"/>
    <mergeCell ref="E47:G47"/>
    <mergeCell ref="D48:G48"/>
    <mergeCell ref="E49:G49"/>
    <mergeCell ref="A50:B50"/>
    <mergeCell ref="E36:G36"/>
    <mergeCell ref="E37:G37"/>
    <mergeCell ref="D38:G38"/>
    <mergeCell ref="A40:B40"/>
    <mergeCell ref="A41:B41"/>
    <mergeCell ref="E41:G41"/>
    <mergeCell ref="E39:G39"/>
    <mergeCell ref="D35:G35"/>
    <mergeCell ref="E19:G19"/>
    <mergeCell ref="A20:B20"/>
    <mergeCell ref="A21:B21"/>
    <mergeCell ref="E21:G21"/>
    <mergeCell ref="D25:G25"/>
    <mergeCell ref="E26:G26"/>
    <mergeCell ref="E27:G27"/>
    <mergeCell ref="D28:G28"/>
    <mergeCell ref="A30:B30"/>
    <mergeCell ref="A31:B31"/>
    <mergeCell ref="E31:G31"/>
    <mergeCell ref="D18:G18"/>
    <mergeCell ref="A11:B11"/>
    <mergeCell ref="A1:B2"/>
    <mergeCell ref="D1:G2"/>
    <mergeCell ref="D15:G15"/>
    <mergeCell ref="E16:G16"/>
    <mergeCell ref="E17:G17"/>
  </mergeCells>
  <pageMargins left="0.62" right="0.51" top="0.48" bottom="0.27" header="0.28999999999999998" footer="0.25"/>
  <pageSetup scale="8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527"/>
  <sheetViews>
    <sheetView topLeftCell="A7" workbookViewId="0">
      <pane ySplit="2925" topLeftCell="A1496"/>
      <selection activeCell="A7" sqref="A7"/>
      <selection pane="bottomLeft" activeCell="D1497" sqref="D1497"/>
    </sheetView>
  </sheetViews>
  <sheetFormatPr defaultRowHeight="15" x14ac:dyDescent="0.25"/>
  <sheetData>
    <row r="1" spans="1:16" x14ac:dyDescent="0.25">
      <c r="D1" t="s">
        <v>69</v>
      </c>
    </row>
    <row r="2" spans="1:16" ht="15.75" customHeight="1" thickBot="1" x14ac:dyDescent="0.3"/>
    <row r="3" spans="1:16" x14ac:dyDescent="0.25">
      <c r="A3" s="19" t="s">
        <v>291</v>
      </c>
      <c r="B3" s="461" t="s">
        <v>292</v>
      </c>
      <c r="C3" s="729" t="s">
        <v>293</v>
      </c>
      <c r="D3" s="461" t="s">
        <v>2</v>
      </c>
      <c r="E3" s="723" t="s">
        <v>294</v>
      </c>
      <c r="F3" s="732"/>
      <c r="G3" s="732"/>
      <c r="H3" s="724"/>
      <c r="I3" s="723" t="s">
        <v>295</v>
      </c>
      <c r="J3" s="732"/>
      <c r="K3" s="724"/>
      <c r="L3" s="461" t="s">
        <v>296</v>
      </c>
      <c r="M3" s="461" t="s">
        <v>297</v>
      </c>
      <c r="N3" s="461" t="s">
        <v>298</v>
      </c>
      <c r="O3" s="723" t="s">
        <v>299</v>
      </c>
      <c r="P3" s="724"/>
    </row>
    <row r="4" spans="1:16" x14ac:dyDescent="0.25">
      <c r="A4" s="20" t="s">
        <v>300</v>
      </c>
      <c r="B4" s="462" t="s">
        <v>301</v>
      </c>
      <c r="C4" s="730"/>
      <c r="D4" s="462" t="s">
        <v>302</v>
      </c>
      <c r="E4" s="725" t="s">
        <v>303</v>
      </c>
      <c r="F4" s="679"/>
      <c r="G4" s="679"/>
      <c r="H4" s="726"/>
      <c r="I4" s="725" t="s">
        <v>304</v>
      </c>
      <c r="J4" s="679"/>
      <c r="K4" s="726"/>
      <c r="L4" s="462" t="s">
        <v>305</v>
      </c>
      <c r="M4" s="462" t="s">
        <v>300</v>
      </c>
      <c r="N4" s="462" t="s">
        <v>300</v>
      </c>
      <c r="O4" s="725" t="s">
        <v>300</v>
      </c>
      <c r="P4" s="726"/>
    </row>
    <row r="5" spans="1:16" ht="15.75" customHeight="1" thickBot="1" x14ac:dyDescent="0.3">
      <c r="A5" s="20"/>
      <c r="B5" s="462" t="s">
        <v>306</v>
      </c>
      <c r="C5" s="730"/>
      <c r="D5" s="462"/>
      <c r="E5" s="727"/>
      <c r="F5" s="733"/>
      <c r="G5" s="733"/>
      <c r="H5" s="728"/>
      <c r="I5" s="727"/>
      <c r="J5" s="733"/>
      <c r="K5" s="728"/>
      <c r="L5" s="462" t="s">
        <v>304</v>
      </c>
      <c r="M5" s="462"/>
      <c r="N5" s="462"/>
      <c r="O5" s="727"/>
      <c r="P5" s="728"/>
    </row>
    <row r="6" spans="1:16" ht="39" customHeight="1" thickBot="1" x14ac:dyDescent="0.3">
      <c r="A6" s="21"/>
      <c r="B6" s="463" t="s">
        <v>307</v>
      </c>
      <c r="C6" s="731"/>
      <c r="D6" s="463"/>
      <c r="E6" s="463" t="s">
        <v>294</v>
      </c>
      <c r="F6" s="463"/>
      <c r="G6" s="463"/>
      <c r="H6" s="463"/>
      <c r="I6" s="463" t="s">
        <v>308</v>
      </c>
      <c r="J6" s="463" t="s">
        <v>295</v>
      </c>
      <c r="K6" s="463" t="s">
        <v>69</v>
      </c>
      <c r="L6" s="463"/>
      <c r="M6" s="463"/>
      <c r="N6" s="463"/>
      <c r="O6" s="463" t="s">
        <v>9</v>
      </c>
      <c r="P6" s="587" t="s">
        <v>309</v>
      </c>
    </row>
    <row r="7" spans="1:16" ht="15.75" customHeight="1" thickBot="1" x14ac:dyDescent="0.3">
      <c r="A7" s="20" t="s">
        <v>56</v>
      </c>
      <c r="B7" s="462" t="s">
        <v>55</v>
      </c>
      <c r="C7" s="462" t="s">
        <v>57</v>
      </c>
      <c r="D7" s="462" t="s">
        <v>310</v>
      </c>
      <c r="E7" s="462" t="s">
        <v>311</v>
      </c>
      <c r="F7" s="462" t="s">
        <v>157</v>
      </c>
      <c r="G7" s="462" t="s">
        <v>312</v>
      </c>
      <c r="H7" s="462" t="s">
        <v>313</v>
      </c>
      <c r="I7" s="462" t="s">
        <v>58</v>
      </c>
      <c r="J7" s="462" t="s">
        <v>314</v>
      </c>
      <c r="K7" s="462" t="s">
        <v>315</v>
      </c>
      <c r="L7" s="462" t="s">
        <v>316</v>
      </c>
      <c r="M7" s="462" t="s">
        <v>317</v>
      </c>
      <c r="N7" s="462" t="s">
        <v>12</v>
      </c>
      <c r="O7" s="462" t="s">
        <v>318</v>
      </c>
      <c r="P7" s="586" t="s">
        <v>319</v>
      </c>
    </row>
    <row r="8" spans="1:16" x14ac:dyDescent="0.25">
      <c r="A8" s="3">
        <v>4.5</v>
      </c>
      <c r="B8" s="4">
        <v>9.5</v>
      </c>
      <c r="C8" s="4" t="s">
        <v>66</v>
      </c>
      <c r="D8" s="4">
        <v>3310</v>
      </c>
      <c r="E8" s="4">
        <v>4380</v>
      </c>
      <c r="F8" s="4"/>
      <c r="G8" s="4"/>
      <c r="H8" s="4"/>
      <c r="I8" s="4" t="s">
        <v>8</v>
      </c>
      <c r="J8" s="4">
        <v>101</v>
      </c>
      <c r="K8" s="4"/>
      <c r="L8" s="4">
        <v>152</v>
      </c>
      <c r="M8" s="4">
        <v>0.20499999999999999</v>
      </c>
      <c r="N8" s="4">
        <v>4.09</v>
      </c>
      <c r="O8" s="4">
        <v>3.9649999999999999</v>
      </c>
      <c r="P8" s="5"/>
    </row>
    <row r="9" spans="1:16" x14ac:dyDescent="0.25">
      <c r="A9" s="6">
        <v>4.5</v>
      </c>
      <c r="B9" s="2">
        <v>9.5</v>
      </c>
      <c r="C9" s="2" t="s">
        <v>110</v>
      </c>
      <c r="D9" s="2">
        <v>3310</v>
      </c>
      <c r="E9" s="2">
        <v>4380</v>
      </c>
      <c r="F9" s="2"/>
      <c r="G9" s="2"/>
      <c r="H9" s="2"/>
      <c r="I9" s="2" t="s">
        <v>8</v>
      </c>
      <c r="J9" s="2">
        <v>112</v>
      </c>
      <c r="K9" s="2"/>
      <c r="L9" s="2">
        <v>152</v>
      </c>
      <c r="M9" s="2">
        <v>0.20499999999999999</v>
      </c>
      <c r="N9" s="2">
        <v>4.09</v>
      </c>
      <c r="O9" s="2">
        <v>3.9649999999999999</v>
      </c>
      <c r="P9" s="7"/>
    </row>
    <row r="10" spans="1:16" x14ac:dyDescent="0.25">
      <c r="A10" s="8">
        <v>4.5</v>
      </c>
      <c r="B10" s="1">
        <v>10.5</v>
      </c>
      <c r="C10" s="1" t="s">
        <v>66</v>
      </c>
      <c r="D10" s="1">
        <v>4010</v>
      </c>
      <c r="E10" s="1">
        <v>4790</v>
      </c>
      <c r="F10" s="1"/>
      <c r="G10" s="1"/>
      <c r="H10" s="1"/>
      <c r="I10" s="1" t="s">
        <v>8</v>
      </c>
      <c r="J10" s="1">
        <v>132</v>
      </c>
      <c r="K10" s="1"/>
      <c r="L10" s="1">
        <v>166</v>
      </c>
      <c r="M10" s="1">
        <v>0.224</v>
      </c>
      <c r="N10" s="1">
        <v>4.0519999999999996</v>
      </c>
      <c r="O10" s="1">
        <v>3.927</v>
      </c>
      <c r="P10" s="9"/>
    </row>
    <row r="11" spans="1:16" x14ac:dyDescent="0.25">
      <c r="A11" s="8">
        <v>4.5</v>
      </c>
      <c r="B11" s="1">
        <v>10.5</v>
      </c>
      <c r="C11" s="1" t="s">
        <v>66</v>
      </c>
      <c r="D11" s="1">
        <v>4010</v>
      </c>
      <c r="E11" s="1">
        <v>4790</v>
      </c>
      <c r="F11" s="1"/>
      <c r="G11" s="1"/>
      <c r="H11" s="1"/>
      <c r="I11" s="1" t="s">
        <v>13</v>
      </c>
      <c r="J11" s="1">
        <v>203</v>
      </c>
      <c r="K11" s="1"/>
      <c r="L11" s="1">
        <v>166</v>
      </c>
      <c r="M11" s="1">
        <v>0.224</v>
      </c>
      <c r="N11" s="1">
        <v>4.0519999999999996</v>
      </c>
      <c r="O11" s="1">
        <v>3.927</v>
      </c>
      <c r="P11" s="9"/>
    </row>
    <row r="12" spans="1:16" x14ac:dyDescent="0.25">
      <c r="A12" s="6">
        <v>4.5</v>
      </c>
      <c r="B12" s="2">
        <v>10.5</v>
      </c>
      <c r="C12" s="2" t="s">
        <v>110</v>
      </c>
      <c r="D12" s="2">
        <v>4010</v>
      </c>
      <c r="E12" s="2">
        <v>4790</v>
      </c>
      <c r="F12" s="2"/>
      <c r="G12" s="2"/>
      <c r="H12" s="2"/>
      <c r="I12" s="2" t="s">
        <v>8</v>
      </c>
      <c r="J12" s="2">
        <v>146</v>
      </c>
      <c r="K12" s="2"/>
      <c r="L12" s="2">
        <v>166</v>
      </c>
      <c r="M12" s="2">
        <v>0.224</v>
      </c>
      <c r="N12" s="2">
        <v>4.0519999999999996</v>
      </c>
      <c r="O12" s="2">
        <v>3.927</v>
      </c>
      <c r="P12" s="7"/>
    </row>
    <row r="13" spans="1:16" x14ac:dyDescent="0.25">
      <c r="A13" s="6">
        <v>4.5</v>
      </c>
      <c r="B13" s="2">
        <v>10.5</v>
      </c>
      <c r="C13" s="2" t="s">
        <v>110</v>
      </c>
      <c r="D13" s="2">
        <v>4010</v>
      </c>
      <c r="E13" s="2">
        <v>4790</v>
      </c>
      <c r="F13" s="2"/>
      <c r="G13" s="2"/>
      <c r="H13" s="2"/>
      <c r="I13" s="2" t="s">
        <v>13</v>
      </c>
      <c r="J13" s="2">
        <v>249</v>
      </c>
      <c r="K13" s="2"/>
      <c r="L13" s="2">
        <v>166</v>
      </c>
      <c r="M13" s="2">
        <v>0.224</v>
      </c>
      <c r="N13" s="2">
        <v>4.0519999999999996</v>
      </c>
      <c r="O13" s="2">
        <v>3.927</v>
      </c>
      <c r="P13" s="7"/>
    </row>
    <row r="14" spans="1:16" x14ac:dyDescent="0.25">
      <c r="A14" s="8">
        <v>4.5</v>
      </c>
      <c r="B14" s="1">
        <v>11.6</v>
      </c>
      <c r="C14" s="1" t="s">
        <v>66</v>
      </c>
      <c r="D14" s="1">
        <v>4960</v>
      </c>
      <c r="E14" s="1">
        <v>5350</v>
      </c>
      <c r="F14" s="1"/>
      <c r="G14" s="1"/>
      <c r="H14" s="1"/>
      <c r="I14" s="1" t="s">
        <v>8</v>
      </c>
      <c r="J14" s="1">
        <v>154</v>
      </c>
      <c r="K14" s="1"/>
      <c r="L14" s="1">
        <v>184</v>
      </c>
      <c r="M14" s="1">
        <v>0.25</v>
      </c>
      <c r="N14" s="1">
        <v>4</v>
      </c>
      <c r="O14" s="1">
        <v>3.875</v>
      </c>
      <c r="P14" s="9"/>
    </row>
    <row r="15" spans="1:16" x14ac:dyDescent="0.25">
      <c r="A15" s="8">
        <v>4.5</v>
      </c>
      <c r="B15" s="1">
        <v>11.6</v>
      </c>
      <c r="C15" s="1" t="s">
        <v>66</v>
      </c>
      <c r="D15" s="1">
        <v>4960</v>
      </c>
      <c r="E15" s="1">
        <v>5350</v>
      </c>
      <c r="F15" s="1"/>
      <c r="G15" s="1"/>
      <c r="H15" s="1"/>
      <c r="I15" s="1" t="s">
        <v>10</v>
      </c>
      <c r="J15" s="1">
        <v>162</v>
      </c>
      <c r="K15" s="1"/>
      <c r="L15" s="1">
        <v>184</v>
      </c>
      <c r="M15" s="1">
        <v>0.25</v>
      </c>
      <c r="N15" s="1">
        <v>4</v>
      </c>
      <c r="O15" s="1">
        <v>3.875</v>
      </c>
      <c r="P15" s="9"/>
    </row>
    <row r="16" spans="1:16" x14ac:dyDescent="0.25">
      <c r="A16" s="8">
        <v>4.5</v>
      </c>
      <c r="B16" s="1">
        <v>11.6</v>
      </c>
      <c r="C16" s="1" t="s">
        <v>66</v>
      </c>
      <c r="D16" s="1">
        <v>4960</v>
      </c>
      <c r="E16" s="1">
        <v>5350</v>
      </c>
      <c r="F16" s="1"/>
      <c r="G16" s="1"/>
      <c r="H16" s="1"/>
      <c r="I16" s="1" t="s">
        <v>13</v>
      </c>
      <c r="J16" s="1">
        <v>225</v>
      </c>
      <c r="K16" s="1"/>
      <c r="L16" s="1">
        <v>184</v>
      </c>
      <c r="M16" s="1">
        <v>0.25</v>
      </c>
      <c r="N16" s="1">
        <v>4</v>
      </c>
      <c r="O16" s="1">
        <v>3.875</v>
      </c>
      <c r="P16" s="9"/>
    </row>
    <row r="17" spans="1:16" x14ac:dyDescent="0.25">
      <c r="A17" s="6">
        <v>4.5</v>
      </c>
      <c r="B17" s="2">
        <v>11.6</v>
      </c>
      <c r="C17" s="2" t="s">
        <v>110</v>
      </c>
      <c r="D17" s="2">
        <v>4960</v>
      </c>
      <c r="E17" s="2">
        <v>5350</v>
      </c>
      <c r="F17" s="2"/>
      <c r="G17" s="2"/>
      <c r="H17" s="2"/>
      <c r="I17" s="2" t="s">
        <v>8</v>
      </c>
      <c r="J17" s="2">
        <v>170</v>
      </c>
      <c r="K17" s="2"/>
      <c r="L17" s="2">
        <v>184</v>
      </c>
      <c r="M17" s="2">
        <v>0.25</v>
      </c>
      <c r="N17" s="2">
        <v>4</v>
      </c>
      <c r="O17" s="2">
        <v>3.875</v>
      </c>
      <c r="P17" s="7"/>
    </row>
    <row r="18" spans="1:16" x14ac:dyDescent="0.25">
      <c r="A18" s="6">
        <v>4.5</v>
      </c>
      <c r="B18" s="2">
        <v>11.6</v>
      </c>
      <c r="C18" s="2" t="s">
        <v>110</v>
      </c>
      <c r="D18" s="2">
        <v>4960</v>
      </c>
      <c r="E18" s="2">
        <v>5350</v>
      </c>
      <c r="F18" s="2"/>
      <c r="G18" s="2"/>
      <c r="H18" s="2"/>
      <c r="I18" s="2" t="s">
        <v>10</v>
      </c>
      <c r="J18" s="2">
        <v>180</v>
      </c>
      <c r="K18" s="2"/>
      <c r="L18" s="2">
        <v>184</v>
      </c>
      <c r="M18" s="2">
        <v>0.25</v>
      </c>
      <c r="N18" s="2">
        <v>4</v>
      </c>
      <c r="O18" s="2">
        <v>3.875</v>
      </c>
      <c r="P18" s="7"/>
    </row>
    <row r="19" spans="1:16" x14ac:dyDescent="0.25">
      <c r="A19" s="6">
        <v>4.5</v>
      </c>
      <c r="B19" s="2">
        <v>11.6</v>
      </c>
      <c r="C19" s="2" t="s">
        <v>110</v>
      </c>
      <c r="D19" s="2">
        <v>4960</v>
      </c>
      <c r="E19" s="2">
        <v>5350</v>
      </c>
      <c r="F19" s="2"/>
      <c r="G19" s="2"/>
      <c r="H19" s="2"/>
      <c r="I19" s="2" t="s">
        <v>13</v>
      </c>
      <c r="J19" s="2">
        <v>277</v>
      </c>
      <c r="K19" s="2"/>
      <c r="L19" s="2">
        <v>184</v>
      </c>
      <c r="M19" s="2">
        <v>0.25</v>
      </c>
      <c r="N19" s="2">
        <v>4</v>
      </c>
      <c r="O19" s="2">
        <v>3.875</v>
      </c>
      <c r="P19" s="7"/>
    </row>
    <row r="20" spans="1:16" x14ac:dyDescent="0.25">
      <c r="A20" s="8">
        <v>4.5</v>
      </c>
      <c r="B20" s="1">
        <v>11.6</v>
      </c>
      <c r="C20" s="1" t="s">
        <v>111</v>
      </c>
      <c r="D20" s="1">
        <v>6350</v>
      </c>
      <c r="E20" s="1">
        <v>7780</v>
      </c>
      <c r="F20" s="1"/>
      <c r="G20" s="1"/>
      <c r="H20" s="1"/>
      <c r="I20" s="1" t="s">
        <v>10</v>
      </c>
      <c r="J20" s="1">
        <v>212</v>
      </c>
      <c r="K20" s="1"/>
      <c r="L20" s="1">
        <v>267</v>
      </c>
      <c r="M20" s="1">
        <v>0.25</v>
      </c>
      <c r="N20" s="1">
        <v>4</v>
      </c>
      <c r="O20" s="1">
        <v>3.875</v>
      </c>
      <c r="P20" s="9"/>
    </row>
    <row r="21" spans="1:16" x14ac:dyDescent="0.25">
      <c r="A21" s="8">
        <v>4.5</v>
      </c>
      <c r="B21" s="1">
        <v>11.6</v>
      </c>
      <c r="C21" s="1" t="s">
        <v>111</v>
      </c>
      <c r="D21" s="1">
        <v>6350</v>
      </c>
      <c r="E21" s="1">
        <v>7780</v>
      </c>
      <c r="F21" s="1"/>
      <c r="G21" s="1"/>
      <c r="H21" s="1"/>
      <c r="I21" s="1" t="s">
        <v>13</v>
      </c>
      <c r="J21" s="1">
        <v>291</v>
      </c>
      <c r="K21" s="1"/>
      <c r="L21" s="1">
        <v>267</v>
      </c>
      <c r="M21" s="1">
        <v>0.25</v>
      </c>
      <c r="N21" s="1">
        <v>4</v>
      </c>
      <c r="O21" s="1">
        <v>3.875</v>
      </c>
      <c r="P21" s="9"/>
    </row>
    <row r="22" spans="1:16" x14ac:dyDescent="0.25">
      <c r="A22" s="6">
        <v>4.5</v>
      </c>
      <c r="B22" s="2">
        <v>11.6</v>
      </c>
      <c r="C22" s="2" t="s">
        <v>88</v>
      </c>
      <c r="D22" s="2">
        <v>8650</v>
      </c>
      <c r="E22" s="2">
        <v>7780</v>
      </c>
      <c r="F22" s="2"/>
      <c r="G22" s="2"/>
      <c r="H22" s="2"/>
      <c r="I22" s="2" t="s">
        <v>10</v>
      </c>
      <c r="J22" s="2">
        <v>223</v>
      </c>
      <c r="K22" s="2"/>
      <c r="L22" s="2">
        <v>267</v>
      </c>
      <c r="M22" s="2">
        <v>0.25</v>
      </c>
      <c r="N22" s="2">
        <v>4</v>
      </c>
      <c r="O22" s="2">
        <v>3.875</v>
      </c>
      <c r="P22" s="7"/>
    </row>
    <row r="23" spans="1:16" x14ac:dyDescent="0.25">
      <c r="A23" s="6">
        <v>4.5</v>
      </c>
      <c r="B23" s="2">
        <v>11.6</v>
      </c>
      <c r="C23" s="2" t="s">
        <v>88</v>
      </c>
      <c r="D23" s="2">
        <v>8650</v>
      </c>
      <c r="E23" s="2">
        <v>7780</v>
      </c>
      <c r="F23" s="2"/>
      <c r="G23" s="2"/>
      <c r="H23" s="2"/>
      <c r="I23" s="2" t="s">
        <v>13</v>
      </c>
      <c r="J23" s="2">
        <v>312</v>
      </c>
      <c r="K23" s="2"/>
      <c r="L23" s="2">
        <v>267</v>
      </c>
      <c r="M23" s="2">
        <v>0.25</v>
      </c>
      <c r="N23" s="2">
        <v>4</v>
      </c>
      <c r="O23" s="2">
        <v>3.875</v>
      </c>
      <c r="P23" s="7"/>
    </row>
    <row r="24" spans="1:16" x14ac:dyDescent="0.25">
      <c r="A24" s="8">
        <v>4.5</v>
      </c>
      <c r="B24" s="1">
        <v>11.6</v>
      </c>
      <c r="C24" s="1" t="s">
        <v>112</v>
      </c>
      <c r="D24" s="1">
        <v>6350</v>
      </c>
      <c r="E24" s="1">
        <v>7780</v>
      </c>
      <c r="F24" s="1"/>
      <c r="G24" s="1"/>
      <c r="H24" s="1"/>
      <c r="I24" s="1" t="s">
        <v>10</v>
      </c>
      <c r="J24" s="1">
        <v>223</v>
      </c>
      <c r="K24" s="1"/>
      <c r="L24" s="1">
        <v>267</v>
      </c>
      <c r="M24" s="1">
        <v>0.25</v>
      </c>
      <c r="N24" s="1">
        <v>4</v>
      </c>
      <c r="O24" s="1">
        <v>3.875</v>
      </c>
      <c r="P24" s="9"/>
    </row>
    <row r="25" spans="1:16" x14ac:dyDescent="0.25">
      <c r="A25" s="8">
        <v>4.5</v>
      </c>
      <c r="B25" s="1">
        <v>11.6</v>
      </c>
      <c r="C25" s="1" t="s">
        <v>112</v>
      </c>
      <c r="D25" s="1">
        <v>6350</v>
      </c>
      <c r="E25" s="1">
        <v>7780</v>
      </c>
      <c r="F25" s="1"/>
      <c r="G25" s="1"/>
      <c r="H25" s="1"/>
      <c r="I25" s="1" t="s">
        <v>13</v>
      </c>
      <c r="J25" s="1">
        <v>304</v>
      </c>
      <c r="K25" s="1"/>
      <c r="L25" s="1">
        <v>267</v>
      </c>
      <c r="M25" s="1">
        <v>0.25</v>
      </c>
      <c r="N25" s="1">
        <v>4</v>
      </c>
      <c r="O25" s="1">
        <v>3.875</v>
      </c>
      <c r="P25" s="9"/>
    </row>
    <row r="26" spans="1:16" x14ac:dyDescent="0.25">
      <c r="A26" s="6">
        <v>4.5</v>
      </c>
      <c r="B26" s="2">
        <v>11.6</v>
      </c>
      <c r="C26" s="2" t="s">
        <v>93</v>
      </c>
      <c r="D26" s="2">
        <v>8650</v>
      </c>
      <c r="E26" s="2">
        <v>7780</v>
      </c>
      <c r="F26" s="2"/>
      <c r="G26" s="2"/>
      <c r="H26" s="2"/>
      <c r="I26" s="2" t="s">
        <v>10</v>
      </c>
      <c r="J26" s="2">
        <v>223</v>
      </c>
      <c r="K26" s="2"/>
      <c r="L26" s="2">
        <v>267</v>
      </c>
      <c r="M26" s="2">
        <v>0.25</v>
      </c>
      <c r="N26" s="2">
        <v>4</v>
      </c>
      <c r="O26" s="2">
        <v>3.875</v>
      </c>
      <c r="P26" s="7"/>
    </row>
    <row r="27" spans="1:16" x14ac:dyDescent="0.25">
      <c r="A27" s="6">
        <v>4.5</v>
      </c>
      <c r="B27" s="2">
        <v>11.6</v>
      </c>
      <c r="C27" s="2" t="s">
        <v>93</v>
      </c>
      <c r="D27" s="2">
        <v>8650</v>
      </c>
      <c r="E27" s="2">
        <v>7780</v>
      </c>
      <c r="F27" s="2"/>
      <c r="G27" s="2"/>
      <c r="H27" s="2"/>
      <c r="I27" s="2" t="s">
        <v>13</v>
      </c>
      <c r="J27" s="2">
        <v>312</v>
      </c>
      <c r="K27" s="2"/>
      <c r="L27" s="2">
        <v>267</v>
      </c>
      <c r="M27" s="2">
        <v>0.25</v>
      </c>
      <c r="N27" s="2">
        <v>4</v>
      </c>
      <c r="O27" s="2">
        <v>3.875</v>
      </c>
      <c r="P27" s="7"/>
    </row>
    <row r="28" spans="1:16" x14ac:dyDescent="0.25">
      <c r="A28" s="8">
        <v>4.5</v>
      </c>
      <c r="B28" s="1">
        <v>11.6</v>
      </c>
      <c r="C28" s="1" t="s">
        <v>68</v>
      </c>
      <c r="D28" s="1">
        <v>6810</v>
      </c>
      <c r="E28" s="1">
        <v>8750</v>
      </c>
      <c r="F28" s="1"/>
      <c r="G28" s="1"/>
      <c r="H28" s="1"/>
      <c r="I28" s="1" t="s">
        <v>10</v>
      </c>
      <c r="J28" s="1">
        <v>223</v>
      </c>
      <c r="K28" s="1"/>
      <c r="L28" s="1">
        <v>300</v>
      </c>
      <c r="M28" s="1">
        <v>0.25</v>
      </c>
      <c r="N28" s="1">
        <v>4</v>
      </c>
      <c r="O28" s="1">
        <v>3.875</v>
      </c>
      <c r="P28" s="9"/>
    </row>
    <row r="29" spans="1:16" x14ac:dyDescent="0.25">
      <c r="A29" s="8">
        <v>4.5</v>
      </c>
      <c r="B29" s="1">
        <v>11.6</v>
      </c>
      <c r="C29" s="1" t="s">
        <v>68</v>
      </c>
      <c r="D29" s="1">
        <v>6810</v>
      </c>
      <c r="E29" s="1">
        <v>8750</v>
      </c>
      <c r="F29" s="1"/>
      <c r="G29" s="1"/>
      <c r="H29" s="1"/>
      <c r="I29" s="1" t="s">
        <v>13</v>
      </c>
      <c r="J29" s="1">
        <v>309</v>
      </c>
      <c r="K29" s="1"/>
      <c r="L29" s="1">
        <v>300</v>
      </c>
      <c r="M29" s="1">
        <v>0.25</v>
      </c>
      <c r="N29" s="1">
        <v>4</v>
      </c>
      <c r="O29" s="1">
        <v>3.875</v>
      </c>
      <c r="P29" s="9"/>
    </row>
    <row r="30" spans="1:16" x14ac:dyDescent="0.25">
      <c r="A30" s="6">
        <v>4.5</v>
      </c>
      <c r="B30" s="2">
        <v>11.6</v>
      </c>
      <c r="C30" s="2" t="s">
        <v>115</v>
      </c>
      <c r="D30" s="2">
        <v>8650</v>
      </c>
      <c r="E30" s="2">
        <v>9240</v>
      </c>
      <c r="F30" s="2"/>
      <c r="G30" s="2"/>
      <c r="H30" s="2"/>
      <c r="I30" s="2" t="s">
        <v>10</v>
      </c>
      <c r="J30" s="2">
        <v>245</v>
      </c>
      <c r="K30" s="2"/>
      <c r="L30" s="2">
        <v>317</v>
      </c>
      <c r="M30" s="2">
        <v>0.25</v>
      </c>
      <c r="N30" s="2">
        <v>4</v>
      </c>
      <c r="O30" s="2">
        <v>3.875</v>
      </c>
      <c r="P30" s="7"/>
    </row>
    <row r="31" spans="1:16" x14ac:dyDescent="0.25">
      <c r="A31" s="6">
        <v>4.5</v>
      </c>
      <c r="B31" s="2">
        <v>11.6</v>
      </c>
      <c r="C31" s="2" t="s">
        <v>115</v>
      </c>
      <c r="D31" s="2">
        <v>8650</v>
      </c>
      <c r="E31" s="2">
        <v>9240</v>
      </c>
      <c r="F31" s="2"/>
      <c r="G31" s="2"/>
      <c r="H31" s="2"/>
      <c r="I31" s="2" t="s">
        <v>13</v>
      </c>
      <c r="J31" s="2">
        <v>338</v>
      </c>
      <c r="K31" s="2"/>
      <c r="L31" s="2">
        <v>317</v>
      </c>
      <c r="M31" s="2">
        <v>0.25</v>
      </c>
      <c r="N31" s="2">
        <v>4</v>
      </c>
      <c r="O31" s="2">
        <v>3.875</v>
      </c>
      <c r="P31" s="7"/>
    </row>
    <row r="32" spans="1:16" x14ac:dyDescent="0.25">
      <c r="A32" s="8">
        <v>4.5</v>
      </c>
      <c r="B32" s="1">
        <v>11.6</v>
      </c>
      <c r="C32" s="1" t="s">
        <v>116</v>
      </c>
      <c r="D32" s="1">
        <v>7030</v>
      </c>
      <c r="E32" s="1">
        <v>9240</v>
      </c>
      <c r="F32" s="1"/>
      <c r="G32" s="1"/>
      <c r="H32" s="1"/>
      <c r="I32" s="1" t="s">
        <v>10</v>
      </c>
      <c r="J32" s="1">
        <v>234</v>
      </c>
      <c r="K32" s="1"/>
      <c r="L32" s="1">
        <v>317</v>
      </c>
      <c r="M32" s="1">
        <v>0.25</v>
      </c>
      <c r="N32" s="1">
        <v>4</v>
      </c>
      <c r="O32" s="1">
        <v>3.875</v>
      </c>
      <c r="P32" s="9"/>
    </row>
    <row r="33" spans="1:16" x14ac:dyDescent="0.25">
      <c r="A33" s="8">
        <v>4.5</v>
      </c>
      <c r="B33" s="1">
        <v>11.6</v>
      </c>
      <c r="C33" s="1" t="s">
        <v>116</v>
      </c>
      <c r="D33" s="1">
        <v>7030</v>
      </c>
      <c r="E33" s="1">
        <v>9240</v>
      </c>
      <c r="F33" s="1"/>
      <c r="G33" s="1"/>
      <c r="H33" s="1"/>
      <c r="I33" s="1" t="s">
        <v>13</v>
      </c>
      <c r="J33" s="1">
        <v>325</v>
      </c>
      <c r="K33" s="1"/>
      <c r="L33" s="1">
        <v>317</v>
      </c>
      <c r="M33" s="1">
        <v>0.25</v>
      </c>
      <c r="N33" s="1">
        <v>4</v>
      </c>
      <c r="O33" s="1">
        <v>3.875</v>
      </c>
      <c r="P33" s="9"/>
    </row>
    <row r="34" spans="1:16" x14ac:dyDescent="0.25">
      <c r="A34" s="6">
        <v>4.5</v>
      </c>
      <c r="B34" s="2">
        <v>11.6</v>
      </c>
      <c r="C34" s="2" t="s">
        <v>74</v>
      </c>
      <c r="D34" s="2">
        <v>7030</v>
      </c>
      <c r="E34" s="2">
        <v>9240</v>
      </c>
      <c r="F34" s="2"/>
      <c r="G34" s="2"/>
      <c r="H34" s="2"/>
      <c r="I34" s="2" t="s">
        <v>10</v>
      </c>
      <c r="J34" s="2">
        <v>234</v>
      </c>
      <c r="K34" s="2"/>
      <c r="L34" s="2">
        <v>317</v>
      </c>
      <c r="M34" s="2">
        <v>0.25</v>
      </c>
      <c r="N34" s="2">
        <v>4</v>
      </c>
      <c r="O34" s="2">
        <v>3.875</v>
      </c>
      <c r="P34" s="7"/>
    </row>
    <row r="35" spans="1:16" x14ac:dyDescent="0.25">
      <c r="A35" s="6">
        <v>4.5</v>
      </c>
      <c r="B35" s="2">
        <v>11.6</v>
      </c>
      <c r="C35" s="2" t="s">
        <v>74</v>
      </c>
      <c r="D35" s="2">
        <v>7030</v>
      </c>
      <c r="E35" s="2">
        <v>9240</v>
      </c>
      <c r="F35" s="2"/>
      <c r="G35" s="2"/>
      <c r="H35" s="2"/>
      <c r="I35" s="2" t="s">
        <v>13</v>
      </c>
      <c r="J35" s="2">
        <v>325</v>
      </c>
      <c r="K35" s="2"/>
      <c r="L35" s="2">
        <v>317</v>
      </c>
      <c r="M35" s="2">
        <v>0.25</v>
      </c>
      <c r="N35" s="2">
        <v>4</v>
      </c>
      <c r="O35" s="2">
        <v>3.875</v>
      </c>
      <c r="P35" s="7"/>
    </row>
    <row r="36" spans="1:16" x14ac:dyDescent="0.25">
      <c r="A36" s="8">
        <v>4.5</v>
      </c>
      <c r="B36" s="1">
        <v>11.6</v>
      </c>
      <c r="C36" s="1" t="s">
        <v>97</v>
      </c>
      <c r="D36" s="1">
        <v>8650</v>
      </c>
      <c r="E36" s="1">
        <v>10690</v>
      </c>
      <c r="F36" s="1"/>
      <c r="G36" s="1"/>
      <c r="H36" s="1"/>
      <c r="I36" s="1" t="s">
        <v>10</v>
      </c>
      <c r="J36" s="1">
        <v>279</v>
      </c>
      <c r="K36" s="1"/>
      <c r="L36" s="1">
        <v>367</v>
      </c>
      <c r="M36" s="1">
        <v>0.25</v>
      </c>
      <c r="N36" s="1">
        <v>4</v>
      </c>
      <c r="O36" s="1">
        <v>3.875</v>
      </c>
      <c r="P36" s="9"/>
    </row>
    <row r="37" spans="1:16" x14ac:dyDescent="0.25">
      <c r="A37" s="8">
        <v>4.5</v>
      </c>
      <c r="B37" s="1">
        <v>11.6</v>
      </c>
      <c r="C37" s="1" t="s">
        <v>97</v>
      </c>
      <c r="D37" s="1">
        <v>8650</v>
      </c>
      <c r="E37" s="1">
        <v>10690</v>
      </c>
      <c r="F37" s="1"/>
      <c r="G37" s="1"/>
      <c r="H37" s="1"/>
      <c r="I37" s="1" t="s">
        <v>13</v>
      </c>
      <c r="J37" s="1">
        <v>385</v>
      </c>
      <c r="K37" s="1"/>
      <c r="L37" s="1">
        <v>367</v>
      </c>
      <c r="M37" s="1">
        <v>0.25</v>
      </c>
      <c r="N37" s="1">
        <v>4</v>
      </c>
      <c r="O37" s="1">
        <v>3.875</v>
      </c>
      <c r="P37" s="9"/>
    </row>
    <row r="38" spans="1:16" x14ac:dyDescent="0.25">
      <c r="A38" s="6">
        <v>4.5</v>
      </c>
      <c r="B38" s="2">
        <v>11.6</v>
      </c>
      <c r="C38" s="2" t="s">
        <v>113</v>
      </c>
      <c r="D38" s="2">
        <v>7580</v>
      </c>
      <c r="E38" s="2">
        <v>10690</v>
      </c>
      <c r="F38" s="2"/>
      <c r="G38" s="2"/>
      <c r="H38" s="2"/>
      <c r="I38" s="2" t="s">
        <v>10</v>
      </c>
      <c r="J38" s="2">
        <v>279</v>
      </c>
      <c r="K38" s="2"/>
      <c r="L38" s="2">
        <v>367</v>
      </c>
      <c r="M38" s="2">
        <v>0.25</v>
      </c>
      <c r="N38" s="2">
        <v>4</v>
      </c>
      <c r="O38" s="2">
        <v>3.875</v>
      </c>
      <c r="P38" s="7"/>
    </row>
    <row r="39" spans="1:16" x14ac:dyDescent="0.25">
      <c r="A39" s="6">
        <v>4.5</v>
      </c>
      <c r="B39" s="2">
        <v>11.6</v>
      </c>
      <c r="C39" s="2" t="s">
        <v>113</v>
      </c>
      <c r="D39" s="2">
        <v>7580</v>
      </c>
      <c r="E39" s="2">
        <v>10690</v>
      </c>
      <c r="F39" s="2"/>
      <c r="G39" s="2"/>
      <c r="H39" s="2"/>
      <c r="I39" s="2" t="s">
        <v>13</v>
      </c>
      <c r="J39" s="2">
        <v>385</v>
      </c>
      <c r="K39" s="2"/>
      <c r="L39" s="2">
        <v>367</v>
      </c>
      <c r="M39" s="2">
        <v>0.25</v>
      </c>
      <c r="N39" s="2">
        <v>4</v>
      </c>
      <c r="O39" s="2">
        <v>3.875</v>
      </c>
      <c r="P39" s="7"/>
    </row>
    <row r="40" spans="1:16" x14ac:dyDescent="0.25">
      <c r="A40" s="8">
        <v>4.5</v>
      </c>
      <c r="B40" s="1">
        <v>13.5</v>
      </c>
      <c r="C40" s="1" t="s">
        <v>111</v>
      </c>
      <c r="D40" s="1">
        <v>8540</v>
      </c>
      <c r="E40" s="1">
        <v>9020</v>
      </c>
      <c r="F40" s="1"/>
      <c r="G40" s="1"/>
      <c r="H40" s="1"/>
      <c r="I40" s="1" t="s">
        <v>10</v>
      </c>
      <c r="J40" s="1">
        <v>257</v>
      </c>
      <c r="K40" s="1"/>
      <c r="L40" s="1">
        <v>307</v>
      </c>
      <c r="M40" s="1">
        <v>0.28999999999999998</v>
      </c>
      <c r="N40" s="1">
        <v>3.92</v>
      </c>
      <c r="O40" s="1">
        <v>3.7949999999999999</v>
      </c>
      <c r="P40" s="9"/>
    </row>
    <row r="41" spans="1:16" x14ac:dyDescent="0.25">
      <c r="A41" s="8">
        <v>4.5</v>
      </c>
      <c r="B41" s="1">
        <v>13.5</v>
      </c>
      <c r="C41" s="1" t="s">
        <v>111</v>
      </c>
      <c r="D41" s="1">
        <v>8540</v>
      </c>
      <c r="E41" s="1">
        <v>9020</v>
      </c>
      <c r="F41" s="1"/>
      <c r="G41" s="1"/>
      <c r="H41" s="1"/>
      <c r="I41" s="1" t="s">
        <v>13</v>
      </c>
      <c r="J41" s="1">
        <v>334</v>
      </c>
      <c r="K41" s="1"/>
      <c r="L41" s="1">
        <v>307</v>
      </c>
      <c r="M41" s="1">
        <v>0.28999999999999998</v>
      </c>
      <c r="N41" s="1">
        <v>3.92</v>
      </c>
      <c r="O41" s="1">
        <v>3.7949999999999999</v>
      </c>
      <c r="P41" s="9"/>
    </row>
    <row r="42" spans="1:16" x14ac:dyDescent="0.25">
      <c r="A42" s="6">
        <v>4.5</v>
      </c>
      <c r="B42" s="2">
        <v>13.5</v>
      </c>
      <c r="C42" s="2" t="s">
        <v>88</v>
      </c>
      <c r="D42" s="2">
        <v>10380</v>
      </c>
      <c r="E42" s="2">
        <v>9020</v>
      </c>
      <c r="F42" s="2"/>
      <c r="G42" s="2"/>
      <c r="H42" s="2"/>
      <c r="I42" s="2" t="s">
        <v>10</v>
      </c>
      <c r="J42" s="2">
        <v>270</v>
      </c>
      <c r="K42" s="2"/>
      <c r="L42" s="2">
        <v>307</v>
      </c>
      <c r="M42" s="2">
        <v>0.28999999999999998</v>
      </c>
      <c r="N42" s="2">
        <v>3.92</v>
      </c>
      <c r="O42" s="2">
        <v>3.7949999999999999</v>
      </c>
      <c r="P42" s="7"/>
    </row>
    <row r="43" spans="1:16" x14ac:dyDescent="0.25">
      <c r="A43" s="6">
        <v>4.5</v>
      </c>
      <c r="B43" s="2">
        <v>13.5</v>
      </c>
      <c r="C43" s="2" t="s">
        <v>88</v>
      </c>
      <c r="D43" s="2">
        <v>10380</v>
      </c>
      <c r="E43" s="2">
        <v>9020</v>
      </c>
      <c r="F43" s="2"/>
      <c r="G43" s="2"/>
      <c r="H43" s="2"/>
      <c r="I43" s="2" t="s">
        <v>13</v>
      </c>
      <c r="J43" s="2">
        <v>359</v>
      </c>
      <c r="K43" s="2"/>
      <c r="L43" s="2">
        <v>307</v>
      </c>
      <c r="M43" s="2">
        <v>0.28999999999999998</v>
      </c>
      <c r="N43" s="2">
        <v>3.92</v>
      </c>
      <c r="O43" s="2">
        <v>3.7949999999999999</v>
      </c>
      <c r="P43" s="7"/>
    </row>
    <row r="44" spans="1:16" x14ac:dyDescent="0.25">
      <c r="A44" s="8">
        <v>4.5</v>
      </c>
      <c r="B44" s="1">
        <v>13.5</v>
      </c>
      <c r="C44" s="1" t="s">
        <v>112</v>
      </c>
      <c r="D44" s="1">
        <v>8540</v>
      </c>
      <c r="E44" s="1">
        <v>9020</v>
      </c>
      <c r="F44" s="1"/>
      <c r="G44" s="1"/>
      <c r="H44" s="1"/>
      <c r="I44" s="1" t="s">
        <v>10</v>
      </c>
      <c r="J44" s="1">
        <v>270</v>
      </c>
      <c r="K44" s="1"/>
      <c r="L44" s="1">
        <v>307</v>
      </c>
      <c r="M44" s="1">
        <v>0.28999999999999998</v>
      </c>
      <c r="N44" s="1">
        <v>3.92</v>
      </c>
      <c r="O44" s="1">
        <v>3.7949999999999999</v>
      </c>
      <c r="P44" s="9"/>
    </row>
    <row r="45" spans="1:16" x14ac:dyDescent="0.25">
      <c r="A45" s="8">
        <v>4.5</v>
      </c>
      <c r="B45" s="1">
        <v>13.5</v>
      </c>
      <c r="C45" s="1" t="s">
        <v>112</v>
      </c>
      <c r="D45" s="1">
        <v>8540</v>
      </c>
      <c r="E45" s="1">
        <v>9020</v>
      </c>
      <c r="F45" s="1"/>
      <c r="G45" s="1"/>
      <c r="H45" s="1"/>
      <c r="I45" s="1" t="s">
        <v>13</v>
      </c>
      <c r="J45" s="1">
        <v>349</v>
      </c>
      <c r="K45" s="1"/>
      <c r="L45" s="1">
        <v>307</v>
      </c>
      <c r="M45" s="1">
        <v>0.28999999999999998</v>
      </c>
      <c r="N45" s="1">
        <v>3.92</v>
      </c>
      <c r="O45" s="1">
        <v>3.7949999999999999</v>
      </c>
      <c r="P45" s="9"/>
    </row>
    <row r="46" spans="1:16" x14ac:dyDescent="0.25">
      <c r="A46" s="6">
        <v>4.5</v>
      </c>
      <c r="B46" s="2">
        <v>13.5</v>
      </c>
      <c r="C46" s="2" t="s">
        <v>93</v>
      </c>
      <c r="D46" s="2">
        <v>10380</v>
      </c>
      <c r="E46" s="2">
        <v>9020</v>
      </c>
      <c r="F46" s="2"/>
      <c r="G46" s="2"/>
      <c r="H46" s="2"/>
      <c r="I46" s="2" t="s">
        <v>10</v>
      </c>
      <c r="J46" s="2">
        <v>270</v>
      </c>
      <c r="K46" s="2"/>
      <c r="L46" s="2">
        <v>307</v>
      </c>
      <c r="M46" s="2">
        <v>0.28999999999999998</v>
      </c>
      <c r="N46" s="2">
        <v>3.92</v>
      </c>
      <c r="O46" s="2">
        <v>3.7949999999999999</v>
      </c>
      <c r="P46" s="7"/>
    </row>
    <row r="47" spans="1:16" x14ac:dyDescent="0.25">
      <c r="A47" s="6">
        <v>4.5</v>
      </c>
      <c r="B47" s="2">
        <v>13.5</v>
      </c>
      <c r="C47" s="2" t="s">
        <v>93</v>
      </c>
      <c r="D47" s="2">
        <v>10380</v>
      </c>
      <c r="E47" s="2">
        <v>9020</v>
      </c>
      <c r="F47" s="2"/>
      <c r="G47" s="2"/>
      <c r="H47" s="2"/>
      <c r="I47" s="2" t="s">
        <v>13</v>
      </c>
      <c r="J47" s="2">
        <v>359</v>
      </c>
      <c r="K47" s="2"/>
      <c r="L47" s="2">
        <v>307</v>
      </c>
      <c r="M47" s="2">
        <v>0.28999999999999998</v>
      </c>
      <c r="N47" s="2">
        <v>3.92</v>
      </c>
      <c r="O47" s="2">
        <v>3.7949999999999999</v>
      </c>
      <c r="P47" s="7"/>
    </row>
    <row r="48" spans="1:16" x14ac:dyDescent="0.25">
      <c r="A48" s="8">
        <v>4.5</v>
      </c>
      <c r="B48" s="1">
        <v>13.5</v>
      </c>
      <c r="C48" s="1" t="s">
        <v>68</v>
      </c>
      <c r="D48" s="1">
        <v>9300</v>
      </c>
      <c r="E48" s="1">
        <v>10150</v>
      </c>
      <c r="F48" s="1"/>
      <c r="G48" s="1"/>
      <c r="H48" s="1"/>
      <c r="I48" s="1" t="s">
        <v>10</v>
      </c>
      <c r="J48" s="1">
        <v>270</v>
      </c>
      <c r="K48" s="1"/>
      <c r="L48" s="1">
        <v>345</v>
      </c>
      <c r="M48" s="1">
        <v>0.28999999999999998</v>
      </c>
      <c r="N48" s="1">
        <v>3.92</v>
      </c>
      <c r="O48" s="1">
        <v>3.7949999999999999</v>
      </c>
      <c r="P48" s="9"/>
    </row>
    <row r="49" spans="1:16" x14ac:dyDescent="0.25">
      <c r="A49" s="8">
        <v>4.5</v>
      </c>
      <c r="B49" s="1">
        <v>13.5</v>
      </c>
      <c r="C49" s="1" t="s">
        <v>68</v>
      </c>
      <c r="D49" s="1">
        <v>9300</v>
      </c>
      <c r="E49" s="1">
        <v>10150</v>
      </c>
      <c r="F49" s="1"/>
      <c r="G49" s="1"/>
      <c r="H49" s="1"/>
      <c r="I49" s="1" t="s">
        <v>13</v>
      </c>
      <c r="J49" s="1">
        <v>355</v>
      </c>
      <c r="K49" s="1"/>
      <c r="L49" s="1">
        <v>345</v>
      </c>
      <c r="M49" s="1">
        <v>0.28999999999999998</v>
      </c>
      <c r="N49" s="1">
        <v>3.92</v>
      </c>
      <c r="O49" s="1">
        <v>3.7949999999999999</v>
      </c>
      <c r="P49" s="9"/>
    </row>
    <row r="50" spans="1:16" x14ac:dyDescent="0.25">
      <c r="A50" s="6">
        <v>4.5</v>
      </c>
      <c r="B50" s="2">
        <v>13.5</v>
      </c>
      <c r="C50" s="2" t="s">
        <v>115</v>
      </c>
      <c r="D50" s="2">
        <v>10380</v>
      </c>
      <c r="E50" s="2">
        <v>10710</v>
      </c>
      <c r="F50" s="2"/>
      <c r="G50" s="2"/>
      <c r="H50" s="2"/>
      <c r="I50" s="2" t="s">
        <v>10</v>
      </c>
      <c r="J50" s="2">
        <v>297</v>
      </c>
      <c r="K50" s="2"/>
      <c r="L50" s="2">
        <v>364</v>
      </c>
      <c r="M50" s="2">
        <v>0.28999999999999998</v>
      </c>
      <c r="N50" s="2">
        <v>3.92</v>
      </c>
      <c r="O50" s="2">
        <v>3.7949999999999999</v>
      </c>
      <c r="P50" s="7"/>
    </row>
    <row r="51" spans="1:16" x14ac:dyDescent="0.25">
      <c r="A51" s="6">
        <v>4.5</v>
      </c>
      <c r="B51" s="2">
        <v>13.5</v>
      </c>
      <c r="C51" s="2" t="s">
        <v>115</v>
      </c>
      <c r="D51" s="2">
        <v>10380</v>
      </c>
      <c r="E51" s="2">
        <v>10710</v>
      </c>
      <c r="F51" s="2"/>
      <c r="G51" s="2"/>
      <c r="H51" s="2"/>
      <c r="I51" s="2" t="s">
        <v>13</v>
      </c>
      <c r="J51" s="2">
        <v>388</v>
      </c>
      <c r="K51" s="2"/>
      <c r="L51" s="2">
        <v>364</v>
      </c>
      <c r="M51" s="2">
        <v>0.28999999999999998</v>
      </c>
      <c r="N51" s="2">
        <v>3.92</v>
      </c>
      <c r="O51" s="2">
        <v>3.7949999999999999</v>
      </c>
      <c r="P51" s="7"/>
    </row>
    <row r="52" spans="1:16" x14ac:dyDescent="0.25">
      <c r="A52" s="8">
        <v>4.5</v>
      </c>
      <c r="B52" s="1">
        <v>13.5</v>
      </c>
      <c r="C52" s="1" t="s">
        <v>116</v>
      </c>
      <c r="D52" s="1">
        <v>9660</v>
      </c>
      <c r="E52" s="1">
        <v>10710</v>
      </c>
      <c r="F52" s="1"/>
      <c r="G52" s="1"/>
      <c r="H52" s="1"/>
      <c r="I52" s="1" t="s">
        <v>10</v>
      </c>
      <c r="J52" s="1">
        <v>284</v>
      </c>
      <c r="K52" s="1"/>
      <c r="L52" s="1">
        <v>364</v>
      </c>
      <c r="M52" s="1">
        <v>0.28999999999999998</v>
      </c>
      <c r="N52" s="1">
        <v>3.92</v>
      </c>
      <c r="O52" s="1">
        <v>3.7949999999999999</v>
      </c>
      <c r="P52" s="9"/>
    </row>
    <row r="53" spans="1:16" x14ac:dyDescent="0.25">
      <c r="A53" s="8">
        <v>4.5</v>
      </c>
      <c r="B53" s="1">
        <v>13.5</v>
      </c>
      <c r="C53" s="1" t="s">
        <v>116</v>
      </c>
      <c r="D53" s="1">
        <v>9660</v>
      </c>
      <c r="E53" s="1">
        <v>10710</v>
      </c>
      <c r="F53" s="1"/>
      <c r="G53" s="1"/>
      <c r="H53" s="1"/>
      <c r="I53" s="1" t="s">
        <v>13</v>
      </c>
      <c r="J53" s="1">
        <v>374</v>
      </c>
      <c r="K53" s="1"/>
      <c r="L53" s="1">
        <v>364</v>
      </c>
      <c r="M53" s="1">
        <v>0.28999999999999998</v>
      </c>
      <c r="N53" s="1">
        <v>3.92</v>
      </c>
      <c r="O53" s="1">
        <v>3.7949999999999999</v>
      </c>
      <c r="P53" s="9"/>
    </row>
    <row r="54" spans="1:16" x14ac:dyDescent="0.25">
      <c r="A54" s="6">
        <v>4.5</v>
      </c>
      <c r="B54" s="2">
        <v>13.5</v>
      </c>
      <c r="C54" s="2" t="s">
        <v>74</v>
      </c>
      <c r="D54" s="2">
        <v>9660</v>
      </c>
      <c r="E54" s="2">
        <v>10710</v>
      </c>
      <c r="F54" s="2"/>
      <c r="G54" s="2"/>
      <c r="H54" s="2"/>
      <c r="I54" s="2" t="s">
        <v>10</v>
      </c>
      <c r="J54" s="2">
        <v>284</v>
      </c>
      <c r="K54" s="2"/>
      <c r="L54" s="2">
        <v>364</v>
      </c>
      <c r="M54" s="2">
        <v>0.28999999999999998</v>
      </c>
      <c r="N54" s="2">
        <v>3.92</v>
      </c>
      <c r="O54" s="2">
        <v>3.7949999999999999</v>
      </c>
      <c r="P54" s="7"/>
    </row>
    <row r="55" spans="1:16" x14ac:dyDescent="0.25">
      <c r="A55" s="6">
        <v>4.5</v>
      </c>
      <c r="B55" s="2">
        <v>13.5</v>
      </c>
      <c r="C55" s="2" t="s">
        <v>74</v>
      </c>
      <c r="D55" s="2">
        <v>9660</v>
      </c>
      <c r="E55" s="2">
        <v>10710</v>
      </c>
      <c r="F55" s="2"/>
      <c r="G55" s="2"/>
      <c r="H55" s="2"/>
      <c r="I55" s="2" t="s">
        <v>13</v>
      </c>
      <c r="J55" s="2">
        <v>374</v>
      </c>
      <c r="K55" s="2"/>
      <c r="L55" s="2">
        <v>364</v>
      </c>
      <c r="M55" s="2">
        <v>0.28999999999999998</v>
      </c>
      <c r="N55" s="2">
        <v>3.92</v>
      </c>
      <c r="O55" s="2">
        <v>3.7949999999999999</v>
      </c>
      <c r="P55" s="7"/>
    </row>
    <row r="56" spans="1:16" x14ac:dyDescent="0.25">
      <c r="A56" s="8">
        <v>4.5</v>
      </c>
      <c r="B56" s="1">
        <v>13.5</v>
      </c>
      <c r="C56" s="1" t="s">
        <v>113</v>
      </c>
      <c r="D56" s="1">
        <v>10680</v>
      </c>
      <c r="E56" s="1">
        <v>12410</v>
      </c>
      <c r="F56" s="1"/>
      <c r="G56" s="1"/>
      <c r="H56" s="1"/>
      <c r="I56" s="1" t="s">
        <v>10</v>
      </c>
      <c r="J56" s="1">
        <v>338</v>
      </c>
      <c r="K56" s="1"/>
      <c r="L56" s="1">
        <v>422</v>
      </c>
      <c r="M56" s="1">
        <v>0.28999999999999998</v>
      </c>
      <c r="N56" s="1">
        <v>3.92</v>
      </c>
      <c r="O56" s="1">
        <v>3.7949999999999999</v>
      </c>
      <c r="P56" s="9"/>
    </row>
    <row r="57" spans="1:16" x14ac:dyDescent="0.25">
      <c r="A57" s="8">
        <v>4.5</v>
      </c>
      <c r="B57" s="1">
        <v>13.5</v>
      </c>
      <c r="C57" s="1" t="s">
        <v>113</v>
      </c>
      <c r="D57" s="1">
        <v>10680</v>
      </c>
      <c r="E57" s="1">
        <v>12410</v>
      </c>
      <c r="F57" s="1"/>
      <c r="G57" s="1"/>
      <c r="H57" s="1"/>
      <c r="I57" s="1" t="s">
        <v>13</v>
      </c>
      <c r="J57" s="1">
        <v>443</v>
      </c>
      <c r="K57" s="1"/>
      <c r="L57" s="1">
        <v>422</v>
      </c>
      <c r="M57" s="1">
        <v>0.28999999999999998</v>
      </c>
      <c r="N57" s="1">
        <v>3.92</v>
      </c>
      <c r="O57" s="1">
        <v>3.7949999999999999</v>
      </c>
      <c r="P57" s="9"/>
    </row>
    <row r="58" spans="1:16" x14ac:dyDescent="0.25">
      <c r="A58" s="6">
        <v>4.5</v>
      </c>
      <c r="B58" s="2">
        <v>15.1</v>
      </c>
      <c r="C58" s="2" t="s">
        <v>111</v>
      </c>
      <c r="D58" s="2">
        <v>11090</v>
      </c>
      <c r="E58" s="2">
        <v>10480</v>
      </c>
      <c r="F58" s="2"/>
      <c r="G58" s="2"/>
      <c r="H58" s="2"/>
      <c r="I58" s="2" t="s">
        <v>10</v>
      </c>
      <c r="J58" s="2">
        <v>308</v>
      </c>
      <c r="K58" s="2"/>
      <c r="L58" s="2">
        <v>353</v>
      </c>
      <c r="M58" s="2">
        <v>0.33700000000000002</v>
      </c>
      <c r="N58" s="2">
        <v>3.8260000000000001</v>
      </c>
      <c r="O58" s="2">
        <v>3.7010000000000001</v>
      </c>
      <c r="P58" s="7"/>
    </row>
    <row r="59" spans="1:16" x14ac:dyDescent="0.25">
      <c r="A59" s="6">
        <v>4.5</v>
      </c>
      <c r="B59" s="2">
        <v>15.1</v>
      </c>
      <c r="C59" s="2" t="s">
        <v>111</v>
      </c>
      <c r="D59" s="2">
        <v>11090</v>
      </c>
      <c r="E59" s="2">
        <v>10480</v>
      </c>
      <c r="F59" s="2"/>
      <c r="G59" s="2"/>
      <c r="H59" s="2"/>
      <c r="I59" s="2" t="s">
        <v>13</v>
      </c>
      <c r="J59" s="2">
        <v>384</v>
      </c>
      <c r="K59" s="2"/>
      <c r="L59" s="2">
        <v>353</v>
      </c>
      <c r="M59" s="2">
        <v>0.33700000000000002</v>
      </c>
      <c r="N59" s="2">
        <v>3.8260000000000001</v>
      </c>
      <c r="O59" s="2">
        <v>3.7010000000000001</v>
      </c>
      <c r="P59" s="7"/>
    </row>
    <row r="60" spans="1:16" x14ac:dyDescent="0.25">
      <c r="A60" s="8">
        <v>4.5</v>
      </c>
      <c r="B60" s="1">
        <v>15.1</v>
      </c>
      <c r="C60" s="1" t="s">
        <v>88</v>
      </c>
      <c r="D60" s="1">
        <v>12330</v>
      </c>
      <c r="E60" s="1">
        <v>10480</v>
      </c>
      <c r="F60" s="1"/>
      <c r="G60" s="1"/>
      <c r="H60" s="1"/>
      <c r="I60" s="1" t="s">
        <v>10</v>
      </c>
      <c r="J60" s="1">
        <v>325</v>
      </c>
      <c r="K60" s="1"/>
      <c r="L60" s="1">
        <v>353</v>
      </c>
      <c r="M60" s="1">
        <v>0.33700000000000002</v>
      </c>
      <c r="N60" s="1">
        <v>3.8260000000000001</v>
      </c>
      <c r="O60" s="1">
        <v>3.7010000000000001</v>
      </c>
      <c r="P60" s="9"/>
    </row>
    <row r="61" spans="1:16" x14ac:dyDescent="0.25">
      <c r="A61" s="8">
        <v>4.5</v>
      </c>
      <c r="B61" s="1">
        <v>15.1</v>
      </c>
      <c r="C61" s="1" t="s">
        <v>88</v>
      </c>
      <c r="D61" s="1">
        <v>12330</v>
      </c>
      <c r="E61" s="1">
        <v>9790</v>
      </c>
      <c r="F61" s="1"/>
      <c r="G61" s="1"/>
      <c r="H61" s="1"/>
      <c r="I61" s="1" t="s">
        <v>13</v>
      </c>
      <c r="J61" s="1">
        <v>408</v>
      </c>
      <c r="K61" s="1"/>
      <c r="L61" s="1">
        <v>353</v>
      </c>
      <c r="M61" s="1">
        <v>0.33700000000000002</v>
      </c>
      <c r="N61" s="1">
        <v>3.8260000000000001</v>
      </c>
      <c r="O61" s="1">
        <v>3.7010000000000001</v>
      </c>
      <c r="P61" s="9"/>
    </row>
    <row r="62" spans="1:16" x14ac:dyDescent="0.25">
      <c r="A62" s="6">
        <v>4.5</v>
      </c>
      <c r="B62" s="2">
        <v>15.1</v>
      </c>
      <c r="C62" s="2" t="s">
        <v>115</v>
      </c>
      <c r="D62" s="2">
        <v>12330</v>
      </c>
      <c r="E62" s="2">
        <v>12450</v>
      </c>
      <c r="F62" s="2"/>
      <c r="G62" s="2"/>
      <c r="H62" s="2"/>
      <c r="I62" s="2" t="s">
        <v>10</v>
      </c>
      <c r="J62" s="2">
        <v>357</v>
      </c>
      <c r="K62" s="2"/>
      <c r="L62" s="2">
        <v>419</v>
      </c>
      <c r="M62" s="2">
        <v>0.33700000000000002</v>
      </c>
      <c r="N62" s="2">
        <v>3.8260000000000001</v>
      </c>
      <c r="O62" s="2">
        <v>3.7010000000000001</v>
      </c>
      <c r="P62" s="7"/>
    </row>
    <row r="63" spans="1:16" x14ac:dyDescent="0.25">
      <c r="A63" s="6">
        <v>4.5</v>
      </c>
      <c r="B63" s="2">
        <v>15.1</v>
      </c>
      <c r="C63" s="2" t="s">
        <v>115</v>
      </c>
      <c r="D63" s="2">
        <v>12330</v>
      </c>
      <c r="E63" s="2">
        <v>11630</v>
      </c>
      <c r="F63" s="2"/>
      <c r="G63" s="2"/>
      <c r="H63" s="2"/>
      <c r="I63" s="2" t="s">
        <v>13</v>
      </c>
      <c r="J63" s="2">
        <v>446</v>
      </c>
      <c r="K63" s="2"/>
      <c r="L63" s="2">
        <v>419</v>
      </c>
      <c r="M63" s="2">
        <v>0.33700000000000002</v>
      </c>
      <c r="N63" s="2">
        <v>3.8260000000000001</v>
      </c>
      <c r="O63" s="2">
        <v>3.7010000000000001</v>
      </c>
      <c r="P63" s="7"/>
    </row>
    <row r="64" spans="1:16" x14ac:dyDescent="0.25">
      <c r="A64" s="8">
        <v>4.5</v>
      </c>
      <c r="B64" s="1">
        <v>15.1</v>
      </c>
      <c r="C64" s="1" t="s">
        <v>113</v>
      </c>
      <c r="D64" s="1">
        <v>14350</v>
      </c>
      <c r="E64" s="1">
        <v>14420</v>
      </c>
      <c r="F64" s="1"/>
      <c r="G64" s="1"/>
      <c r="H64" s="1"/>
      <c r="I64" s="1" t="s">
        <v>10</v>
      </c>
      <c r="J64" s="1">
        <v>406</v>
      </c>
      <c r="K64" s="1"/>
      <c r="L64" s="1">
        <v>485</v>
      </c>
      <c r="M64" s="1">
        <v>0.33700000000000002</v>
      </c>
      <c r="N64" s="1">
        <v>3.8260000000000001</v>
      </c>
      <c r="O64" s="1">
        <v>3.7010000000000001</v>
      </c>
      <c r="P64" s="9"/>
    </row>
    <row r="65" spans="1:16" x14ac:dyDescent="0.25">
      <c r="A65" s="8">
        <v>4.5</v>
      </c>
      <c r="B65" s="1">
        <v>15.1</v>
      </c>
      <c r="C65" s="1" t="s">
        <v>113</v>
      </c>
      <c r="D65" s="1">
        <v>14350</v>
      </c>
      <c r="E65" s="1">
        <v>13460</v>
      </c>
      <c r="F65" s="1"/>
      <c r="G65" s="1"/>
      <c r="H65" s="1"/>
      <c r="I65" s="1" t="s">
        <v>13</v>
      </c>
      <c r="J65" s="1">
        <v>509</v>
      </c>
      <c r="K65" s="1"/>
      <c r="L65" s="1">
        <v>485</v>
      </c>
      <c r="M65" s="1">
        <v>0.33700000000000002</v>
      </c>
      <c r="N65" s="1">
        <v>3.8260000000000001</v>
      </c>
      <c r="O65" s="1">
        <v>3.7010000000000001</v>
      </c>
      <c r="P65" s="9"/>
    </row>
    <row r="66" spans="1:16" x14ac:dyDescent="0.25">
      <c r="A66" s="6">
        <v>4.5</v>
      </c>
      <c r="B66" s="2">
        <v>15.1</v>
      </c>
      <c r="C66" s="2" t="s">
        <v>114</v>
      </c>
      <c r="D66" s="2">
        <v>15840</v>
      </c>
      <c r="E66" s="2">
        <v>16380</v>
      </c>
      <c r="F66" s="2"/>
      <c r="G66" s="2"/>
      <c r="H66" s="2"/>
      <c r="I66" s="2" t="s">
        <v>10</v>
      </c>
      <c r="J66" s="2">
        <v>438</v>
      </c>
      <c r="K66" s="2"/>
      <c r="L66" s="2">
        <v>551</v>
      </c>
      <c r="M66" s="2">
        <v>0.33700000000000002</v>
      </c>
      <c r="N66" s="2">
        <v>3.8260000000000001</v>
      </c>
      <c r="O66" s="2">
        <v>3.7010000000000001</v>
      </c>
      <c r="P66" s="7"/>
    </row>
    <row r="67" spans="1:16" x14ac:dyDescent="0.25">
      <c r="A67" s="6">
        <v>4.5</v>
      </c>
      <c r="B67" s="2">
        <v>15.1</v>
      </c>
      <c r="C67" s="2" t="s">
        <v>114</v>
      </c>
      <c r="D67" s="2">
        <v>15840</v>
      </c>
      <c r="E67" s="2">
        <v>15300</v>
      </c>
      <c r="F67" s="2"/>
      <c r="G67" s="2"/>
      <c r="H67" s="2"/>
      <c r="I67" s="2" t="s">
        <v>13</v>
      </c>
      <c r="J67" s="2">
        <v>554</v>
      </c>
      <c r="K67" s="2"/>
      <c r="L67" s="2">
        <v>551</v>
      </c>
      <c r="M67" s="2">
        <v>0.33700000000000002</v>
      </c>
      <c r="N67" s="2">
        <v>3.8260000000000001</v>
      </c>
      <c r="O67" s="2">
        <v>3.7010000000000001</v>
      </c>
      <c r="P67" s="7"/>
    </row>
    <row r="68" spans="1:16" ht="15.75" customHeight="1" thickBot="1" x14ac:dyDescent="0.3">
      <c r="A68" s="10">
        <v>4.5</v>
      </c>
      <c r="B68" s="11">
        <v>15.1</v>
      </c>
      <c r="C68" s="11" t="s">
        <v>117</v>
      </c>
      <c r="D68" s="11">
        <v>18110</v>
      </c>
      <c r="E68" s="11">
        <v>19660</v>
      </c>
      <c r="F68" s="11"/>
      <c r="G68" s="11"/>
      <c r="H68" s="11"/>
      <c r="I68" s="11" t="s">
        <v>10</v>
      </c>
      <c r="J68" s="11">
        <v>519</v>
      </c>
      <c r="K68" s="11"/>
      <c r="L68" s="11">
        <v>661</v>
      </c>
      <c r="M68" s="11">
        <v>0.33700000000000002</v>
      </c>
      <c r="N68" s="11">
        <v>3.8260000000000001</v>
      </c>
      <c r="O68" s="11">
        <v>3.7010000000000001</v>
      </c>
      <c r="P68" s="12"/>
    </row>
    <row r="69" spans="1:16" ht="15.75" customHeight="1" thickBot="1" x14ac:dyDescent="0.3">
      <c r="A69" s="10">
        <v>4.5</v>
      </c>
      <c r="B69" s="11">
        <v>15.1</v>
      </c>
      <c r="C69" s="11" t="s">
        <v>117</v>
      </c>
      <c r="D69" s="11">
        <v>18110</v>
      </c>
      <c r="E69" s="11">
        <v>18360</v>
      </c>
      <c r="F69" s="11"/>
      <c r="G69" s="11"/>
      <c r="H69" s="11"/>
      <c r="I69" s="11" t="s">
        <v>13</v>
      </c>
      <c r="J69" s="11">
        <v>658</v>
      </c>
      <c r="K69" s="11"/>
      <c r="L69" s="11">
        <v>661</v>
      </c>
      <c r="M69" s="11">
        <v>0.33700000000000002</v>
      </c>
      <c r="N69" s="11">
        <v>3.8260000000000001</v>
      </c>
      <c r="O69" s="11">
        <v>3.7010000000000001</v>
      </c>
      <c r="P69" s="12"/>
    </row>
    <row r="70" spans="1:16" x14ac:dyDescent="0.25">
      <c r="A70" s="3">
        <v>5</v>
      </c>
      <c r="B70" s="4">
        <v>11.5</v>
      </c>
      <c r="C70" s="4" t="s">
        <v>66</v>
      </c>
      <c r="D70" s="4">
        <v>3060</v>
      </c>
      <c r="E70" s="4">
        <v>4240</v>
      </c>
      <c r="F70" s="4"/>
      <c r="G70" s="4"/>
      <c r="H70" s="4"/>
      <c r="I70" s="4" t="s">
        <v>8</v>
      </c>
      <c r="J70" s="4">
        <v>133</v>
      </c>
      <c r="K70" s="4"/>
      <c r="L70" s="4">
        <v>182</v>
      </c>
      <c r="M70" s="4">
        <v>0.22</v>
      </c>
      <c r="N70" s="4">
        <v>4.5599999999999996</v>
      </c>
      <c r="O70" s="4">
        <v>4.4349999999999996</v>
      </c>
      <c r="P70" s="5"/>
    </row>
    <row r="71" spans="1:16" x14ac:dyDescent="0.25">
      <c r="A71" s="6">
        <v>5</v>
      </c>
      <c r="B71" s="2">
        <v>11.5</v>
      </c>
      <c r="C71" s="2" t="s">
        <v>110</v>
      </c>
      <c r="D71" s="2">
        <v>3060</v>
      </c>
      <c r="E71" s="2">
        <v>4240</v>
      </c>
      <c r="F71" s="2"/>
      <c r="G71" s="2"/>
      <c r="H71" s="2"/>
      <c r="I71" s="2" t="s">
        <v>8</v>
      </c>
      <c r="J71" s="2">
        <v>147</v>
      </c>
      <c r="K71" s="2"/>
      <c r="L71" s="2">
        <v>182</v>
      </c>
      <c r="M71" s="2">
        <v>0.22</v>
      </c>
      <c r="N71" s="2">
        <v>4.5599999999999996</v>
      </c>
      <c r="O71" s="2">
        <v>4.4349999999999996</v>
      </c>
      <c r="P71" s="7"/>
    </row>
    <row r="72" spans="1:16" x14ac:dyDescent="0.25">
      <c r="A72" s="8">
        <v>5</v>
      </c>
      <c r="B72" s="1">
        <v>14</v>
      </c>
      <c r="C72" s="1" t="s">
        <v>66</v>
      </c>
      <c r="D72" s="1">
        <v>3120</v>
      </c>
      <c r="E72" s="1">
        <v>4270</v>
      </c>
      <c r="F72" s="1"/>
      <c r="G72" s="1"/>
      <c r="H72" s="1"/>
      <c r="I72" s="1" t="s">
        <v>8</v>
      </c>
      <c r="J72" s="1">
        <v>172</v>
      </c>
      <c r="K72" s="1"/>
      <c r="L72" s="1">
        <v>222</v>
      </c>
      <c r="M72" s="1">
        <v>0.24399999999999999</v>
      </c>
      <c r="N72" s="1">
        <v>5.0119999999999996</v>
      </c>
      <c r="O72" s="1">
        <v>4.8869999999999996</v>
      </c>
      <c r="P72" s="9"/>
    </row>
    <row r="73" spans="1:16" x14ac:dyDescent="0.25">
      <c r="A73" s="6">
        <v>5</v>
      </c>
      <c r="B73" s="2">
        <v>14</v>
      </c>
      <c r="C73" s="2" t="s">
        <v>110</v>
      </c>
      <c r="D73" s="2">
        <v>3120</v>
      </c>
      <c r="E73" s="2">
        <v>4270</v>
      </c>
      <c r="F73" s="2"/>
      <c r="G73" s="2"/>
      <c r="H73" s="2"/>
      <c r="I73" s="2" t="s">
        <v>8</v>
      </c>
      <c r="J73" s="2">
        <v>189</v>
      </c>
      <c r="K73" s="2"/>
      <c r="L73" s="2">
        <v>222</v>
      </c>
      <c r="M73" s="2">
        <v>0.24399999999999999</v>
      </c>
      <c r="N73" s="2">
        <v>5.0119999999999996</v>
      </c>
      <c r="O73" s="2">
        <v>4.8869999999999996</v>
      </c>
      <c r="P73" s="7"/>
    </row>
    <row r="74" spans="1:16" x14ac:dyDescent="0.25">
      <c r="A74" s="8">
        <v>5</v>
      </c>
      <c r="B74" s="1">
        <v>13</v>
      </c>
      <c r="C74" s="1" t="s">
        <v>66</v>
      </c>
      <c r="D74" s="1">
        <v>4140</v>
      </c>
      <c r="E74" s="1">
        <v>4870</v>
      </c>
      <c r="F74" s="1"/>
      <c r="G74" s="1"/>
      <c r="H74" s="1"/>
      <c r="I74" s="1" t="s">
        <v>8</v>
      </c>
      <c r="J74" s="1">
        <v>169</v>
      </c>
      <c r="K74" s="1"/>
      <c r="L74" s="1">
        <v>208</v>
      </c>
      <c r="M74" s="1">
        <v>0.253</v>
      </c>
      <c r="N74" s="1">
        <v>4.4939999999999998</v>
      </c>
      <c r="O74" s="1">
        <v>4.3689999999999998</v>
      </c>
      <c r="P74" s="9"/>
    </row>
    <row r="75" spans="1:16" x14ac:dyDescent="0.25">
      <c r="A75" s="8">
        <v>5</v>
      </c>
      <c r="B75" s="1">
        <v>13</v>
      </c>
      <c r="C75" s="1" t="s">
        <v>66</v>
      </c>
      <c r="D75" s="1">
        <v>4140</v>
      </c>
      <c r="E75" s="1">
        <v>4870</v>
      </c>
      <c r="F75" s="1"/>
      <c r="G75" s="1"/>
      <c r="H75" s="1"/>
      <c r="I75" s="1" t="s">
        <v>10</v>
      </c>
      <c r="J75" s="1">
        <v>182</v>
      </c>
      <c r="K75" s="1"/>
      <c r="L75" s="1">
        <v>208</v>
      </c>
      <c r="M75" s="1">
        <v>0.253</v>
      </c>
      <c r="N75" s="1">
        <v>4.4939999999999998</v>
      </c>
      <c r="O75" s="1">
        <v>4.3689999999999998</v>
      </c>
      <c r="P75" s="9"/>
    </row>
    <row r="76" spans="1:16" x14ac:dyDescent="0.25">
      <c r="A76" s="8">
        <v>5</v>
      </c>
      <c r="B76" s="1">
        <v>13</v>
      </c>
      <c r="C76" s="1" t="s">
        <v>66</v>
      </c>
      <c r="D76" s="1">
        <v>4140</v>
      </c>
      <c r="E76" s="1">
        <v>4870</v>
      </c>
      <c r="F76" s="1"/>
      <c r="G76" s="1"/>
      <c r="H76" s="1"/>
      <c r="I76" s="1" t="s">
        <v>13</v>
      </c>
      <c r="J76" s="1">
        <v>252</v>
      </c>
      <c r="K76" s="1"/>
      <c r="L76" s="1">
        <v>208</v>
      </c>
      <c r="M76" s="1">
        <v>0.253</v>
      </c>
      <c r="N76" s="1">
        <v>4.4939999999999998</v>
      </c>
      <c r="O76" s="1">
        <v>4.3689999999999998</v>
      </c>
      <c r="P76" s="9"/>
    </row>
    <row r="77" spans="1:16" x14ac:dyDescent="0.25">
      <c r="A77" s="6">
        <v>5</v>
      </c>
      <c r="B77" s="2">
        <v>13</v>
      </c>
      <c r="C77" s="2" t="s">
        <v>110</v>
      </c>
      <c r="D77" s="2">
        <v>4140</v>
      </c>
      <c r="E77" s="2">
        <v>4870</v>
      </c>
      <c r="F77" s="2"/>
      <c r="G77" s="2"/>
      <c r="H77" s="2"/>
      <c r="I77" s="2" t="s">
        <v>8</v>
      </c>
      <c r="J77" s="2">
        <v>186</v>
      </c>
      <c r="K77" s="2"/>
      <c r="L77" s="2">
        <v>208</v>
      </c>
      <c r="M77" s="2">
        <v>0.253</v>
      </c>
      <c r="N77" s="2">
        <v>4.4939999999999998</v>
      </c>
      <c r="O77" s="2">
        <v>4.3689999999999998</v>
      </c>
      <c r="P77" s="7"/>
    </row>
    <row r="78" spans="1:16" x14ac:dyDescent="0.25">
      <c r="A78" s="6">
        <v>5</v>
      </c>
      <c r="B78" s="2">
        <v>13</v>
      </c>
      <c r="C78" s="2" t="s">
        <v>110</v>
      </c>
      <c r="D78" s="2">
        <v>4140</v>
      </c>
      <c r="E78" s="2">
        <v>4870</v>
      </c>
      <c r="F78" s="2"/>
      <c r="G78" s="2"/>
      <c r="H78" s="2"/>
      <c r="I78" s="2" t="s">
        <v>10</v>
      </c>
      <c r="J78" s="2">
        <v>201</v>
      </c>
      <c r="K78" s="2"/>
      <c r="L78" s="2">
        <v>208</v>
      </c>
      <c r="M78" s="2">
        <v>0.253</v>
      </c>
      <c r="N78" s="2">
        <v>4.4939999999999998</v>
      </c>
      <c r="O78" s="2">
        <v>4.3689999999999998</v>
      </c>
      <c r="P78" s="7"/>
    </row>
    <row r="79" spans="1:16" x14ac:dyDescent="0.25">
      <c r="A79" s="6">
        <v>5</v>
      </c>
      <c r="B79" s="2">
        <v>13</v>
      </c>
      <c r="C79" s="2" t="s">
        <v>110</v>
      </c>
      <c r="D79" s="2">
        <v>4140</v>
      </c>
      <c r="E79" s="2">
        <v>4870</v>
      </c>
      <c r="F79" s="2"/>
      <c r="G79" s="2"/>
      <c r="H79" s="2"/>
      <c r="I79" s="2" t="s">
        <v>13</v>
      </c>
      <c r="J79" s="2">
        <v>309</v>
      </c>
      <c r="K79" s="2"/>
      <c r="L79" s="2">
        <v>208</v>
      </c>
      <c r="M79" s="2">
        <v>0.253</v>
      </c>
      <c r="N79" s="2">
        <v>4.4939999999999998</v>
      </c>
      <c r="O79" s="2">
        <v>4.3689999999999998</v>
      </c>
      <c r="P79" s="7"/>
    </row>
    <row r="80" spans="1:16" x14ac:dyDescent="0.25">
      <c r="A80" s="8">
        <v>5</v>
      </c>
      <c r="B80" s="1">
        <v>15</v>
      </c>
      <c r="C80" s="1" t="s">
        <v>66</v>
      </c>
      <c r="D80" s="1">
        <v>5560</v>
      </c>
      <c r="E80" s="1">
        <v>5700</v>
      </c>
      <c r="F80" s="1"/>
      <c r="G80" s="1"/>
      <c r="H80" s="1"/>
      <c r="I80" s="1" t="s">
        <v>8</v>
      </c>
      <c r="J80" s="1">
        <v>207</v>
      </c>
      <c r="K80" s="1"/>
      <c r="L80" s="1">
        <v>241</v>
      </c>
      <c r="M80" s="1">
        <v>0.29599999999999999</v>
      </c>
      <c r="N80" s="1">
        <v>4.4080000000000004</v>
      </c>
      <c r="O80" s="1">
        <v>4.2830000000000004</v>
      </c>
      <c r="P80" s="9"/>
    </row>
    <row r="81" spans="1:16" x14ac:dyDescent="0.25">
      <c r="A81" s="8">
        <v>5</v>
      </c>
      <c r="B81" s="1">
        <v>15</v>
      </c>
      <c r="C81" s="1" t="s">
        <v>66</v>
      </c>
      <c r="D81" s="1">
        <v>5560</v>
      </c>
      <c r="E81" s="1">
        <v>5700</v>
      </c>
      <c r="F81" s="1"/>
      <c r="G81" s="1"/>
      <c r="H81" s="1"/>
      <c r="I81" s="1" t="s">
        <v>10</v>
      </c>
      <c r="J81" s="1">
        <v>223</v>
      </c>
      <c r="K81" s="1"/>
      <c r="L81" s="1">
        <v>241</v>
      </c>
      <c r="M81" s="1">
        <v>0.29599999999999999</v>
      </c>
      <c r="N81" s="1">
        <v>4.4080000000000004</v>
      </c>
      <c r="O81" s="1">
        <v>4.2830000000000004</v>
      </c>
      <c r="P81" s="9"/>
    </row>
    <row r="82" spans="1:16" x14ac:dyDescent="0.25">
      <c r="A82" s="8">
        <v>5</v>
      </c>
      <c r="B82" s="1">
        <v>15</v>
      </c>
      <c r="C82" s="1" t="s">
        <v>66</v>
      </c>
      <c r="D82" s="1">
        <v>5560</v>
      </c>
      <c r="E82" s="1">
        <v>5700</v>
      </c>
      <c r="F82" s="1"/>
      <c r="G82" s="1"/>
      <c r="H82" s="1"/>
      <c r="I82" s="1" t="s">
        <v>13</v>
      </c>
      <c r="J82" s="1">
        <v>293</v>
      </c>
      <c r="K82" s="1"/>
      <c r="L82" s="1">
        <v>241</v>
      </c>
      <c r="M82" s="1">
        <v>0.29599999999999999</v>
      </c>
      <c r="N82" s="1">
        <v>4.4080000000000004</v>
      </c>
      <c r="O82" s="1">
        <v>4.2830000000000004</v>
      </c>
      <c r="P82" s="9"/>
    </row>
    <row r="83" spans="1:16" x14ac:dyDescent="0.25">
      <c r="A83" s="6">
        <v>5</v>
      </c>
      <c r="B83" s="2">
        <v>15</v>
      </c>
      <c r="C83" s="2" t="s">
        <v>110</v>
      </c>
      <c r="D83" s="2">
        <v>5560</v>
      </c>
      <c r="E83" s="2">
        <v>5700</v>
      </c>
      <c r="F83" s="2"/>
      <c r="G83" s="2"/>
      <c r="H83" s="2"/>
      <c r="I83" s="2" t="s">
        <v>8</v>
      </c>
      <c r="J83" s="2">
        <v>228</v>
      </c>
      <c r="K83" s="2"/>
      <c r="L83" s="2">
        <v>241</v>
      </c>
      <c r="M83" s="2">
        <v>0.29599999999999999</v>
      </c>
      <c r="N83" s="2">
        <v>4.4080000000000004</v>
      </c>
      <c r="O83" s="2">
        <v>4.2830000000000004</v>
      </c>
      <c r="P83" s="7"/>
    </row>
    <row r="84" spans="1:16" x14ac:dyDescent="0.25">
      <c r="A84" s="6">
        <v>5</v>
      </c>
      <c r="B84" s="2">
        <v>15</v>
      </c>
      <c r="C84" s="2" t="s">
        <v>110</v>
      </c>
      <c r="D84" s="2">
        <v>5560</v>
      </c>
      <c r="E84" s="2">
        <v>5700</v>
      </c>
      <c r="F84" s="2"/>
      <c r="G84" s="2"/>
      <c r="H84" s="2"/>
      <c r="I84" s="2" t="s">
        <v>10</v>
      </c>
      <c r="J84" s="2">
        <v>246</v>
      </c>
      <c r="K84" s="2"/>
      <c r="L84" s="2">
        <v>241</v>
      </c>
      <c r="M84" s="2">
        <v>0.29599999999999999</v>
      </c>
      <c r="N84" s="2">
        <v>4.4080000000000004</v>
      </c>
      <c r="O84" s="2">
        <v>4.2830000000000004</v>
      </c>
      <c r="P84" s="7"/>
    </row>
    <row r="85" spans="1:16" x14ac:dyDescent="0.25">
      <c r="A85" s="6">
        <v>5</v>
      </c>
      <c r="B85" s="2">
        <v>15</v>
      </c>
      <c r="C85" s="2" t="s">
        <v>110</v>
      </c>
      <c r="D85" s="2">
        <v>5560</v>
      </c>
      <c r="E85" s="2">
        <v>5700</v>
      </c>
      <c r="F85" s="2"/>
      <c r="G85" s="2"/>
      <c r="H85" s="2"/>
      <c r="I85" s="2" t="s">
        <v>13</v>
      </c>
      <c r="J85" s="2">
        <v>359</v>
      </c>
      <c r="K85" s="2"/>
      <c r="L85" s="2">
        <v>241</v>
      </c>
      <c r="M85" s="2">
        <v>0.29599999999999999</v>
      </c>
      <c r="N85" s="2">
        <v>4.4080000000000004</v>
      </c>
      <c r="O85" s="2">
        <v>4.2830000000000004</v>
      </c>
      <c r="P85" s="7"/>
    </row>
    <row r="86" spans="1:16" x14ac:dyDescent="0.25">
      <c r="A86" s="8">
        <v>5</v>
      </c>
      <c r="B86" s="1">
        <v>15</v>
      </c>
      <c r="C86" s="1" t="s">
        <v>111</v>
      </c>
      <c r="D86" s="1">
        <v>7250</v>
      </c>
      <c r="E86" s="1">
        <v>8290</v>
      </c>
      <c r="F86" s="1"/>
      <c r="G86" s="1"/>
      <c r="H86" s="1"/>
      <c r="I86" s="1" t="s">
        <v>10</v>
      </c>
      <c r="J86" s="1">
        <v>295</v>
      </c>
      <c r="K86" s="1"/>
      <c r="L86" s="1">
        <v>350</v>
      </c>
      <c r="M86" s="1">
        <v>0.29599999999999999</v>
      </c>
      <c r="N86" s="1">
        <v>4.4080000000000004</v>
      </c>
      <c r="O86" s="1">
        <v>4.2830000000000004</v>
      </c>
      <c r="P86" s="9"/>
    </row>
    <row r="87" spans="1:16" x14ac:dyDescent="0.25">
      <c r="A87" s="8">
        <v>5</v>
      </c>
      <c r="B87" s="1">
        <v>15</v>
      </c>
      <c r="C87" s="1" t="s">
        <v>111</v>
      </c>
      <c r="D87" s="1">
        <v>7250</v>
      </c>
      <c r="E87" s="1">
        <v>8290</v>
      </c>
      <c r="F87" s="1"/>
      <c r="G87" s="1"/>
      <c r="H87" s="1"/>
      <c r="I87" s="1" t="s">
        <v>13</v>
      </c>
      <c r="J87" s="1">
        <v>379</v>
      </c>
      <c r="K87" s="1"/>
      <c r="L87" s="1">
        <v>350</v>
      </c>
      <c r="M87" s="1">
        <v>0.29599999999999999</v>
      </c>
      <c r="N87" s="1">
        <v>4.4080000000000004</v>
      </c>
      <c r="O87" s="1">
        <v>4.2830000000000004</v>
      </c>
      <c r="P87" s="9"/>
    </row>
    <row r="88" spans="1:16" x14ac:dyDescent="0.25">
      <c r="A88" s="6">
        <v>5</v>
      </c>
      <c r="B88" s="2">
        <v>15</v>
      </c>
      <c r="C88" s="2" t="s">
        <v>88</v>
      </c>
      <c r="D88" s="2">
        <v>9380</v>
      </c>
      <c r="E88" s="2">
        <v>8290</v>
      </c>
      <c r="F88" s="2"/>
      <c r="G88" s="2"/>
      <c r="H88" s="2"/>
      <c r="I88" s="2" t="s">
        <v>10</v>
      </c>
      <c r="J88" s="2">
        <v>311</v>
      </c>
      <c r="K88" s="2"/>
      <c r="L88" s="2">
        <v>350</v>
      </c>
      <c r="M88" s="2">
        <v>0.29599999999999999</v>
      </c>
      <c r="N88" s="2">
        <v>4.4080000000000004</v>
      </c>
      <c r="O88" s="2">
        <v>4.2830000000000004</v>
      </c>
      <c r="P88" s="7"/>
    </row>
    <row r="89" spans="1:16" x14ac:dyDescent="0.25">
      <c r="A89" s="6">
        <v>5</v>
      </c>
      <c r="B89" s="2">
        <v>15</v>
      </c>
      <c r="C89" s="2" t="s">
        <v>88</v>
      </c>
      <c r="D89" s="2">
        <v>9380</v>
      </c>
      <c r="E89" s="2">
        <v>8290</v>
      </c>
      <c r="F89" s="2"/>
      <c r="G89" s="2"/>
      <c r="H89" s="2"/>
      <c r="I89" s="2" t="s">
        <v>13</v>
      </c>
      <c r="J89" s="2">
        <v>408</v>
      </c>
      <c r="K89" s="2"/>
      <c r="L89" s="2">
        <v>350</v>
      </c>
      <c r="M89" s="2">
        <v>0.29599999999999999</v>
      </c>
      <c r="N89" s="2">
        <v>4.4080000000000004</v>
      </c>
      <c r="O89" s="2">
        <v>4.2830000000000004</v>
      </c>
      <c r="P89" s="7"/>
    </row>
    <row r="90" spans="1:16" x14ac:dyDescent="0.25">
      <c r="A90" s="8">
        <v>5</v>
      </c>
      <c r="B90" s="1">
        <v>15</v>
      </c>
      <c r="C90" s="1" t="s">
        <v>112</v>
      </c>
      <c r="D90" s="1">
        <v>7250</v>
      </c>
      <c r="E90" s="1">
        <v>8290</v>
      </c>
      <c r="F90" s="1"/>
      <c r="G90" s="1"/>
      <c r="H90" s="1"/>
      <c r="I90" s="1" t="s">
        <v>10</v>
      </c>
      <c r="J90" s="1">
        <v>311</v>
      </c>
      <c r="K90" s="1"/>
      <c r="L90" s="1">
        <v>350</v>
      </c>
      <c r="M90" s="1">
        <v>0.29599999999999999</v>
      </c>
      <c r="N90" s="1">
        <v>4.4080000000000004</v>
      </c>
      <c r="O90" s="1">
        <v>4.2830000000000004</v>
      </c>
      <c r="P90" s="9"/>
    </row>
    <row r="91" spans="1:16" x14ac:dyDescent="0.25">
      <c r="A91" s="8">
        <v>5</v>
      </c>
      <c r="B91" s="1">
        <v>15</v>
      </c>
      <c r="C91" s="1" t="s">
        <v>112</v>
      </c>
      <c r="D91" s="1">
        <v>7250</v>
      </c>
      <c r="E91" s="1">
        <v>8290</v>
      </c>
      <c r="F91" s="1"/>
      <c r="G91" s="1"/>
      <c r="H91" s="1"/>
      <c r="I91" s="1" t="s">
        <v>13</v>
      </c>
      <c r="J91" s="1">
        <v>396</v>
      </c>
      <c r="K91" s="1"/>
      <c r="L91" s="1">
        <v>350</v>
      </c>
      <c r="M91" s="1">
        <v>0.29599999999999999</v>
      </c>
      <c r="N91" s="1">
        <v>4.4080000000000004</v>
      </c>
      <c r="O91" s="1">
        <v>4.2830000000000004</v>
      </c>
      <c r="P91" s="9"/>
    </row>
    <row r="92" spans="1:16" x14ac:dyDescent="0.25">
      <c r="A92" s="6">
        <v>5</v>
      </c>
      <c r="B92" s="2">
        <v>15</v>
      </c>
      <c r="C92" s="2" t="s">
        <v>93</v>
      </c>
      <c r="D92" s="2">
        <v>9380</v>
      </c>
      <c r="E92" s="2">
        <v>8290</v>
      </c>
      <c r="F92" s="2"/>
      <c r="G92" s="2"/>
      <c r="H92" s="2"/>
      <c r="I92" s="2" t="s">
        <v>10</v>
      </c>
      <c r="J92" s="2">
        <v>311</v>
      </c>
      <c r="K92" s="2"/>
      <c r="L92" s="2">
        <v>350</v>
      </c>
      <c r="M92" s="2">
        <v>0.29599999999999999</v>
      </c>
      <c r="N92" s="2">
        <v>4.4080000000000004</v>
      </c>
      <c r="O92" s="2">
        <v>4.2830000000000004</v>
      </c>
      <c r="P92" s="7"/>
    </row>
    <row r="93" spans="1:16" x14ac:dyDescent="0.25">
      <c r="A93" s="6">
        <v>5</v>
      </c>
      <c r="B93" s="2">
        <v>15</v>
      </c>
      <c r="C93" s="2" t="s">
        <v>93</v>
      </c>
      <c r="D93" s="2">
        <v>9380</v>
      </c>
      <c r="E93" s="2">
        <v>8290</v>
      </c>
      <c r="F93" s="2"/>
      <c r="G93" s="2"/>
      <c r="H93" s="2"/>
      <c r="I93" s="2" t="s">
        <v>13</v>
      </c>
      <c r="J93" s="2">
        <v>408</v>
      </c>
      <c r="K93" s="2"/>
      <c r="L93" s="2">
        <v>350</v>
      </c>
      <c r="M93" s="2">
        <v>0.29599999999999999</v>
      </c>
      <c r="N93" s="2">
        <v>4.4080000000000004</v>
      </c>
      <c r="O93" s="2">
        <v>4.2830000000000004</v>
      </c>
      <c r="P93" s="7"/>
    </row>
    <row r="94" spans="1:16" x14ac:dyDescent="0.25">
      <c r="A94" s="8">
        <v>5</v>
      </c>
      <c r="B94" s="1">
        <v>15</v>
      </c>
      <c r="C94" s="1" t="s">
        <v>68</v>
      </c>
      <c r="D94" s="1">
        <v>7840</v>
      </c>
      <c r="E94" s="1">
        <v>9320</v>
      </c>
      <c r="F94" s="1"/>
      <c r="G94" s="1"/>
      <c r="H94" s="1"/>
      <c r="I94" s="1" t="s">
        <v>10</v>
      </c>
      <c r="J94" s="1">
        <v>311</v>
      </c>
      <c r="K94" s="1"/>
      <c r="L94" s="1">
        <v>394</v>
      </c>
      <c r="M94" s="1">
        <v>0.29599999999999999</v>
      </c>
      <c r="N94" s="1">
        <v>4.4080000000000004</v>
      </c>
      <c r="O94" s="1">
        <v>4.2830000000000004</v>
      </c>
      <c r="P94" s="9"/>
    </row>
    <row r="95" spans="1:16" x14ac:dyDescent="0.25">
      <c r="A95" s="8">
        <v>5</v>
      </c>
      <c r="B95" s="1">
        <v>15</v>
      </c>
      <c r="C95" s="1" t="s">
        <v>68</v>
      </c>
      <c r="D95" s="1">
        <v>7840</v>
      </c>
      <c r="E95" s="1">
        <v>9320</v>
      </c>
      <c r="F95" s="1"/>
      <c r="G95" s="1"/>
      <c r="H95" s="1"/>
      <c r="I95" s="1" t="s">
        <v>13</v>
      </c>
      <c r="J95" s="1">
        <v>404</v>
      </c>
      <c r="K95" s="1"/>
      <c r="L95" s="1">
        <v>394</v>
      </c>
      <c r="M95" s="1">
        <v>0.29599999999999999</v>
      </c>
      <c r="N95" s="1">
        <v>4.4080000000000004</v>
      </c>
      <c r="O95" s="1">
        <v>4.2830000000000004</v>
      </c>
      <c r="P95" s="9"/>
    </row>
    <row r="96" spans="1:16" x14ac:dyDescent="0.25">
      <c r="A96" s="6">
        <v>5</v>
      </c>
      <c r="B96" s="2">
        <v>15</v>
      </c>
      <c r="C96" s="2" t="s">
        <v>115</v>
      </c>
      <c r="D96" s="2">
        <v>9380</v>
      </c>
      <c r="E96" s="2">
        <v>9840</v>
      </c>
      <c r="F96" s="2"/>
      <c r="G96" s="2"/>
      <c r="H96" s="2"/>
      <c r="I96" s="2" t="s">
        <v>10</v>
      </c>
      <c r="J96" s="2">
        <v>342</v>
      </c>
      <c r="K96" s="2"/>
      <c r="L96" s="2">
        <v>416</v>
      </c>
      <c r="M96" s="2">
        <v>0.29599999999999999</v>
      </c>
      <c r="N96" s="2">
        <v>4.4080000000000004</v>
      </c>
      <c r="O96" s="2">
        <v>4.2830000000000004</v>
      </c>
      <c r="P96" s="7"/>
    </row>
    <row r="97" spans="1:16" x14ac:dyDescent="0.25">
      <c r="A97" s="6">
        <v>5</v>
      </c>
      <c r="B97" s="2">
        <v>15</v>
      </c>
      <c r="C97" s="2" t="s">
        <v>115</v>
      </c>
      <c r="D97" s="2">
        <v>9380</v>
      </c>
      <c r="E97" s="2">
        <v>9840</v>
      </c>
      <c r="F97" s="2"/>
      <c r="G97" s="2"/>
      <c r="H97" s="2"/>
      <c r="I97" s="2" t="s">
        <v>13</v>
      </c>
      <c r="J97" s="2">
        <v>441</v>
      </c>
      <c r="K97" s="2"/>
      <c r="L97" s="2">
        <v>416</v>
      </c>
      <c r="M97" s="2">
        <v>0.29599999999999999</v>
      </c>
      <c r="N97" s="2">
        <v>4.4080000000000004</v>
      </c>
      <c r="O97" s="2">
        <v>4.2830000000000004</v>
      </c>
      <c r="P97" s="7"/>
    </row>
    <row r="98" spans="1:16" x14ac:dyDescent="0.25">
      <c r="A98" s="8">
        <v>5</v>
      </c>
      <c r="B98" s="1">
        <v>15</v>
      </c>
      <c r="C98" s="1" t="s">
        <v>116</v>
      </c>
      <c r="D98" s="1">
        <v>8110</v>
      </c>
      <c r="E98" s="1">
        <v>9840</v>
      </c>
      <c r="F98" s="1"/>
      <c r="G98" s="1"/>
      <c r="H98" s="1"/>
      <c r="I98" s="1" t="s">
        <v>10</v>
      </c>
      <c r="J98" s="1">
        <v>326</v>
      </c>
      <c r="K98" s="1"/>
      <c r="L98" s="1">
        <v>416</v>
      </c>
      <c r="M98" s="1">
        <v>0.29599999999999999</v>
      </c>
      <c r="N98" s="1">
        <v>4.4080000000000004</v>
      </c>
      <c r="O98" s="1">
        <v>4.2830000000000004</v>
      </c>
      <c r="P98" s="9"/>
    </row>
    <row r="99" spans="1:16" x14ac:dyDescent="0.25">
      <c r="A99" s="8">
        <v>5</v>
      </c>
      <c r="B99" s="1">
        <v>15</v>
      </c>
      <c r="C99" s="1" t="s">
        <v>116</v>
      </c>
      <c r="D99" s="1">
        <v>8110</v>
      </c>
      <c r="E99" s="1">
        <v>9840</v>
      </c>
      <c r="F99" s="1"/>
      <c r="G99" s="1"/>
      <c r="H99" s="1"/>
      <c r="I99" s="1" t="s">
        <v>13</v>
      </c>
      <c r="J99" s="1">
        <v>424</v>
      </c>
      <c r="K99" s="1"/>
      <c r="L99" s="1">
        <v>416</v>
      </c>
      <c r="M99" s="1">
        <v>0.29599999999999999</v>
      </c>
      <c r="N99" s="1">
        <v>4.4080000000000004</v>
      </c>
      <c r="O99" s="1">
        <v>4.2830000000000004</v>
      </c>
      <c r="P99" s="9"/>
    </row>
    <row r="100" spans="1:16" x14ac:dyDescent="0.25">
      <c r="A100" s="6">
        <v>5</v>
      </c>
      <c r="B100" s="2">
        <v>15</v>
      </c>
      <c r="C100" s="2" t="s">
        <v>74</v>
      </c>
      <c r="D100" s="2">
        <v>8110</v>
      </c>
      <c r="E100" s="2">
        <v>9840</v>
      </c>
      <c r="F100" s="2"/>
      <c r="G100" s="2"/>
      <c r="H100" s="2"/>
      <c r="I100" s="2" t="s">
        <v>10</v>
      </c>
      <c r="J100" s="2">
        <v>326</v>
      </c>
      <c r="K100" s="2"/>
      <c r="L100" s="2">
        <v>416</v>
      </c>
      <c r="M100" s="2">
        <v>0.29599999999999999</v>
      </c>
      <c r="N100" s="2">
        <v>4.4080000000000004</v>
      </c>
      <c r="O100" s="2">
        <v>4.2830000000000004</v>
      </c>
      <c r="P100" s="7"/>
    </row>
    <row r="101" spans="1:16" x14ac:dyDescent="0.25">
      <c r="A101" s="6">
        <v>5</v>
      </c>
      <c r="B101" s="2">
        <v>15</v>
      </c>
      <c r="C101" s="2" t="s">
        <v>74</v>
      </c>
      <c r="D101" s="2">
        <v>8110</v>
      </c>
      <c r="E101" s="2">
        <v>9840</v>
      </c>
      <c r="F101" s="2"/>
      <c r="G101" s="2"/>
      <c r="H101" s="2"/>
      <c r="I101" s="2" t="s">
        <v>13</v>
      </c>
      <c r="J101" s="2">
        <v>424</v>
      </c>
      <c r="K101" s="2"/>
      <c r="L101" s="2">
        <v>416</v>
      </c>
      <c r="M101" s="2">
        <v>0.29599999999999999</v>
      </c>
      <c r="N101" s="2">
        <v>4.4080000000000004</v>
      </c>
      <c r="O101" s="2">
        <v>4.2830000000000004</v>
      </c>
      <c r="P101" s="7"/>
    </row>
    <row r="102" spans="1:16" x14ac:dyDescent="0.25">
      <c r="A102" s="8">
        <v>5</v>
      </c>
      <c r="B102" s="1">
        <v>15</v>
      </c>
      <c r="C102" s="1" t="s">
        <v>113</v>
      </c>
      <c r="D102" s="1">
        <v>8850</v>
      </c>
      <c r="E102" s="1">
        <v>11400</v>
      </c>
      <c r="F102" s="1"/>
      <c r="G102" s="1"/>
      <c r="H102" s="1"/>
      <c r="I102" s="1" t="s">
        <v>10</v>
      </c>
      <c r="J102" s="1">
        <v>388</v>
      </c>
      <c r="K102" s="1"/>
      <c r="L102" s="1">
        <v>481</v>
      </c>
      <c r="M102" s="1">
        <v>0.29599999999999999</v>
      </c>
      <c r="N102" s="1">
        <v>4.4080000000000004</v>
      </c>
      <c r="O102" s="1">
        <v>4.2830000000000004</v>
      </c>
      <c r="P102" s="9"/>
    </row>
    <row r="103" spans="1:16" x14ac:dyDescent="0.25">
      <c r="A103" s="8">
        <v>5</v>
      </c>
      <c r="B103" s="1">
        <v>15</v>
      </c>
      <c r="C103" s="1" t="s">
        <v>113</v>
      </c>
      <c r="D103" s="1">
        <v>8850</v>
      </c>
      <c r="E103" s="1">
        <v>11400</v>
      </c>
      <c r="F103" s="1"/>
      <c r="G103" s="1"/>
      <c r="H103" s="1"/>
      <c r="I103" s="1" t="s">
        <v>13</v>
      </c>
      <c r="J103" s="1">
        <v>503</v>
      </c>
      <c r="K103" s="1"/>
      <c r="L103" s="1">
        <v>481</v>
      </c>
      <c r="M103" s="1">
        <v>0.29599999999999999</v>
      </c>
      <c r="N103" s="1">
        <v>4.4080000000000004</v>
      </c>
      <c r="O103" s="1">
        <v>4.2830000000000004</v>
      </c>
      <c r="P103" s="9"/>
    </row>
    <row r="104" spans="1:16" x14ac:dyDescent="0.25">
      <c r="A104" s="6">
        <v>5</v>
      </c>
      <c r="B104" s="2">
        <v>15</v>
      </c>
      <c r="C104" s="2" t="s">
        <v>117</v>
      </c>
      <c r="D104" s="2">
        <v>10250</v>
      </c>
      <c r="E104" s="2">
        <v>15540</v>
      </c>
      <c r="F104" s="2"/>
      <c r="G104" s="2"/>
      <c r="H104" s="2"/>
      <c r="I104" s="2" t="s">
        <v>10</v>
      </c>
      <c r="J104" s="2">
        <v>497</v>
      </c>
      <c r="K104" s="2"/>
      <c r="L104" s="2">
        <v>656</v>
      </c>
      <c r="M104" s="2">
        <v>0.29599999999999999</v>
      </c>
      <c r="N104" s="2">
        <v>4.4080000000000004</v>
      </c>
      <c r="O104" s="2">
        <v>4.2830000000000004</v>
      </c>
      <c r="P104" s="7"/>
    </row>
    <row r="105" spans="1:16" x14ac:dyDescent="0.25">
      <c r="A105" s="6">
        <v>5</v>
      </c>
      <c r="B105" s="2">
        <v>15</v>
      </c>
      <c r="C105" s="2" t="s">
        <v>117</v>
      </c>
      <c r="D105" s="2">
        <v>10250</v>
      </c>
      <c r="E105" s="2">
        <v>15540</v>
      </c>
      <c r="F105" s="2"/>
      <c r="G105" s="2"/>
      <c r="H105" s="2"/>
      <c r="I105" s="2" t="s">
        <v>13</v>
      </c>
      <c r="J105" s="2">
        <v>651</v>
      </c>
      <c r="K105" s="2"/>
      <c r="L105" s="2">
        <v>656</v>
      </c>
      <c r="M105" s="2">
        <v>0.29599999999999999</v>
      </c>
      <c r="N105" s="2">
        <v>4.4080000000000004</v>
      </c>
      <c r="O105" s="2">
        <v>4.2830000000000004</v>
      </c>
      <c r="P105" s="7"/>
    </row>
    <row r="106" spans="1:16" x14ac:dyDescent="0.25">
      <c r="A106" s="8">
        <v>5</v>
      </c>
      <c r="B106" s="1">
        <v>18</v>
      </c>
      <c r="C106" s="1" t="s">
        <v>111</v>
      </c>
      <c r="D106" s="1">
        <v>10500</v>
      </c>
      <c r="E106" s="1">
        <v>10140</v>
      </c>
      <c r="F106" s="1"/>
      <c r="G106" s="1"/>
      <c r="H106" s="1"/>
      <c r="I106" s="1" t="s">
        <v>10</v>
      </c>
      <c r="J106" s="1">
        <v>377</v>
      </c>
      <c r="K106" s="1"/>
      <c r="L106" s="1">
        <v>422</v>
      </c>
      <c r="M106" s="1">
        <v>0.36199999999999999</v>
      </c>
      <c r="N106" s="1">
        <v>4.2759999999999998</v>
      </c>
      <c r="O106" s="1">
        <v>4.1509999999999998</v>
      </c>
      <c r="P106" s="9"/>
    </row>
    <row r="107" spans="1:16" x14ac:dyDescent="0.25">
      <c r="A107" s="8">
        <v>5</v>
      </c>
      <c r="B107" s="1">
        <v>18</v>
      </c>
      <c r="C107" s="1" t="s">
        <v>111</v>
      </c>
      <c r="D107" s="1">
        <v>10500</v>
      </c>
      <c r="E107" s="1">
        <v>9910</v>
      </c>
      <c r="F107" s="1"/>
      <c r="G107" s="1"/>
      <c r="H107" s="1"/>
      <c r="I107" s="1" t="s">
        <v>13</v>
      </c>
      <c r="J107" s="1">
        <v>457</v>
      </c>
      <c r="K107" s="1"/>
      <c r="L107" s="1">
        <v>422</v>
      </c>
      <c r="M107" s="1">
        <v>0.36199999999999999</v>
      </c>
      <c r="N107" s="1">
        <v>4.2759999999999998</v>
      </c>
      <c r="O107" s="1">
        <v>4.1509999999999998</v>
      </c>
      <c r="P107" s="9"/>
    </row>
    <row r="108" spans="1:16" x14ac:dyDescent="0.25">
      <c r="A108" s="6">
        <v>5</v>
      </c>
      <c r="B108" s="2">
        <v>18</v>
      </c>
      <c r="C108" s="2" t="s">
        <v>88</v>
      </c>
      <c r="D108" s="2">
        <v>11880</v>
      </c>
      <c r="E108" s="2">
        <v>10140</v>
      </c>
      <c r="F108" s="2"/>
      <c r="G108" s="2"/>
      <c r="H108" s="2"/>
      <c r="I108" s="2" t="s">
        <v>10</v>
      </c>
      <c r="J108" s="2">
        <v>396</v>
      </c>
      <c r="K108" s="2"/>
      <c r="L108" s="2">
        <v>422</v>
      </c>
      <c r="M108" s="2">
        <v>0.36199999999999999</v>
      </c>
      <c r="N108" s="2">
        <v>4.2759999999999998</v>
      </c>
      <c r="O108" s="2">
        <v>4.1509999999999998</v>
      </c>
      <c r="P108" s="7"/>
    </row>
    <row r="109" spans="1:16" x14ac:dyDescent="0.25">
      <c r="A109" s="6">
        <v>5</v>
      </c>
      <c r="B109" s="2">
        <v>18</v>
      </c>
      <c r="C109" s="2" t="s">
        <v>88</v>
      </c>
      <c r="D109" s="2">
        <v>11880</v>
      </c>
      <c r="E109" s="2">
        <v>9910</v>
      </c>
      <c r="F109" s="2"/>
      <c r="G109" s="2"/>
      <c r="H109" s="2"/>
      <c r="I109" s="2" t="s">
        <v>13</v>
      </c>
      <c r="J109" s="2">
        <v>492</v>
      </c>
      <c r="K109" s="2"/>
      <c r="L109" s="2">
        <v>422</v>
      </c>
      <c r="M109" s="2">
        <v>0.36199999999999999</v>
      </c>
      <c r="N109" s="2">
        <v>4.2759999999999998</v>
      </c>
      <c r="O109" s="2">
        <v>4.1509999999999998</v>
      </c>
      <c r="P109" s="7"/>
    </row>
    <row r="110" spans="1:16" x14ac:dyDescent="0.25">
      <c r="A110" s="8">
        <v>5</v>
      </c>
      <c r="B110" s="1">
        <v>18</v>
      </c>
      <c r="C110" s="1" t="s">
        <v>112</v>
      </c>
      <c r="D110" s="1">
        <v>10500</v>
      </c>
      <c r="E110" s="1">
        <v>10140</v>
      </c>
      <c r="F110" s="1"/>
      <c r="G110" s="1"/>
      <c r="H110" s="1"/>
      <c r="I110" s="1" t="s">
        <v>10</v>
      </c>
      <c r="J110" s="1">
        <v>396</v>
      </c>
      <c r="K110" s="1"/>
      <c r="L110" s="1">
        <v>422</v>
      </c>
      <c r="M110" s="1">
        <v>0.36199999999999999</v>
      </c>
      <c r="N110" s="1">
        <v>4.2759999999999998</v>
      </c>
      <c r="O110" s="1">
        <v>4.1509999999999998</v>
      </c>
      <c r="P110" s="9"/>
    </row>
    <row r="111" spans="1:16" x14ac:dyDescent="0.25">
      <c r="A111" s="8">
        <v>5</v>
      </c>
      <c r="B111" s="1">
        <v>18</v>
      </c>
      <c r="C111" s="1" t="s">
        <v>112</v>
      </c>
      <c r="D111" s="1">
        <v>10500</v>
      </c>
      <c r="E111" s="1">
        <v>9910</v>
      </c>
      <c r="F111" s="1"/>
      <c r="G111" s="1"/>
      <c r="H111" s="1"/>
      <c r="I111" s="1" t="s">
        <v>13</v>
      </c>
      <c r="J111" s="1">
        <v>477</v>
      </c>
      <c r="K111" s="1"/>
      <c r="L111" s="1">
        <v>422</v>
      </c>
      <c r="M111" s="1">
        <v>0.36199999999999999</v>
      </c>
      <c r="N111" s="1">
        <v>4.2759999999999998</v>
      </c>
      <c r="O111" s="1">
        <v>4.1509999999999998</v>
      </c>
      <c r="P111" s="9"/>
    </row>
    <row r="112" spans="1:16" x14ac:dyDescent="0.25">
      <c r="A112" s="6">
        <v>5</v>
      </c>
      <c r="B112" s="2">
        <v>18</v>
      </c>
      <c r="C112" s="2" t="s">
        <v>93</v>
      </c>
      <c r="D112" s="2">
        <v>11880</v>
      </c>
      <c r="E112" s="2">
        <v>10140</v>
      </c>
      <c r="F112" s="2"/>
      <c r="G112" s="2"/>
      <c r="H112" s="2"/>
      <c r="I112" s="2" t="s">
        <v>10</v>
      </c>
      <c r="J112" s="2">
        <v>396</v>
      </c>
      <c r="K112" s="2"/>
      <c r="L112" s="2">
        <v>422</v>
      </c>
      <c r="M112" s="2">
        <v>0.36199999999999999</v>
      </c>
      <c r="N112" s="2">
        <v>4.2759999999999998</v>
      </c>
      <c r="O112" s="2">
        <v>4.1509999999999998</v>
      </c>
      <c r="P112" s="7"/>
    </row>
    <row r="113" spans="1:16" x14ac:dyDescent="0.25">
      <c r="A113" s="6">
        <v>5</v>
      </c>
      <c r="B113" s="2">
        <v>18</v>
      </c>
      <c r="C113" s="2" t="s">
        <v>93</v>
      </c>
      <c r="D113" s="2">
        <v>11880</v>
      </c>
      <c r="E113" s="2">
        <v>9910</v>
      </c>
      <c r="F113" s="2"/>
      <c r="G113" s="2"/>
      <c r="H113" s="2"/>
      <c r="I113" s="2" t="s">
        <v>13</v>
      </c>
      <c r="J113" s="2">
        <v>492</v>
      </c>
      <c r="K113" s="2"/>
      <c r="L113" s="2">
        <v>422</v>
      </c>
      <c r="M113" s="2">
        <v>0.36199999999999999</v>
      </c>
      <c r="N113" s="2">
        <v>4.2759999999999998</v>
      </c>
      <c r="O113" s="2">
        <v>4.1509999999999998</v>
      </c>
      <c r="P113" s="7"/>
    </row>
    <row r="114" spans="1:16" x14ac:dyDescent="0.25">
      <c r="A114" s="8">
        <v>5</v>
      </c>
      <c r="B114" s="1">
        <v>18</v>
      </c>
      <c r="C114" s="1" t="s">
        <v>68</v>
      </c>
      <c r="D114" s="1">
        <v>11530</v>
      </c>
      <c r="E114" s="1">
        <v>11400</v>
      </c>
      <c r="F114" s="1"/>
      <c r="G114" s="1"/>
      <c r="H114" s="1"/>
      <c r="I114" s="1" t="s">
        <v>10</v>
      </c>
      <c r="J114" s="1">
        <v>396</v>
      </c>
      <c r="K114" s="1"/>
      <c r="L114" s="1">
        <v>475</v>
      </c>
      <c r="M114" s="1">
        <v>0.36199999999999999</v>
      </c>
      <c r="N114" s="1">
        <v>4.2759999999999998</v>
      </c>
      <c r="O114" s="1">
        <v>4.1509999999999998</v>
      </c>
      <c r="P114" s="9"/>
    </row>
    <row r="115" spans="1:16" x14ac:dyDescent="0.25">
      <c r="A115" s="8">
        <v>5</v>
      </c>
      <c r="B115" s="1">
        <v>18</v>
      </c>
      <c r="C115" s="1" t="s">
        <v>68</v>
      </c>
      <c r="D115" s="1">
        <v>11530</v>
      </c>
      <c r="E115" s="1">
        <v>11150</v>
      </c>
      <c r="F115" s="1"/>
      <c r="G115" s="1"/>
      <c r="H115" s="1"/>
      <c r="I115" s="1" t="s">
        <v>13</v>
      </c>
      <c r="J115" s="1">
        <v>484</v>
      </c>
      <c r="K115" s="1"/>
      <c r="L115" s="1">
        <v>475</v>
      </c>
      <c r="M115" s="1">
        <v>0.36199999999999999</v>
      </c>
      <c r="N115" s="1">
        <v>4.2759999999999998</v>
      </c>
      <c r="O115" s="1">
        <v>4.1509999999999998</v>
      </c>
      <c r="P115" s="9"/>
    </row>
    <row r="116" spans="1:16" x14ac:dyDescent="0.25">
      <c r="A116" s="6">
        <v>5</v>
      </c>
      <c r="B116" s="2">
        <v>18</v>
      </c>
      <c r="C116" s="2" t="s">
        <v>115</v>
      </c>
      <c r="D116" s="2">
        <v>12030</v>
      </c>
      <c r="E116" s="2">
        <v>12040</v>
      </c>
      <c r="F116" s="2"/>
      <c r="G116" s="2"/>
      <c r="H116" s="2"/>
      <c r="I116" s="2" t="s">
        <v>10</v>
      </c>
      <c r="J116" s="2">
        <v>436</v>
      </c>
      <c r="K116" s="2"/>
      <c r="L116" s="2">
        <v>501</v>
      </c>
      <c r="M116" s="2">
        <v>0.36199999999999999</v>
      </c>
      <c r="N116" s="2">
        <v>4.2759999999999998</v>
      </c>
      <c r="O116" s="2">
        <v>4.1509999999999998</v>
      </c>
      <c r="P116" s="7"/>
    </row>
    <row r="117" spans="1:16" x14ac:dyDescent="0.25">
      <c r="A117" s="6">
        <v>5</v>
      </c>
      <c r="B117" s="2">
        <v>18</v>
      </c>
      <c r="C117" s="2" t="s">
        <v>115</v>
      </c>
      <c r="D117" s="2">
        <v>12030</v>
      </c>
      <c r="E117" s="2">
        <v>11770</v>
      </c>
      <c r="F117" s="2"/>
      <c r="G117" s="2"/>
      <c r="H117" s="2"/>
      <c r="I117" s="2" t="s">
        <v>13</v>
      </c>
      <c r="J117" s="2">
        <v>532</v>
      </c>
      <c r="K117" s="2"/>
      <c r="L117" s="2">
        <v>501</v>
      </c>
      <c r="M117" s="2">
        <v>0.36199999999999999</v>
      </c>
      <c r="N117" s="2">
        <v>4.2759999999999998</v>
      </c>
      <c r="O117" s="2">
        <v>4.1509999999999998</v>
      </c>
      <c r="P117" s="7"/>
    </row>
    <row r="118" spans="1:16" x14ac:dyDescent="0.25">
      <c r="A118" s="8">
        <v>5</v>
      </c>
      <c r="B118" s="1">
        <v>18</v>
      </c>
      <c r="C118" s="1" t="s">
        <v>116</v>
      </c>
      <c r="D118" s="1">
        <v>12030</v>
      </c>
      <c r="E118" s="1">
        <v>12040</v>
      </c>
      <c r="F118" s="1"/>
      <c r="G118" s="1"/>
      <c r="H118" s="1"/>
      <c r="I118" s="1" t="s">
        <v>10</v>
      </c>
      <c r="J118" s="1">
        <v>416</v>
      </c>
      <c r="K118" s="1"/>
      <c r="L118" s="1">
        <v>501</v>
      </c>
      <c r="M118" s="1">
        <v>0.36199999999999999</v>
      </c>
      <c r="N118" s="1">
        <v>4.2759999999999998</v>
      </c>
      <c r="O118" s="1">
        <v>4.1509999999999998</v>
      </c>
      <c r="P118" s="9"/>
    </row>
    <row r="119" spans="1:16" x14ac:dyDescent="0.25">
      <c r="A119" s="8">
        <v>5</v>
      </c>
      <c r="B119" s="1">
        <v>18</v>
      </c>
      <c r="C119" s="1" t="s">
        <v>116</v>
      </c>
      <c r="D119" s="1">
        <v>12030</v>
      </c>
      <c r="E119" s="1">
        <v>11770</v>
      </c>
      <c r="F119" s="1"/>
      <c r="G119" s="1"/>
      <c r="H119" s="1"/>
      <c r="I119" s="1" t="s">
        <v>13</v>
      </c>
      <c r="J119" s="1">
        <v>512</v>
      </c>
      <c r="K119" s="1"/>
      <c r="L119" s="1">
        <v>501</v>
      </c>
      <c r="M119" s="1">
        <v>0.36199999999999999</v>
      </c>
      <c r="N119" s="1">
        <v>4.2759999999999998</v>
      </c>
      <c r="O119" s="1">
        <v>4.1509999999999998</v>
      </c>
      <c r="P119" s="9"/>
    </row>
    <row r="120" spans="1:16" x14ac:dyDescent="0.25">
      <c r="A120" s="6">
        <v>5</v>
      </c>
      <c r="B120" s="2">
        <v>18</v>
      </c>
      <c r="C120" s="2" t="s">
        <v>74</v>
      </c>
      <c r="D120" s="2">
        <v>12030</v>
      </c>
      <c r="E120" s="2">
        <v>12040</v>
      </c>
      <c r="F120" s="2"/>
      <c r="G120" s="2"/>
      <c r="H120" s="2"/>
      <c r="I120" s="2" t="s">
        <v>10</v>
      </c>
      <c r="J120" s="2">
        <v>416</v>
      </c>
      <c r="K120" s="2"/>
      <c r="L120" s="2">
        <v>501</v>
      </c>
      <c r="M120" s="2">
        <v>0.36199999999999999</v>
      </c>
      <c r="N120" s="2">
        <v>4.2759999999999998</v>
      </c>
      <c r="O120" s="2">
        <v>4.1509999999999998</v>
      </c>
      <c r="P120" s="7"/>
    </row>
    <row r="121" spans="1:16" x14ac:dyDescent="0.25">
      <c r="A121" s="6">
        <v>5</v>
      </c>
      <c r="B121" s="2">
        <v>18</v>
      </c>
      <c r="C121" s="2" t="s">
        <v>74</v>
      </c>
      <c r="D121" s="2">
        <v>12030</v>
      </c>
      <c r="E121" s="2">
        <v>11770</v>
      </c>
      <c r="F121" s="2"/>
      <c r="G121" s="2"/>
      <c r="H121" s="2"/>
      <c r="I121" s="2" t="s">
        <v>13</v>
      </c>
      <c r="J121" s="2">
        <v>512</v>
      </c>
      <c r="K121" s="2"/>
      <c r="L121" s="2">
        <v>501</v>
      </c>
      <c r="M121" s="2">
        <v>0.36199999999999999</v>
      </c>
      <c r="N121" s="2">
        <v>4.2759999999999998</v>
      </c>
      <c r="O121" s="2">
        <v>4.1509999999999998</v>
      </c>
      <c r="P121" s="7"/>
    </row>
    <row r="122" spans="1:16" x14ac:dyDescent="0.25">
      <c r="A122" s="8">
        <v>5</v>
      </c>
      <c r="B122" s="1">
        <v>18</v>
      </c>
      <c r="C122" s="1" t="s">
        <v>113</v>
      </c>
      <c r="D122" s="1">
        <v>13470</v>
      </c>
      <c r="E122" s="1">
        <v>13940</v>
      </c>
      <c r="F122" s="1"/>
      <c r="G122" s="1"/>
      <c r="H122" s="1"/>
      <c r="I122" s="1" t="s">
        <v>10</v>
      </c>
      <c r="J122" s="1">
        <v>495</v>
      </c>
      <c r="K122" s="1"/>
      <c r="L122" s="1">
        <v>580</v>
      </c>
      <c r="M122" s="1">
        <v>0.36199999999999999</v>
      </c>
      <c r="N122" s="1">
        <v>4.2759999999999998</v>
      </c>
      <c r="O122" s="1">
        <v>4.1509999999999998</v>
      </c>
      <c r="P122" s="9"/>
    </row>
    <row r="123" spans="1:16" x14ac:dyDescent="0.25">
      <c r="A123" s="8">
        <v>5</v>
      </c>
      <c r="B123" s="1">
        <v>18</v>
      </c>
      <c r="C123" s="1" t="s">
        <v>113</v>
      </c>
      <c r="D123" s="1">
        <v>13470</v>
      </c>
      <c r="E123" s="1">
        <v>13620</v>
      </c>
      <c r="F123" s="1"/>
      <c r="G123" s="1"/>
      <c r="H123" s="1"/>
      <c r="I123" s="1" t="s">
        <v>13</v>
      </c>
      <c r="J123" s="1">
        <v>606</v>
      </c>
      <c r="K123" s="1"/>
      <c r="L123" s="1">
        <v>580</v>
      </c>
      <c r="M123" s="1">
        <v>0.36199999999999999</v>
      </c>
      <c r="N123" s="1">
        <v>4.2759999999999998</v>
      </c>
      <c r="O123" s="1">
        <v>4.1509999999999998</v>
      </c>
      <c r="P123" s="9"/>
    </row>
    <row r="124" spans="1:16" x14ac:dyDescent="0.25">
      <c r="A124" s="6">
        <v>5</v>
      </c>
      <c r="B124" s="2">
        <v>18</v>
      </c>
      <c r="C124" s="2" t="s">
        <v>114</v>
      </c>
      <c r="D124" s="2">
        <v>14830</v>
      </c>
      <c r="E124" s="2">
        <v>15840</v>
      </c>
      <c r="F124" s="2"/>
      <c r="G124" s="2"/>
      <c r="H124" s="2"/>
      <c r="I124" s="2" t="s">
        <v>10</v>
      </c>
      <c r="J124" s="2">
        <v>535</v>
      </c>
      <c r="K124" s="2"/>
      <c r="L124" s="2">
        <v>659</v>
      </c>
      <c r="M124" s="2">
        <v>0.36199999999999999</v>
      </c>
      <c r="N124" s="2">
        <v>4.2759999999999998</v>
      </c>
      <c r="O124" s="2">
        <v>4.1509999999999998</v>
      </c>
      <c r="P124" s="7"/>
    </row>
    <row r="125" spans="1:16" x14ac:dyDescent="0.25">
      <c r="A125" s="6">
        <v>5</v>
      </c>
      <c r="B125" s="2">
        <v>18</v>
      </c>
      <c r="C125" s="2" t="s">
        <v>114</v>
      </c>
      <c r="D125" s="2">
        <v>14830</v>
      </c>
      <c r="E125" s="2">
        <v>15480</v>
      </c>
      <c r="F125" s="2"/>
      <c r="G125" s="2"/>
      <c r="H125" s="2"/>
      <c r="I125" s="2" t="s">
        <v>13</v>
      </c>
      <c r="J125" s="2">
        <v>661</v>
      </c>
      <c r="K125" s="2"/>
      <c r="L125" s="2">
        <v>659</v>
      </c>
      <c r="M125" s="2">
        <v>0.36199999999999999</v>
      </c>
      <c r="N125" s="2">
        <v>4.2759999999999998</v>
      </c>
      <c r="O125" s="2">
        <v>4.1509999999999998</v>
      </c>
      <c r="P125" s="7"/>
    </row>
    <row r="126" spans="1:16" x14ac:dyDescent="0.25">
      <c r="A126" s="8">
        <v>5</v>
      </c>
      <c r="B126" s="1">
        <v>18</v>
      </c>
      <c r="C126" s="1" t="s">
        <v>117</v>
      </c>
      <c r="D126" s="1">
        <v>16860</v>
      </c>
      <c r="E126" s="1">
        <v>19010</v>
      </c>
      <c r="F126" s="1"/>
      <c r="G126" s="1"/>
      <c r="H126" s="1"/>
      <c r="I126" s="1" t="s">
        <v>10</v>
      </c>
      <c r="J126" s="1">
        <v>634</v>
      </c>
      <c r="K126" s="1"/>
      <c r="L126" s="1">
        <v>791</v>
      </c>
      <c r="M126" s="1">
        <v>0.36199999999999999</v>
      </c>
      <c r="N126" s="1">
        <v>4.2759999999999998</v>
      </c>
      <c r="O126" s="1">
        <v>4.1509999999999998</v>
      </c>
      <c r="P126" s="9"/>
    </row>
    <row r="127" spans="1:16" x14ac:dyDescent="0.25">
      <c r="A127" s="8">
        <v>5</v>
      </c>
      <c r="B127" s="1">
        <v>18</v>
      </c>
      <c r="C127" s="1" t="s">
        <v>117</v>
      </c>
      <c r="D127" s="1">
        <v>16860</v>
      </c>
      <c r="E127" s="1">
        <v>18580</v>
      </c>
      <c r="F127" s="1"/>
      <c r="G127" s="1"/>
      <c r="H127" s="1"/>
      <c r="I127" s="1" t="s">
        <v>13</v>
      </c>
      <c r="J127" s="1">
        <v>785</v>
      </c>
      <c r="K127" s="1"/>
      <c r="L127" s="1">
        <v>791</v>
      </c>
      <c r="M127" s="1">
        <v>0.36199999999999999</v>
      </c>
      <c r="N127" s="1">
        <v>4.2759999999999998</v>
      </c>
      <c r="O127" s="1">
        <v>4.1509999999999998</v>
      </c>
      <c r="P127" s="9"/>
    </row>
    <row r="128" spans="1:16" x14ac:dyDescent="0.25">
      <c r="A128" s="6">
        <v>5</v>
      </c>
      <c r="B128" s="2">
        <v>21.4</v>
      </c>
      <c r="C128" s="2" t="s">
        <v>111</v>
      </c>
      <c r="D128" s="2">
        <v>12760</v>
      </c>
      <c r="E128" s="2">
        <v>10810</v>
      </c>
      <c r="F128" s="2"/>
      <c r="G128" s="2"/>
      <c r="H128" s="2"/>
      <c r="I128" s="2" t="s">
        <v>10</v>
      </c>
      <c r="J128" s="2">
        <v>466</v>
      </c>
      <c r="K128" s="2"/>
      <c r="L128" s="2">
        <v>501</v>
      </c>
      <c r="M128" s="2">
        <v>0.437</v>
      </c>
      <c r="N128" s="2">
        <v>4.1260000000000003</v>
      </c>
      <c r="O128" s="2">
        <v>4.0010000000000003</v>
      </c>
      <c r="P128" s="7"/>
    </row>
    <row r="129" spans="1:16" x14ac:dyDescent="0.25">
      <c r="A129" s="6">
        <v>5</v>
      </c>
      <c r="B129" s="2">
        <v>21.4</v>
      </c>
      <c r="C129" s="2" t="s">
        <v>111</v>
      </c>
      <c r="D129" s="2">
        <v>12760</v>
      </c>
      <c r="E129" s="2">
        <v>9910</v>
      </c>
      <c r="F129" s="2"/>
      <c r="G129" s="2"/>
      <c r="H129" s="2"/>
      <c r="I129" s="2" t="s">
        <v>13</v>
      </c>
      <c r="J129" s="2">
        <v>510</v>
      </c>
      <c r="K129" s="2"/>
      <c r="L129" s="2">
        <v>501</v>
      </c>
      <c r="M129" s="2">
        <v>0.437</v>
      </c>
      <c r="N129" s="2">
        <v>4.1260000000000003</v>
      </c>
      <c r="O129" s="2">
        <v>4.0010000000000003</v>
      </c>
      <c r="P129" s="7"/>
    </row>
    <row r="130" spans="1:16" x14ac:dyDescent="0.25">
      <c r="A130" s="8">
        <v>5</v>
      </c>
      <c r="B130" s="1">
        <v>21.4</v>
      </c>
      <c r="C130" s="1" t="s">
        <v>112</v>
      </c>
      <c r="D130" s="1">
        <v>12760</v>
      </c>
      <c r="E130" s="1">
        <v>10810</v>
      </c>
      <c r="F130" s="1"/>
      <c r="G130" s="1"/>
      <c r="H130" s="1"/>
      <c r="I130" s="1" t="s">
        <v>10</v>
      </c>
      <c r="J130" s="1">
        <v>490</v>
      </c>
      <c r="K130" s="1"/>
      <c r="L130" s="1">
        <v>501</v>
      </c>
      <c r="M130" s="1">
        <v>0.437</v>
      </c>
      <c r="N130" s="1">
        <v>4.1260000000000003</v>
      </c>
      <c r="O130" s="1">
        <v>4.0010000000000003</v>
      </c>
      <c r="P130" s="9"/>
    </row>
    <row r="131" spans="1:16" x14ac:dyDescent="0.25">
      <c r="A131" s="8">
        <v>5</v>
      </c>
      <c r="B131" s="1">
        <v>21.4</v>
      </c>
      <c r="C131" s="1" t="s">
        <v>112</v>
      </c>
      <c r="D131" s="1">
        <v>12760</v>
      </c>
      <c r="E131" s="1">
        <v>9910</v>
      </c>
      <c r="F131" s="1"/>
      <c r="G131" s="1"/>
      <c r="H131" s="1"/>
      <c r="I131" s="1" t="s">
        <v>13</v>
      </c>
      <c r="J131" s="1">
        <v>537</v>
      </c>
      <c r="K131" s="1"/>
      <c r="L131" s="1">
        <v>501</v>
      </c>
      <c r="M131" s="1">
        <v>0.437</v>
      </c>
      <c r="N131" s="1">
        <v>4.1260000000000003</v>
      </c>
      <c r="O131" s="1">
        <v>4.0010000000000003</v>
      </c>
      <c r="P131" s="9"/>
    </row>
    <row r="132" spans="1:16" x14ac:dyDescent="0.25">
      <c r="A132" s="6">
        <v>5</v>
      </c>
      <c r="B132" s="2">
        <v>21.4</v>
      </c>
      <c r="C132" s="2" t="s">
        <v>68</v>
      </c>
      <c r="D132" s="2">
        <v>14360</v>
      </c>
      <c r="E132" s="2">
        <v>12170</v>
      </c>
      <c r="F132" s="2"/>
      <c r="G132" s="2"/>
      <c r="H132" s="2"/>
      <c r="I132" s="2" t="s">
        <v>10</v>
      </c>
      <c r="J132" s="2">
        <v>490</v>
      </c>
      <c r="K132" s="2"/>
      <c r="L132" s="2">
        <v>564</v>
      </c>
      <c r="M132" s="2">
        <v>0.437</v>
      </c>
      <c r="N132" s="2">
        <v>4.1260000000000003</v>
      </c>
      <c r="O132" s="2">
        <v>4.0010000000000003</v>
      </c>
      <c r="P132" s="7"/>
    </row>
    <row r="133" spans="1:16" x14ac:dyDescent="0.25">
      <c r="A133" s="6">
        <v>5</v>
      </c>
      <c r="B133" s="2">
        <v>21.4</v>
      </c>
      <c r="C133" s="2" t="s">
        <v>68</v>
      </c>
      <c r="D133" s="2">
        <v>14360</v>
      </c>
      <c r="E133" s="2">
        <v>11150</v>
      </c>
      <c r="F133" s="2"/>
      <c r="G133" s="2"/>
      <c r="H133" s="2"/>
      <c r="I133" s="2" t="s">
        <v>13</v>
      </c>
      <c r="J133" s="2">
        <v>537</v>
      </c>
      <c r="K133" s="2"/>
      <c r="L133" s="2">
        <v>564</v>
      </c>
      <c r="M133" s="2">
        <v>0.437</v>
      </c>
      <c r="N133" s="2">
        <v>4.1260000000000003</v>
      </c>
      <c r="O133" s="2">
        <v>4.0010000000000003</v>
      </c>
      <c r="P133" s="7"/>
    </row>
    <row r="134" spans="1:16" x14ac:dyDescent="0.25">
      <c r="A134" s="8">
        <v>5</v>
      </c>
      <c r="B134" s="1">
        <v>21.4</v>
      </c>
      <c r="C134" s="1" t="s">
        <v>116</v>
      </c>
      <c r="D134" s="1">
        <v>15160</v>
      </c>
      <c r="E134" s="1">
        <v>12840</v>
      </c>
      <c r="F134" s="1"/>
      <c r="G134" s="1"/>
      <c r="H134" s="1"/>
      <c r="I134" s="1" t="s">
        <v>10</v>
      </c>
      <c r="J134" s="1">
        <v>515</v>
      </c>
      <c r="K134" s="1"/>
      <c r="L134" s="1">
        <v>595</v>
      </c>
      <c r="M134" s="1">
        <v>0.437</v>
      </c>
      <c r="N134" s="1">
        <v>4.1260000000000003</v>
      </c>
      <c r="O134" s="1">
        <v>4.0010000000000003</v>
      </c>
      <c r="P134" s="9"/>
    </row>
    <row r="135" spans="1:16" x14ac:dyDescent="0.25">
      <c r="A135" s="8">
        <v>5</v>
      </c>
      <c r="B135" s="1">
        <v>21.4</v>
      </c>
      <c r="C135" s="1" t="s">
        <v>116</v>
      </c>
      <c r="D135" s="1">
        <v>15160</v>
      </c>
      <c r="E135" s="1">
        <v>11770</v>
      </c>
      <c r="F135" s="1"/>
      <c r="G135" s="1"/>
      <c r="H135" s="1"/>
      <c r="I135" s="1" t="s">
        <v>13</v>
      </c>
      <c r="J135" s="1">
        <v>563</v>
      </c>
      <c r="K135" s="1"/>
      <c r="L135" s="1">
        <v>595</v>
      </c>
      <c r="M135" s="1">
        <v>0.437</v>
      </c>
      <c r="N135" s="1">
        <v>4.1260000000000003</v>
      </c>
      <c r="O135" s="1">
        <v>4.0010000000000003</v>
      </c>
      <c r="P135" s="9"/>
    </row>
    <row r="136" spans="1:16" x14ac:dyDescent="0.25">
      <c r="A136" s="6">
        <v>5</v>
      </c>
      <c r="B136" s="2">
        <v>21.4</v>
      </c>
      <c r="C136" s="2" t="s">
        <v>74</v>
      </c>
      <c r="D136" s="2">
        <v>15160</v>
      </c>
      <c r="E136" s="2">
        <v>12840</v>
      </c>
      <c r="F136" s="2"/>
      <c r="G136" s="2"/>
      <c r="H136" s="2"/>
      <c r="I136" s="2" t="s">
        <v>10</v>
      </c>
      <c r="J136" s="2">
        <v>515</v>
      </c>
      <c r="K136" s="2"/>
      <c r="L136" s="2">
        <v>595</v>
      </c>
      <c r="M136" s="2">
        <v>0.437</v>
      </c>
      <c r="N136" s="2">
        <v>4.1260000000000003</v>
      </c>
      <c r="O136" s="2">
        <v>4.0010000000000003</v>
      </c>
      <c r="P136" s="7"/>
    </row>
    <row r="137" spans="1:16" x14ac:dyDescent="0.25">
      <c r="A137" s="6">
        <v>5</v>
      </c>
      <c r="B137" s="2">
        <v>21.4</v>
      </c>
      <c r="C137" s="2" t="s">
        <v>74</v>
      </c>
      <c r="D137" s="2">
        <v>15160</v>
      </c>
      <c r="E137" s="2">
        <v>11770</v>
      </c>
      <c r="F137" s="2"/>
      <c r="G137" s="2"/>
      <c r="H137" s="2"/>
      <c r="I137" s="2" t="s">
        <v>13</v>
      </c>
      <c r="J137" s="2">
        <v>563</v>
      </c>
      <c r="K137" s="2"/>
      <c r="L137" s="2">
        <v>595</v>
      </c>
      <c r="M137" s="2">
        <v>0.437</v>
      </c>
      <c r="N137" s="2">
        <v>4.1260000000000003</v>
      </c>
      <c r="O137" s="2">
        <v>4.0010000000000003</v>
      </c>
      <c r="P137" s="7"/>
    </row>
    <row r="138" spans="1:16" x14ac:dyDescent="0.25">
      <c r="A138" s="8">
        <v>5</v>
      </c>
      <c r="B138" s="1">
        <v>21.4</v>
      </c>
      <c r="C138" s="1" t="s">
        <v>113</v>
      </c>
      <c r="D138" s="1">
        <v>17550</v>
      </c>
      <c r="E138" s="1">
        <v>14870</v>
      </c>
      <c r="F138" s="1"/>
      <c r="G138" s="1"/>
      <c r="H138" s="1"/>
      <c r="I138" s="1" t="s">
        <v>10</v>
      </c>
      <c r="J138" s="1">
        <v>613</v>
      </c>
      <c r="K138" s="1"/>
      <c r="L138" s="1">
        <v>689</v>
      </c>
      <c r="M138" s="1">
        <v>0.437</v>
      </c>
      <c r="N138" s="1">
        <v>4.1260000000000003</v>
      </c>
      <c r="O138" s="1">
        <v>4.0010000000000003</v>
      </c>
      <c r="P138" s="9"/>
    </row>
    <row r="139" spans="1:16" x14ac:dyDescent="0.25">
      <c r="A139" s="8">
        <v>5</v>
      </c>
      <c r="B139" s="1">
        <v>21.4</v>
      </c>
      <c r="C139" s="1" t="s">
        <v>113</v>
      </c>
      <c r="D139" s="1">
        <v>17550</v>
      </c>
      <c r="E139" s="1">
        <v>13620</v>
      </c>
      <c r="F139" s="1"/>
      <c r="G139" s="1"/>
      <c r="H139" s="1"/>
      <c r="I139" s="1" t="s">
        <v>13</v>
      </c>
      <c r="J139" s="1">
        <v>671</v>
      </c>
      <c r="K139" s="1"/>
      <c r="L139" s="1">
        <v>689</v>
      </c>
      <c r="M139" s="1">
        <v>0.437</v>
      </c>
      <c r="N139" s="1">
        <v>4.1260000000000003</v>
      </c>
      <c r="O139" s="1">
        <v>4.0010000000000003</v>
      </c>
      <c r="P139" s="9"/>
    </row>
    <row r="140" spans="1:16" x14ac:dyDescent="0.25">
      <c r="A140" s="6">
        <v>5</v>
      </c>
      <c r="B140" s="2">
        <v>21.4</v>
      </c>
      <c r="C140" s="2" t="s">
        <v>114</v>
      </c>
      <c r="D140" s="2">
        <v>19940</v>
      </c>
      <c r="E140" s="2">
        <v>16900</v>
      </c>
      <c r="F140" s="2"/>
      <c r="G140" s="2"/>
      <c r="H140" s="2"/>
      <c r="I140" s="2" t="s">
        <v>10</v>
      </c>
      <c r="J140" s="2">
        <v>662</v>
      </c>
      <c r="K140" s="2"/>
      <c r="L140" s="2">
        <v>783</v>
      </c>
      <c r="M140" s="2">
        <v>0.437</v>
      </c>
      <c r="N140" s="2">
        <v>4.1260000000000003</v>
      </c>
      <c r="O140" s="2">
        <v>4.0010000000000003</v>
      </c>
      <c r="P140" s="7"/>
    </row>
    <row r="141" spans="1:16" x14ac:dyDescent="0.25">
      <c r="A141" s="6">
        <v>5</v>
      </c>
      <c r="B141" s="2">
        <v>21.4</v>
      </c>
      <c r="C141" s="2" t="s">
        <v>114</v>
      </c>
      <c r="D141" s="2">
        <v>19940</v>
      </c>
      <c r="E141" s="2">
        <v>15480</v>
      </c>
      <c r="F141" s="2"/>
      <c r="G141" s="2"/>
      <c r="H141" s="2"/>
      <c r="I141" s="2" t="s">
        <v>13</v>
      </c>
      <c r="J141" s="2">
        <v>724</v>
      </c>
      <c r="K141" s="2"/>
      <c r="L141" s="2">
        <v>783</v>
      </c>
      <c r="M141" s="2">
        <v>0.437</v>
      </c>
      <c r="N141" s="2">
        <v>4.1260000000000003</v>
      </c>
      <c r="O141" s="2">
        <v>4.0010000000000003</v>
      </c>
      <c r="P141" s="7"/>
    </row>
    <row r="142" spans="1:16" x14ac:dyDescent="0.25">
      <c r="A142" s="8">
        <v>5</v>
      </c>
      <c r="B142" s="1">
        <v>23.2</v>
      </c>
      <c r="C142" s="1" t="s">
        <v>111</v>
      </c>
      <c r="D142" s="1">
        <v>13830</v>
      </c>
      <c r="E142" s="1">
        <v>10810</v>
      </c>
      <c r="F142" s="1"/>
      <c r="G142" s="1"/>
      <c r="H142" s="1"/>
      <c r="I142" s="1" t="s">
        <v>10</v>
      </c>
      <c r="J142" s="1">
        <v>513</v>
      </c>
      <c r="K142" s="1"/>
      <c r="L142" s="1">
        <v>543</v>
      </c>
      <c r="M142" s="1">
        <v>0.47799999999999998</v>
      </c>
      <c r="N142" s="1">
        <v>4.0439999999999996</v>
      </c>
      <c r="O142" s="1">
        <v>3.919</v>
      </c>
      <c r="P142" s="9"/>
    </row>
    <row r="143" spans="1:16" x14ac:dyDescent="0.25">
      <c r="A143" s="8">
        <v>5</v>
      </c>
      <c r="B143" s="1">
        <v>23.2</v>
      </c>
      <c r="C143" s="1" t="s">
        <v>111</v>
      </c>
      <c r="D143" s="1">
        <v>13830</v>
      </c>
      <c r="E143" s="1">
        <v>9910</v>
      </c>
      <c r="F143" s="1"/>
      <c r="G143" s="1"/>
      <c r="H143" s="1"/>
      <c r="I143" s="1" t="s">
        <v>13</v>
      </c>
      <c r="J143" s="1">
        <v>510</v>
      </c>
      <c r="K143" s="1"/>
      <c r="L143" s="1">
        <v>543</v>
      </c>
      <c r="M143" s="1">
        <v>0.47799999999999998</v>
      </c>
      <c r="N143" s="1">
        <v>4.0439999999999996</v>
      </c>
      <c r="O143" s="1">
        <v>3.919</v>
      </c>
      <c r="P143" s="9"/>
    </row>
    <row r="144" spans="1:16" x14ac:dyDescent="0.25">
      <c r="A144" s="6">
        <v>5</v>
      </c>
      <c r="B144" s="2">
        <v>23.2</v>
      </c>
      <c r="C144" s="2" t="s">
        <v>88</v>
      </c>
      <c r="D144" s="2">
        <v>15820</v>
      </c>
      <c r="E144" s="2">
        <v>10810</v>
      </c>
      <c r="F144" s="2"/>
      <c r="G144" s="2"/>
      <c r="H144" s="2"/>
      <c r="I144" s="2" t="s">
        <v>10</v>
      </c>
      <c r="J144" s="2">
        <v>540</v>
      </c>
      <c r="K144" s="2"/>
      <c r="L144" s="2">
        <v>543</v>
      </c>
      <c r="M144" s="2">
        <v>0.47799999999999998</v>
      </c>
      <c r="N144" s="2">
        <v>4.0439999999999996</v>
      </c>
      <c r="O144" s="2">
        <v>3.919</v>
      </c>
      <c r="P144" s="7"/>
    </row>
    <row r="145" spans="1:16" x14ac:dyDescent="0.25">
      <c r="A145" s="6">
        <v>5</v>
      </c>
      <c r="B145" s="2">
        <v>23.2</v>
      </c>
      <c r="C145" s="2" t="s">
        <v>88</v>
      </c>
      <c r="D145" s="2">
        <v>15820</v>
      </c>
      <c r="E145" s="2">
        <v>9910</v>
      </c>
      <c r="F145" s="2"/>
      <c r="G145" s="2"/>
      <c r="H145" s="2"/>
      <c r="I145" s="2" t="s">
        <v>13</v>
      </c>
      <c r="J145" s="2">
        <v>516</v>
      </c>
      <c r="K145" s="2"/>
      <c r="L145" s="2">
        <v>543</v>
      </c>
      <c r="M145" s="2">
        <v>0.47799999999999998</v>
      </c>
      <c r="N145" s="2">
        <v>4.0439999999999996</v>
      </c>
      <c r="O145" s="2">
        <v>3.919</v>
      </c>
      <c r="P145" s="7"/>
    </row>
    <row r="146" spans="1:16" x14ac:dyDescent="0.25">
      <c r="A146" s="8">
        <v>5</v>
      </c>
      <c r="B146" s="1">
        <v>23.2</v>
      </c>
      <c r="C146" s="1" t="s">
        <v>112</v>
      </c>
      <c r="D146" s="1">
        <v>13830</v>
      </c>
      <c r="E146" s="1">
        <v>10810</v>
      </c>
      <c r="F146" s="1"/>
      <c r="G146" s="1"/>
      <c r="H146" s="1"/>
      <c r="I146" s="1" t="s">
        <v>10</v>
      </c>
      <c r="J146" s="1">
        <v>540</v>
      </c>
      <c r="K146" s="1"/>
      <c r="L146" s="1">
        <v>543</v>
      </c>
      <c r="M146" s="1">
        <v>0.47799999999999998</v>
      </c>
      <c r="N146" s="1">
        <v>4.0439999999999996</v>
      </c>
      <c r="O146" s="1">
        <v>3.919</v>
      </c>
      <c r="P146" s="9"/>
    </row>
    <row r="147" spans="1:16" x14ac:dyDescent="0.25">
      <c r="A147" s="8">
        <v>5</v>
      </c>
      <c r="B147" s="1">
        <v>23.2</v>
      </c>
      <c r="C147" s="1" t="s">
        <v>112</v>
      </c>
      <c r="D147" s="1">
        <v>13830</v>
      </c>
      <c r="E147" s="1">
        <v>9910</v>
      </c>
      <c r="F147" s="1"/>
      <c r="G147" s="1"/>
      <c r="H147" s="1"/>
      <c r="I147" s="1" t="s">
        <v>13</v>
      </c>
      <c r="J147" s="1">
        <v>537</v>
      </c>
      <c r="K147" s="1"/>
      <c r="L147" s="1">
        <v>543</v>
      </c>
      <c r="M147" s="1">
        <v>0.47799999999999998</v>
      </c>
      <c r="N147" s="1">
        <v>4.0439999999999996</v>
      </c>
      <c r="O147" s="1">
        <v>3.919</v>
      </c>
      <c r="P147" s="9"/>
    </row>
    <row r="148" spans="1:16" x14ac:dyDescent="0.25">
      <c r="A148" s="6">
        <v>5</v>
      </c>
      <c r="B148" s="2">
        <v>23.2</v>
      </c>
      <c r="C148" s="2" t="s">
        <v>93</v>
      </c>
      <c r="D148" s="2">
        <v>15820</v>
      </c>
      <c r="E148" s="2">
        <v>10810</v>
      </c>
      <c r="F148" s="2"/>
      <c r="G148" s="2"/>
      <c r="H148" s="2"/>
      <c r="I148" s="2" t="s">
        <v>10</v>
      </c>
      <c r="J148" s="2">
        <v>540</v>
      </c>
      <c r="K148" s="2"/>
      <c r="L148" s="2">
        <v>543</v>
      </c>
      <c r="M148" s="2">
        <v>0.47799999999999998</v>
      </c>
      <c r="N148" s="2">
        <v>4.0439999999999996</v>
      </c>
      <c r="O148" s="2">
        <v>3.919</v>
      </c>
      <c r="P148" s="7"/>
    </row>
    <row r="149" spans="1:16" x14ac:dyDescent="0.25">
      <c r="A149" s="6">
        <v>5</v>
      </c>
      <c r="B149" s="2">
        <v>23.2</v>
      </c>
      <c r="C149" s="2" t="s">
        <v>93</v>
      </c>
      <c r="D149" s="2">
        <v>15820</v>
      </c>
      <c r="E149" s="2">
        <v>9910</v>
      </c>
      <c r="F149" s="2"/>
      <c r="G149" s="2"/>
      <c r="H149" s="2"/>
      <c r="I149" s="2" t="s">
        <v>13</v>
      </c>
      <c r="J149" s="2">
        <v>537</v>
      </c>
      <c r="K149" s="2"/>
      <c r="L149" s="2">
        <v>543</v>
      </c>
      <c r="M149" s="2">
        <v>0.47799999999999998</v>
      </c>
      <c r="N149" s="2">
        <v>4.0439999999999996</v>
      </c>
      <c r="O149" s="2">
        <v>3.919</v>
      </c>
      <c r="P149" s="7"/>
    </row>
    <row r="150" spans="1:16" x14ac:dyDescent="0.25">
      <c r="A150" s="8">
        <v>5</v>
      </c>
      <c r="B150" s="1">
        <v>23.2</v>
      </c>
      <c r="C150" s="1" t="s">
        <v>68</v>
      </c>
      <c r="D150" s="1">
        <v>15560</v>
      </c>
      <c r="E150" s="1">
        <v>12170</v>
      </c>
      <c r="F150" s="1"/>
      <c r="G150" s="1"/>
      <c r="H150" s="1"/>
      <c r="I150" s="1" t="s">
        <v>10</v>
      </c>
      <c r="J150" s="1">
        <v>540</v>
      </c>
      <c r="K150" s="1"/>
      <c r="L150" s="1">
        <v>611</v>
      </c>
      <c r="M150" s="1">
        <v>0.47799999999999998</v>
      </c>
      <c r="N150" s="1">
        <v>4.0439999999999996</v>
      </c>
      <c r="O150" s="1">
        <v>3.919</v>
      </c>
      <c r="P150" s="9"/>
    </row>
    <row r="151" spans="1:16" x14ac:dyDescent="0.25">
      <c r="A151" s="8">
        <v>5</v>
      </c>
      <c r="B151" s="1">
        <v>23.2</v>
      </c>
      <c r="C151" s="1" t="s">
        <v>68</v>
      </c>
      <c r="D151" s="1">
        <v>15560</v>
      </c>
      <c r="E151" s="1">
        <v>11150</v>
      </c>
      <c r="F151" s="1"/>
      <c r="G151" s="1"/>
      <c r="H151" s="1"/>
      <c r="I151" s="1" t="s">
        <v>13</v>
      </c>
      <c r="J151" s="1">
        <v>537</v>
      </c>
      <c r="K151" s="1"/>
      <c r="L151" s="1">
        <v>611</v>
      </c>
      <c r="M151" s="1">
        <v>0.47799999999999998</v>
      </c>
      <c r="N151" s="1">
        <v>4.0439999999999996</v>
      </c>
      <c r="O151" s="1">
        <v>3.919</v>
      </c>
      <c r="P151" s="9"/>
    </row>
    <row r="152" spans="1:16" x14ac:dyDescent="0.25">
      <c r="A152" s="6">
        <v>5</v>
      </c>
      <c r="B152" s="2">
        <v>23.2</v>
      </c>
      <c r="C152" s="2" t="s">
        <v>115</v>
      </c>
      <c r="D152" s="2">
        <v>16430</v>
      </c>
      <c r="E152" s="2">
        <v>12840</v>
      </c>
      <c r="F152" s="2"/>
      <c r="G152" s="2"/>
      <c r="H152" s="2"/>
      <c r="I152" s="2" t="s">
        <v>10</v>
      </c>
      <c r="J152" s="2">
        <v>594</v>
      </c>
      <c r="K152" s="2"/>
      <c r="L152" s="2">
        <v>645</v>
      </c>
      <c r="M152" s="2">
        <v>0.47799999999999998</v>
      </c>
      <c r="N152" s="2">
        <v>4.0439999999999996</v>
      </c>
      <c r="O152" s="2">
        <v>3.919</v>
      </c>
      <c r="P152" s="7"/>
    </row>
    <row r="153" spans="1:16" x14ac:dyDescent="0.25">
      <c r="A153" s="6">
        <v>5</v>
      </c>
      <c r="B153" s="2">
        <v>23.2</v>
      </c>
      <c r="C153" s="2" t="s">
        <v>115</v>
      </c>
      <c r="D153" s="2">
        <v>16430</v>
      </c>
      <c r="E153" s="2">
        <v>11770</v>
      </c>
      <c r="F153" s="2"/>
      <c r="G153" s="2"/>
      <c r="H153" s="2"/>
      <c r="I153" s="2" t="s">
        <v>13</v>
      </c>
      <c r="J153" s="2">
        <v>590</v>
      </c>
      <c r="K153" s="2"/>
      <c r="L153" s="2">
        <v>645</v>
      </c>
      <c r="M153" s="2">
        <v>0.47799999999999998</v>
      </c>
      <c r="N153" s="2">
        <v>4.0439999999999996</v>
      </c>
      <c r="O153" s="2">
        <v>3.919</v>
      </c>
      <c r="P153" s="7"/>
    </row>
    <row r="154" spans="1:16" x14ac:dyDescent="0.25">
      <c r="A154" s="8">
        <v>5</v>
      </c>
      <c r="B154" s="1">
        <v>23.2</v>
      </c>
      <c r="C154" s="1" t="s">
        <v>116</v>
      </c>
      <c r="D154" s="1">
        <v>16430</v>
      </c>
      <c r="E154" s="1">
        <v>12840</v>
      </c>
      <c r="F154" s="1"/>
      <c r="G154" s="1"/>
      <c r="H154" s="1"/>
      <c r="I154" s="1" t="s">
        <v>10</v>
      </c>
      <c r="J154" s="1">
        <v>567</v>
      </c>
      <c r="K154" s="1"/>
      <c r="L154" s="1">
        <v>645</v>
      </c>
      <c r="M154" s="1">
        <v>0.47799999999999998</v>
      </c>
      <c r="N154" s="1">
        <v>4.0439999999999996</v>
      </c>
      <c r="O154" s="1">
        <v>3.919</v>
      </c>
      <c r="P154" s="9"/>
    </row>
    <row r="155" spans="1:16" x14ac:dyDescent="0.25">
      <c r="A155" s="8">
        <v>5</v>
      </c>
      <c r="B155" s="1">
        <v>23.2</v>
      </c>
      <c r="C155" s="1" t="s">
        <v>116</v>
      </c>
      <c r="D155" s="1">
        <v>16430</v>
      </c>
      <c r="E155" s="1">
        <v>11770</v>
      </c>
      <c r="F155" s="1"/>
      <c r="G155" s="1"/>
      <c r="H155" s="1"/>
      <c r="I155" s="1" t="s">
        <v>13</v>
      </c>
      <c r="J155" s="1">
        <v>563</v>
      </c>
      <c r="K155" s="1"/>
      <c r="L155" s="1">
        <v>645</v>
      </c>
      <c r="M155" s="1">
        <v>0.47799999999999998</v>
      </c>
      <c r="N155" s="1">
        <v>4.0439999999999996</v>
      </c>
      <c r="O155" s="1">
        <v>3.919</v>
      </c>
      <c r="P155" s="9"/>
    </row>
    <row r="156" spans="1:16" x14ac:dyDescent="0.25">
      <c r="A156" s="6">
        <v>5</v>
      </c>
      <c r="B156" s="2">
        <v>23.2</v>
      </c>
      <c r="C156" s="2" t="s">
        <v>74</v>
      </c>
      <c r="D156" s="2">
        <v>16430</v>
      </c>
      <c r="E156" s="2">
        <v>12840</v>
      </c>
      <c r="F156" s="2"/>
      <c r="G156" s="2"/>
      <c r="H156" s="2"/>
      <c r="I156" s="2" t="s">
        <v>10</v>
      </c>
      <c r="J156" s="2">
        <v>567</v>
      </c>
      <c r="K156" s="2"/>
      <c r="L156" s="2">
        <v>645</v>
      </c>
      <c r="M156" s="2">
        <v>0.47799999999999998</v>
      </c>
      <c r="N156" s="2">
        <v>4.0439999999999996</v>
      </c>
      <c r="O156" s="2">
        <v>3.919</v>
      </c>
      <c r="P156" s="7"/>
    </row>
    <row r="157" spans="1:16" x14ac:dyDescent="0.25">
      <c r="A157" s="6">
        <v>5</v>
      </c>
      <c r="B157" s="2">
        <v>23.2</v>
      </c>
      <c r="C157" s="2" t="s">
        <v>74</v>
      </c>
      <c r="D157" s="2">
        <v>16430</v>
      </c>
      <c r="E157" s="2">
        <v>11770</v>
      </c>
      <c r="F157" s="2"/>
      <c r="G157" s="2"/>
      <c r="H157" s="2"/>
      <c r="I157" s="2" t="s">
        <v>13</v>
      </c>
      <c r="J157" s="2">
        <v>563</v>
      </c>
      <c r="K157" s="2"/>
      <c r="L157" s="2">
        <v>645</v>
      </c>
      <c r="M157" s="2">
        <v>0.47799999999999998</v>
      </c>
      <c r="N157" s="2">
        <v>4.0439999999999996</v>
      </c>
      <c r="O157" s="2">
        <v>3.919</v>
      </c>
      <c r="P157" s="7"/>
    </row>
    <row r="158" spans="1:16" x14ac:dyDescent="0.25">
      <c r="A158" s="8">
        <v>5</v>
      </c>
      <c r="B158" s="1">
        <v>23.2</v>
      </c>
      <c r="C158" s="1" t="s">
        <v>113</v>
      </c>
      <c r="D158" s="1">
        <v>19020</v>
      </c>
      <c r="E158" s="1">
        <v>14780</v>
      </c>
      <c r="F158" s="1"/>
      <c r="G158" s="1"/>
      <c r="H158" s="1"/>
      <c r="I158" s="1" t="s">
        <v>10</v>
      </c>
      <c r="J158" s="1">
        <v>675</v>
      </c>
      <c r="K158" s="1"/>
      <c r="L158" s="1">
        <v>747</v>
      </c>
      <c r="M158" s="1">
        <v>0.47799999999999998</v>
      </c>
      <c r="N158" s="1">
        <v>4.0439999999999996</v>
      </c>
      <c r="O158" s="1">
        <v>3.919</v>
      </c>
      <c r="P158" s="9"/>
    </row>
    <row r="159" spans="1:16" x14ac:dyDescent="0.25">
      <c r="A159" s="8">
        <v>5</v>
      </c>
      <c r="B159" s="1">
        <v>23.2</v>
      </c>
      <c r="C159" s="1" t="s">
        <v>113</v>
      </c>
      <c r="D159" s="1">
        <v>19020</v>
      </c>
      <c r="E159" s="1">
        <v>13626</v>
      </c>
      <c r="F159" s="1"/>
      <c r="G159" s="1"/>
      <c r="H159" s="1"/>
      <c r="I159" s="1" t="s">
        <v>13</v>
      </c>
      <c r="J159" s="1">
        <v>671</v>
      </c>
      <c r="K159" s="1"/>
      <c r="L159" s="1">
        <v>747</v>
      </c>
      <c r="M159" s="1">
        <v>0.47799999999999998</v>
      </c>
      <c r="N159" s="1">
        <v>4.0439999999999996</v>
      </c>
      <c r="O159" s="1">
        <v>3.919</v>
      </c>
      <c r="P159" s="9"/>
    </row>
    <row r="160" spans="1:16" x14ac:dyDescent="0.25">
      <c r="A160" s="6">
        <v>5</v>
      </c>
      <c r="B160" s="2">
        <v>23.2</v>
      </c>
      <c r="C160" s="2" t="s">
        <v>114</v>
      </c>
      <c r="D160" s="2">
        <v>21620</v>
      </c>
      <c r="E160" s="2">
        <v>16900</v>
      </c>
      <c r="F160" s="2"/>
      <c r="G160" s="2"/>
      <c r="H160" s="2"/>
      <c r="I160" s="2" t="s">
        <v>10</v>
      </c>
      <c r="J160" s="2">
        <v>729</v>
      </c>
      <c r="K160" s="2"/>
      <c r="L160" s="2">
        <v>849</v>
      </c>
      <c r="M160" s="2">
        <v>0.47799999999999998</v>
      </c>
      <c r="N160" s="2">
        <v>4.0439999999999996</v>
      </c>
      <c r="O160" s="2">
        <v>3.919</v>
      </c>
      <c r="P160" s="7"/>
    </row>
    <row r="161" spans="1:16" x14ac:dyDescent="0.25">
      <c r="A161" s="6">
        <v>5</v>
      </c>
      <c r="B161" s="2">
        <v>23.2</v>
      </c>
      <c r="C161" s="2" t="s">
        <v>114</v>
      </c>
      <c r="D161" s="2">
        <v>21620</v>
      </c>
      <c r="E161" s="2">
        <v>15480</v>
      </c>
      <c r="F161" s="2"/>
      <c r="G161" s="2"/>
      <c r="H161" s="2"/>
      <c r="I161" s="2" t="s">
        <v>13</v>
      </c>
      <c r="J161" s="2">
        <v>724</v>
      </c>
      <c r="K161" s="2"/>
      <c r="L161" s="2">
        <v>849</v>
      </c>
      <c r="M161" s="2">
        <v>0.47799999999999998</v>
      </c>
      <c r="N161" s="2">
        <v>4.0439999999999996</v>
      </c>
      <c r="O161" s="2">
        <v>3.919</v>
      </c>
      <c r="P161" s="7"/>
    </row>
    <row r="162" spans="1:16" x14ac:dyDescent="0.25">
      <c r="A162" s="8">
        <v>5</v>
      </c>
      <c r="B162" s="1">
        <v>24.1</v>
      </c>
      <c r="C162" s="1" t="s">
        <v>111</v>
      </c>
      <c r="D162" s="1">
        <v>14400</v>
      </c>
      <c r="E162" s="1">
        <v>10810</v>
      </c>
      <c r="F162" s="1"/>
      <c r="G162" s="1"/>
      <c r="H162" s="1"/>
      <c r="I162" s="1" t="s">
        <v>10</v>
      </c>
      <c r="J162" s="1">
        <v>538</v>
      </c>
      <c r="K162" s="1"/>
      <c r="L162" s="1">
        <v>566</v>
      </c>
      <c r="M162" s="1">
        <v>0.5</v>
      </c>
      <c r="N162" s="1">
        <v>4</v>
      </c>
      <c r="O162" s="1">
        <v>3.875</v>
      </c>
      <c r="P162" s="9"/>
    </row>
    <row r="163" spans="1:16" x14ac:dyDescent="0.25">
      <c r="A163" s="8">
        <v>5</v>
      </c>
      <c r="B163" s="1">
        <v>24.1</v>
      </c>
      <c r="C163" s="1" t="s">
        <v>111</v>
      </c>
      <c r="D163" s="1">
        <v>14400</v>
      </c>
      <c r="E163" s="1">
        <v>9910</v>
      </c>
      <c r="F163" s="1"/>
      <c r="G163" s="1"/>
      <c r="H163" s="1"/>
      <c r="I163" s="1" t="s">
        <v>13</v>
      </c>
      <c r="J163" s="1">
        <v>510</v>
      </c>
      <c r="K163" s="1"/>
      <c r="L163" s="1">
        <v>566</v>
      </c>
      <c r="M163" s="1">
        <v>0.5</v>
      </c>
      <c r="N163" s="1">
        <v>4</v>
      </c>
      <c r="O163" s="1">
        <v>3.875</v>
      </c>
      <c r="P163" s="9"/>
    </row>
    <row r="164" spans="1:16" x14ac:dyDescent="0.25">
      <c r="A164" s="6">
        <v>5</v>
      </c>
      <c r="B164" s="2">
        <v>24.1</v>
      </c>
      <c r="C164" s="2" t="s">
        <v>112</v>
      </c>
      <c r="D164" s="2">
        <v>14400</v>
      </c>
      <c r="E164" s="2">
        <v>10810</v>
      </c>
      <c r="F164" s="2"/>
      <c r="G164" s="2"/>
      <c r="H164" s="2"/>
      <c r="I164" s="2" t="s">
        <v>10</v>
      </c>
      <c r="J164" s="2">
        <v>558</v>
      </c>
      <c r="K164" s="2"/>
      <c r="L164" s="2">
        <v>566</v>
      </c>
      <c r="M164" s="2">
        <v>0.5</v>
      </c>
      <c r="N164" s="2">
        <v>4</v>
      </c>
      <c r="O164" s="2">
        <v>3.875</v>
      </c>
      <c r="P164" s="7"/>
    </row>
    <row r="165" spans="1:16" x14ac:dyDescent="0.25">
      <c r="A165" s="6">
        <v>5</v>
      </c>
      <c r="B165" s="2">
        <v>24.1</v>
      </c>
      <c r="C165" s="2" t="s">
        <v>112</v>
      </c>
      <c r="D165" s="2">
        <v>14400</v>
      </c>
      <c r="E165" s="2">
        <v>9910</v>
      </c>
      <c r="F165" s="2"/>
      <c r="G165" s="2"/>
      <c r="H165" s="2"/>
      <c r="I165" s="2" t="s">
        <v>13</v>
      </c>
      <c r="J165" s="2">
        <v>537</v>
      </c>
      <c r="K165" s="2"/>
      <c r="L165" s="2">
        <v>566</v>
      </c>
      <c r="M165" s="2">
        <v>0.5</v>
      </c>
      <c r="N165" s="2">
        <v>4</v>
      </c>
      <c r="O165" s="2">
        <v>3.875</v>
      </c>
      <c r="P165" s="7"/>
    </row>
    <row r="166" spans="1:16" x14ac:dyDescent="0.25">
      <c r="A166" s="8">
        <v>5</v>
      </c>
      <c r="B166" s="1">
        <v>24.1</v>
      </c>
      <c r="C166" s="1" t="s">
        <v>68</v>
      </c>
      <c r="D166" s="1">
        <v>16200</v>
      </c>
      <c r="E166" s="1">
        <v>12170</v>
      </c>
      <c r="F166" s="1"/>
      <c r="G166" s="1"/>
      <c r="H166" s="1"/>
      <c r="I166" s="1" t="s">
        <v>10</v>
      </c>
      <c r="J166" s="1">
        <v>567</v>
      </c>
      <c r="K166" s="1"/>
      <c r="L166" s="1">
        <v>636</v>
      </c>
      <c r="M166" s="1">
        <v>0.5</v>
      </c>
      <c r="N166" s="1">
        <v>4</v>
      </c>
      <c r="O166" s="1">
        <v>3.875</v>
      </c>
      <c r="P166" s="9"/>
    </row>
    <row r="167" spans="1:16" x14ac:dyDescent="0.25">
      <c r="A167" s="8">
        <v>5</v>
      </c>
      <c r="B167" s="1">
        <v>24.1</v>
      </c>
      <c r="C167" s="1" t="s">
        <v>68</v>
      </c>
      <c r="D167" s="1">
        <v>16200</v>
      </c>
      <c r="E167" s="1">
        <v>11150</v>
      </c>
      <c r="F167" s="1"/>
      <c r="G167" s="1"/>
      <c r="H167" s="1"/>
      <c r="I167" s="1" t="s">
        <v>13</v>
      </c>
      <c r="J167" s="1">
        <v>537</v>
      </c>
      <c r="K167" s="1"/>
      <c r="L167" s="1">
        <v>636</v>
      </c>
      <c r="M167" s="1">
        <v>0.5</v>
      </c>
      <c r="N167" s="1">
        <v>4</v>
      </c>
      <c r="O167" s="1">
        <v>3.875</v>
      </c>
      <c r="P167" s="9"/>
    </row>
    <row r="168" spans="1:16" x14ac:dyDescent="0.25">
      <c r="A168" s="6">
        <v>5</v>
      </c>
      <c r="B168" s="2">
        <v>24.1</v>
      </c>
      <c r="C168" s="2" t="s">
        <v>116</v>
      </c>
      <c r="D168" s="2">
        <v>17100</v>
      </c>
      <c r="E168" s="2">
        <v>12840</v>
      </c>
      <c r="F168" s="2"/>
      <c r="G168" s="2"/>
      <c r="H168" s="2"/>
      <c r="I168" s="2" t="s">
        <v>10</v>
      </c>
      <c r="J168" s="2">
        <v>595</v>
      </c>
      <c r="K168" s="2"/>
      <c r="L168" s="2">
        <v>672</v>
      </c>
      <c r="M168" s="2">
        <v>0.5</v>
      </c>
      <c r="N168" s="2">
        <v>4</v>
      </c>
      <c r="O168" s="2">
        <v>3.875</v>
      </c>
      <c r="P168" s="7"/>
    </row>
    <row r="169" spans="1:16" x14ac:dyDescent="0.25">
      <c r="A169" s="6">
        <v>5</v>
      </c>
      <c r="B169" s="2">
        <v>24.1</v>
      </c>
      <c r="C169" s="2" t="s">
        <v>116</v>
      </c>
      <c r="D169" s="2">
        <v>17100</v>
      </c>
      <c r="E169" s="2">
        <v>11770</v>
      </c>
      <c r="F169" s="2"/>
      <c r="G169" s="2"/>
      <c r="H169" s="2"/>
      <c r="I169" s="2" t="s">
        <v>13</v>
      </c>
      <c r="J169" s="2">
        <v>563</v>
      </c>
      <c r="K169" s="2"/>
      <c r="L169" s="2">
        <v>672</v>
      </c>
      <c r="M169" s="2">
        <v>0.5</v>
      </c>
      <c r="N169" s="2">
        <v>4</v>
      </c>
      <c r="O169" s="2">
        <v>3.875</v>
      </c>
      <c r="P169" s="7"/>
    </row>
    <row r="170" spans="1:16" x14ac:dyDescent="0.25">
      <c r="A170" s="8">
        <v>5</v>
      </c>
      <c r="B170" s="1">
        <v>24.1</v>
      </c>
      <c r="C170" s="1" t="s">
        <v>74</v>
      </c>
      <c r="D170" s="1">
        <v>17100</v>
      </c>
      <c r="E170" s="1">
        <v>12840</v>
      </c>
      <c r="F170" s="1"/>
      <c r="G170" s="1"/>
      <c r="H170" s="1"/>
      <c r="I170" s="1" t="s">
        <v>10</v>
      </c>
      <c r="J170" s="1">
        <v>595</v>
      </c>
      <c r="K170" s="1"/>
      <c r="L170" s="1">
        <v>672</v>
      </c>
      <c r="M170" s="1">
        <v>0.5</v>
      </c>
      <c r="N170" s="1">
        <v>4</v>
      </c>
      <c r="O170" s="1">
        <v>3.875</v>
      </c>
      <c r="P170" s="9"/>
    </row>
    <row r="171" spans="1:16" x14ac:dyDescent="0.25">
      <c r="A171" s="8">
        <v>5</v>
      </c>
      <c r="B171" s="1">
        <v>24.1</v>
      </c>
      <c r="C171" s="1" t="s">
        <v>74</v>
      </c>
      <c r="D171" s="1">
        <v>17100</v>
      </c>
      <c r="E171" s="1">
        <v>11770</v>
      </c>
      <c r="F171" s="1"/>
      <c r="G171" s="1"/>
      <c r="H171" s="1"/>
      <c r="I171" s="1" t="s">
        <v>13</v>
      </c>
      <c r="J171" s="1">
        <v>563</v>
      </c>
      <c r="K171" s="1"/>
      <c r="L171" s="1">
        <v>672</v>
      </c>
      <c r="M171" s="1">
        <v>0.5</v>
      </c>
      <c r="N171" s="1">
        <v>4</v>
      </c>
      <c r="O171" s="1">
        <v>3.875</v>
      </c>
      <c r="P171" s="9"/>
    </row>
    <row r="172" spans="1:16" x14ac:dyDescent="0.25">
      <c r="A172" s="6">
        <v>5</v>
      </c>
      <c r="B172" s="2">
        <v>24.1</v>
      </c>
      <c r="C172" s="2" t="s">
        <v>113</v>
      </c>
      <c r="D172" s="2">
        <v>19800</v>
      </c>
      <c r="E172" s="2">
        <v>14870</v>
      </c>
      <c r="F172" s="2"/>
      <c r="G172" s="2"/>
      <c r="H172" s="2"/>
      <c r="I172" s="2" t="s">
        <v>10</v>
      </c>
      <c r="J172" s="2">
        <v>708</v>
      </c>
      <c r="K172" s="2"/>
      <c r="L172" s="2">
        <v>778</v>
      </c>
      <c r="M172" s="2">
        <v>0.5</v>
      </c>
      <c r="N172" s="2">
        <v>4</v>
      </c>
      <c r="O172" s="2">
        <v>3.875</v>
      </c>
      <c r="P172" s="7"/>
    </row>
    <row r="173" spans="1:16" x14ac:dyDescent="0.25">
      <c r="A173" s="6">
        <v>5</v>
      </c>
      <c r="B173" s="2">
        <v>24.1</v>
      </c>
      <c r="C173" s="2" t="s">
        <v>113</v>
      </c>
      <c r="D173" s="2">
        <v>19800</v>
      </c>
      <c r="E173" s="2">
        <v>13620</v>
      </c>
      <c r="F173" s="2"/>
      <c r="G173" s="2"/>
      <c r="H173" s="2"/>
      <c r="I173" s="2" t="s">
        <v>13</v>
      </c>
      <c r="J173" s="2">
        <v>671</v>
      </c>
      <c r="K173" s="2"/>
      <c r="L173" s="2">
        <v>778</v>
      </c>
      <c r="M173" s="2">
        <v>0.5</v>
      </c>
      <c r="N173" s="2">
        <v>4</v>
      </c>
      <c r="O173" s="2">
        <v>3.875</v>
      </c>
      <c r="P173" s="7"/>
    </row>
    <row r="174" spans="1:16" x14ac:dyDescent="0.25">
      <c r="A174" s="8">
        <v>5</v>
      </c>
      <c r="B174" s="1">
        <v>24.1</v>
      </c>
      <c r="C174" s="1" t="s">
        <v>114</v>
      </c>
      <c r="D174" s="1">
        <v>22500</v>
      </c>
      <c r="E174" s="1">
        <v>16900</v>
      </c>
      <c r="F174" s="1"/>
      <c r="G174" s="1"/>
      <c r="H174" s="1"/>
      <c r="I174" s="1" t="s">
        <v>10</v>
      </c>
      <c r="J174" s="1">
        <v>765</v>
      </c>
      <c r="K174" s="1"/>
      <c r="L174" s="1">
        <v>884</v>
      </c>
      <c r="M174" s="1">
        <v>0.5</v>
      </c>
      <c r="N174" s="1">
        <v>4</v>
      </c>
      <c r="O174" s="1">
        <v>3.875</v>
      </c>
      <c r="P174" s="9"/>
    </row>
    <row r="175" spans="1:16" x14ac:dyDescent="0.25">
      <c r="A175" s="8">
        <v>5</v>
      </c>
      <c r="B175" s="1">
        <v>24.1</v>
      </c>
      <c r="C175" s="1" t="s">
        <v>114</v>
      </c>
      <c r="D175" s="1">
        <v>22500</v>
      </c>
      <c r="E175" s="1">
        <v>15480</v>
      </c>
      <c r="F175" s="1"/>
      <c r="G175" s="1"/>
      <c r="H175" s="1"/>
      <c r="I175" s="1" t="s">
        <v>13</v>
      </c>
      <c r="J175" s="1">
        <v>724</v>
      </c>
      <c r="K175" s="1"/>
      <c r="L175" s="1">
        <v>884</v>
      </c>
      <c r="M175" s="1">
        <v>0.5</v>
      </c>
      <c r="N175" s="1">
        <v>4</v>
      </c>
      <c r="O175" s="1">
        <v>3.875</v>
      </c>
      <c r="P175" s="9"/>
    </row>
    <row r="176" spans="1:16" ht="15.75" customHeight="1" thickBot="1" x14ac:dyDescent="0.3">
      <c r="A176" s="13">
        <v>5</v>
      </c>
      <c r="B176" s="14">
        <v>24.1</v>
      </c>
      <c r="C176" s="14" t="s">
        <v>117</v>
      </c>
      <c r="D176" s="14">
        <v>27000</v>
      </c>
      <c r="E176" s="14">
        <v>20280</v>
      </c>
      <c r="F176" s="14"/>
      <c r="G176" s="14"/>
      <c r="H176" s="14"/>
      <c r="I176" s="14" t="s">
        <v>10</v>
      </c>
      <c r="J176" s="14">
        <v>907</v>
      </c>
      <c r="K176" s="14"/>
      <c r="L176" s="14">
        <v>1060</v>
      </c>
      <c r="M176" s="14">
        <v>0.5</v>
      </c>
      <c r="N176" s="14">
        <v>4</v>
      </c>
      <c r="O176" s="14">
        <v>3.875</v>
      </c>
      <c r="P176" s="15"/>
    </row>
    <row r="177" spans="1:16" ht="15.75" customHeight="1" thickBot="1" x14ac:dyDescent="0.3">
      <c r="A177" s="13">
        <v>5</v>
      </c>
      <c r="B177" s="14">
        <v>24.1</v>
      </c>
      <c r="C177" s="14" t="s">
        <v>117</v>
      </c>
      <c r="D177" s="14">
        <v>27000</v>
      </c>
      <c r="E177" s="14">
        <v>18580</v>
      </c>
      <c r="F177" s="14"/>
      <c r="G177" s="14"/>
      <c r="H177" s="14"/>
      <c r="I177" s="14" t="s">
        <v>13</v>
      </c>
      <c r="J177" s="14">
        <v>858</v>
      </c>
      <c r="K177" s="14"/>
      <c r="L177" s="14">
        <v>1060</v>
      </c>
      <c r="M177" s="14">
        <v>0.5</v>
      </c>
      <c r="N177" s="14">
        <v>4</v>
      </c>
      <c r="O177" s="14">
        <v>3.875</v>
      </c>
      <c r="P177" s="15"/>
    </row>
    <row r="178" spans="1:16" ht="15.75" customHeight="1" thickBot="1" x14ac:dyDescent="0.3">
      <c r="A178" s="3">
        <v>5.5</v>
      </c>
      <c r="B178" s="4">
        <v>15.5</v>
      </c>
      <c r="C178" s="4" t="s">
        <v>66</v>
      </c>
      <c r="D178" s="4">
        <v>4040</v>
      </c>
      <c r="E178" s="4">
        <v>4810</v>
      </c>
      <c r="F178" s="4"/>
      <c r="G178" s="4"/>
      <c r="H178" s="4"/>
      <c r="I178" s="4" t="s">
        <v>8</v>
      </c>
      <c r="J178" s="4">
        <v>202</v>
      </c>
      <c r="K178" s="4"/>
      <c r="L178" s="4">
        <v>248</v>
      </c>
      <c r="M178" s="4">
        <v>0.27500000000000002</v>
      </c>
      <c r="N178" s="4">
        <v>4.95</v>
      </c>
      <c r="O178" s="4">
        <v>4.8250000000000002</v>
      </c>
      <c r="P178" s="5"/>
    </row>
    <row r="179" spans="1:16" ht="15.75" customHeight="1" thickBot="1" x14ac:dyDescent="0.3">
      <c r="A179" s="3">
        <v>5.5</v>
      </c>
      <c r="B179" s="4">
        <v>15.5</v>
      </c>
      <c r="C179" s="4" t="s">
        <v>66</v>
      </c>
      <c r="D179" s="4">
        <v>4040</v>
      </c>
      <c r="E179" s="4">
        <v>4810</v>
      </c>
      <c r="F179" s="4"/>
      <c r="G179" s="4"/>
      <c r="H179" s="4"/>
      <c r="I179" s="4" t="s">
        <v>10</v>
      </c>
      <c r="J179" s="4">
        <v>217</v>
      </c>
      <c r="K179" s="4"/>
      <c r="L179" s="4">
        <v>248</v>
      </c>
      <c r="M179" s="4">
        <v>0.27500000000000002</v>
      </c>
      <c r="N179" s="4">
        <v>4.95</v>
      </c>
      <c r="O179" s="4">
        <v>4.8250000000000002</v>
      </c>
      <c r="P179" s="5"/>
    </row>
    <row r="180" spans="1:16" x14ac:dyDescent="0.25">
      <c r="A180" s="3">
        <v>5.5</v>
      </c>
      <c r="B180" s="4">
        <v>15.5</v>
      </c>
      <c r="C180" s="4" t="s">
        <v>66</v>
      </c>
      <c r="D180" s="4">
        <v>4040</v>
      </c>
      <c r="E180" s="4">
        <v>4810</v>
      </c>
      <c r="F180" s="4"/>
      <c r="G180" s="4"/>
      <c r="H180" s="4"/>
      <c r="I180" s="4" t="s">
        <v>13</v>
      </c>
      <c r="J180" s="4">
        <v>300</v>
      </c>
      <c r="K180" s="4"/>
      <c r="L180" s="4">
        <v>248</v>
      </c>
      <c r="M180" s="4">
        <v>0.27500000000000002</v>
      </c>
      <c r="N180" s="4">
        <v>4.95</v>
      </c>
      <c r="O180" s="4">
        <v>4.8250000000000002</v>
      </c>
      <c r="P180" s="5"/>
    </row>
    <row r="181" spans="1:16" x14ac:dyDescent="0.25">
      <c r="A181" s="6">
        <v>5.5</v>
      </c>
      <c r="B181" s="2">
        <v>15.5</v>
      </c>
      <c r="C181" s="2" t="s">
        <v>110</v>
      </c>
      <c r="D181" s="2">
        <v>4040</v>
      </c>
      <c r="E181" s="2">
        <v>4810</v>
      </c>
      <c r="F181" s="2"/>
      <c r="G181" s="2"/>
      <c r="H181" s="2"/>
      <c r="I181" s="2" t="s">
        <v>8</v>
      </c>
      <c r="J181" s="2">
        <v>222</v>
      </c>
      <c r="K181" s="2"/>
      <c r="L181" s="2">
        <v>248</v>
      </c>
      <c r="M181" s="2">
        <v>0.27500000000000002</v>
      </c>
      <c r="N181" s="2">
        <v>4.95</v>
      </c>
      <c r="O181" s="2">
        <v>4.8250000000000002</v>
      </c>
      <c r="P181" s="7"/>
    </row>
    <row r="182" spans="1:16" x14ac:dyDescent="0.25">
      <c r="A182" s="6">
        <v>5.5</v>
      </c>
      <c r="B182" s="2">
        <v>15.5</v>
      </c>
      <c r="C182" s="2" t="s">
        <v>110</v>
      </c>
      <c r="D182" s="2">
        <v>4040</v>
      </c>
      <c r="E182" s="2">
        <v>4810</v>
      </c>
      <c r="F182" s="2"/>
      <c r="G182" s="2"/>
      <c r="H182" s="2"/>
      <c r="I182" s="2" t="s">
        <v>10</v>
      </c>
      <c r="J182" s="2">
        <v>239</v>
      </c>
      <c r="K182" s="2"/>
      <c r="L182" s="2">
        <v>248</v>
      </c>
      <c r="M182" s="2">
        <v>0.27500000000000002</v>
      </c>
      <c r="N182" s="2">
        <v>4.95</v>
      </c>
      <c r="O182" s="2">
        <v>4.8250000000000002</v>
      </c>
      <c r="P182" s="7"/>
    </row>
    <row r="183" spans="1:16" x14ac:dyDescent="0.25">
      <c r="A183" s="6">
        <v>5.5</v>
      </c>
      <c r="B183" s="2">
        <v>15.5</v>
      </c>
      <c r="C183" s="2" t="s">
        <v>110</v>
      </c>
      <c r="D183" s="2">
        <v>4040</v>
      </c>
      <c r="E183" s="2">
        <v>4810</v>
      </c>
      <c r="F183" s="2"/>
      <c r="G183" s="2"/>
      <c r="H183" s="2"/>
      <c r="I183" s="2" t="s">
        <v>13</v>
      </c>
      <c r="J183" s="2">
        <v>366</v>
      </c>
      <c r="K183" s="2"/>
      <c r="L183" s="2">
        <v>248</v>
      </c>
      <c r="M183" s="2">
        <v>0.27500000000000002</v>
      </c>
      <c r="N183" s="2">
        <v>4.95</v>
      </c>
      <c r="O183" s="2">
        <v>4.8250000000000002</v>
      </c>
      <c r="P183" s="7"/>
    </row>
    <row r="184" spans="1:16" x14ac:dyDescent="0.25">
      <c r="A184" s="8">
        <v>5.5</v>
      </c>
      <c r="B184" s="1">
        <v>17</v>
      </c>
      <c r="C184" s="1" t="s">
        <v>66</v>
      </c>
      <c r="D184" s="1">
        <v>4910</v>
      </c>
      <c r="E184" s="1">
        <v>5320</v>
      </c>
      <c r="F184" s="1"/>
      <c r="G184" s="1"/>
      <c r="H184" s="1"/>
      <c r="I184" s="1" t="s">
        <v>8</v>
      </c>
      <c r="J184" s="1">
        <v>229</v>
      </c>
      <c r="K184" s="1"/>
      <c r="L184" s="1">
        <v>273</v>
      </c>
      <c r="M184" s="1">
        <v>0.30399999999999999</v>
      </c>
      <c r="N184" s="1">
        <v>4.8920000000000003</v>
      </c>
      <c r="O184" s="1">
        <v>4.7670000000000003</v>
      </c>
      <c r="P184" s="9"/>
    </row>
    <row r="185" spans="1:16" x14ac:dyDescent="0.25">
      <c r="A185" s="8">
        <v>5.5</v>
      </c>
      <c r="B185" s="1">
        <v>17</v>
      </c>
      <c r="C185" s="1" t="s">
        <v>66</v>
      </c>
      <c r="D185" s="1">
        <v>4910</v>
      </c>
      <c r="E185" s="1">
        <v>5320</v>
      </c>
      <c r="F185" s="1"/>
      <c r="G185" s="1"/>
      <c r="H185" s="1"/>
      <c r="I185" s="1" t="s">
        <v>10</v>
      </c>
      <c r="J185" s="1">
        <v>247</v>
      </c>
      <c r="K185" s="1"/>
      <c r="L185" s="1">
        <v>273</v>
      </c>
      <c r="M185" s="1">
        <v>0.30399999999999999</v>
      </c>
      <c r="N185" s="1">
        <v>4.8920000000000003</v>
      </c>
      <c r="O185" s="1">
        <v>4.7670000000000003</v>
      </c>
      <c r="P185" s="9"/>
    </row>
    <row r="186" spans="1:16" x14ac:dyDescent="0.25">
      <c r="A186" s="8">
        <v>5.5</v>
      </c>
      <c r="B186" s="1">
        <v>17</v>
      </c>
      <c r="C186" s="1" t="s">
        <v>66</v>
      </c>
      <c r="D186" s="1">
        <v>4910</v>
      </c>
      <c r="E186" s="1">
        <v>5320</v>
      </c>
      <c r="F186" s="1"/>
      <c r="G186" s="1"/>
      <c r="H186" s="1"/>
      <c r="I186" s="1" t="s">
        <v>13</v>
      </c>
      <c r="J186" s="1">
        <v>329</v>
      </c>
      <c r="K186" s="1"/>
      <c r="L186" s="1">
        <v>273</v>
      </c>
      <c r="M186" s="1">
        <v>0.30399999999999999</v>
      </c>
      <c r="N186" s="1">
        <v>4.8920000000000003</v>
      </c>
      <c r="O186" s="1">
        <v>4.7670000000000003</v>
      </c>
      <c r="P186" s="9"/>
    </row>
    <row r="187" spans="1:16" x14ac:dyDescent="0.25">
      <c r="A187" s="6">
        <v>5.5</v>
      </c>
      <c r="B187" s="2">
        <v>17</v>
      </c>
      <c r="C187" s="2" t="s">
        <v>110</v>
      </c>
      <c r="D187" s="2">
        <v>4910</v>
      </c>
      <c r="E187" s="2">
        <v>5320</v>
      </c>
      <c r="F187" s="2"/>
      <c r="G187" s="2"/>
      <c r="H187" s="2"/>
      <c r="I187" s="2" t="s">
        <v>8</v>
      </c>
      <c r="J187" s="2">
        <v>252</v>
      </c>
      <c r="K187" s="2"/>
      <c r="L187" s="2">
        <v>273</v>
      </c>
      <c r="M187" s="2">
        <v>0.30399999999999999</v>
      </c>
      <c r="N187" s="2">
        <v>4.8920000000000003</v>
      </c>
      <c r="O187" s="2">
        <v>4.7670000000000003</v>
      </c>
      <c r="P187" s="7"/>
    </row>
    <row r="188" spans="1:16" x14ac:dyDescent="0.25">
      <c r="A188" s="6">
        <v>5.5</v>
      </c>
      <c r="B188" s="2">
        <v>17</v>
      </c>
      <c r="C188" s="2" t="s">
        <v>110</v>
      </c>
      <c r="D188" s="2">
        <v>4910</v>
      </c>
      <c r="E188" s="2">
        <v>5320</v>
      </c>
      <c r="F188" s="2"/>
      <c r="G188" s="2"/>
      <c r="H188" s="2"/>
      <c r="I188" s="2" t="s">
        <v>10</v>
      </c>
      <c r="J188" s="2">
        <v>272</v>
      </c>
      <c r="K188" s="2"/>
      <c r="L188" s="2">
        <v>273</v>
      </c>
      <c r="M188" s="2">
        <v>0.30399999999999999</v>
      </c>
      <c r="N188" s="2">
        <v>4.8920000000000003</v>
      </c>
      <c r="O188" s="2">
        <v>4.7670000000000003</v>
      </c>
      <c r="P188" s="7"/>
    </row>
    <row r="189" spans="1:16" x14ac:dyDescent="0.25">
      <c r="A189" s="6">
        <v>5.5</v>
      </c>
      <c r="B189" s="2">
        <v>17</v>
      </c>
      <c r="C189" s="2" t="s">
        <v>110</v>
      </c>
      <c r="D189" s="2">
        <v>4910</v>
      </c>
      <c r="E189" s="2">
        <v>5320</v>
      </c>
      <c r="F189" s="2"/>
      <c r="G189" s="2"/>
      <c r="H189" s="2"/>
      <c r="I189" s="2" t="s">
        <v>13</v>
      </c>
      <c r="J189" s="2">
        <v>402</v>
      </c>
      <c r="K189" s="2"/>
      <c r="L189" s="2">
        <v>273</v>
      </c>
      <c r="M189" s="2">
        <v>0.30399999999999999</v>
      </c>
      <c r="N189" s="2">
        <v>4.8920000000000003</v>
      </c>
      <c r="O189" s="2">
        <v>4.7670000000000003</v>
      </c>
      <c r="P189" s="7"/>
    </row>
    <row r="190" spans="1:16" x14ac:dyDescent="0.25">
      <c r="A190" s="8">
        <v>5.5</v>
      </c>
      <c r="B190" s="1">
        <v>17</v>
      </c>
      <c r="C190" s="1" t="s">
        <v>111</v>
      </c>
      <c r="D190" s="1">
        <v>6390</v>
      </c>
      <c r="E190" s="1">
        <v>7740</v>
      </c>
      <c r="F190" s="1"/>
      <c r="G190" s="1"/>
      <c r="H190" s="1"/>
      <c r="I190" s="1" t="s">
        <v>10</v>
      </c>
      <c r="J190" s="1">
        <v>338</v>
      </c>
      <c r="K190" s="1"/>
      <c r="L190" s="1">
        <v>397</v>
      </c>
      <c r="M190" s="1">
        <v>0.30399999999999999</v>
      </c>
      <c r="N190" s="1">
        <v>4.8920000000000003</v>
      </c>
      <c r="O190" s="1">
        <v>4.7670000000000003</v>
      </c>
      <c r="P190" s="9"/>
    </row>
    <row r="191" spans="1:16" x14ac:dyDescent="0.25">
      <c r="A191" s="8">
        <v>5.5</v>
      </c>
      <c r="B191" s="1">
        <v>17</v>
      </c>
      <c r="C191" s="1" t="s">
        <v>111</v>
      </c>
      <c r="D191" s="1">
        <v>6390</v>
      </c>
      <c r="E191" s="1">
        <v>7740</v>
      </c>
      <c r="F191" s="1"/>
      <c r="G191" s="1"/>
      <c r="H191" s="1"/>
      <c r="I191" s="1" t="s">
        <v>13</v>
      </c>
      <c r="J191" s="1">
        <v>428</v>
      </c>
      <c r="K191" s="1"/>
      <c r="L191" s="1">
        <v>397</v>
      </c>
      <c r="M191" s="1">
        <v>0.30399999999999999</v>
      </c>
      <c r="N191" s="1">
        <v>4.8920000000000003</v>
      </c>
      <c r="O191" s="1">
        <v>4.7670000000000003</v>
      </c>
      <c r="P191" s="9"/>
    </row>
    <row r="192" spans="1:16" x14ac:dyDescent="0.25">
      <c r="A192" s="6">
        <v>5.5</v>
      </c>
      <c r="B192" s="2">
        <v>17</v>
      </c>
      <c r="C192" s="2" t="s">
        <v>88</v>
      </c>
      <c r="D192" s="2">
        <v>8580</v>
      </c>
      <c r="E192" s="2">
        <v>7740</v>
      </c>
      <c r="F192" s="2"/>
      <c r="G192" s="2"/>
      <c r="H192" s="2"/>
      <c r="I192" s="2" t="s">
        <v>10</v>
      </c>
      <c r="J192" s="2">
        <v>356</v>
      </c>
      <c r="K192" s="2"/>
      <c r="L192" s="2">
        <v>397</v>
      </c>
      <c r="M192" s="2">
        <v>0.30399999999999999</v>
      </c>
      <c r="N192" s="2">
        <v>4.8920000000000003</v>
      </c>
      <c r="O192" s="2">
        <v>4.7670000000000003</v>
      </c>
      <c r="P192" s="7"/>
    </row>
    <row r="193" spans="1:16" x14ac:dyDescent="0.25">
      <c r="A193" s="6">
        <v>5.5</v>
      </c>
      <c r="B193" s="2">
        <v>17</v>
      </c>
      <c r="C193" s="2" t="s">
        <v>88</v>
      </c>
      <c r="D193" s="2">
        <v>8580</v>
      </c>
      <c r="E193" s="2">
        <v>7740</v>
      </c>
      <c r="F193" s="2"/>
      <c r="G193" s="2"/>
      <c r="H193" s="2"/>
      <c r="I193" s="2" t="s">
        <v>13</v>
      </c>
      <c r="J193" s="2">
        <v>462</v>
      </c>
      <c r="K193" s="2"/>
      <c r="L193" s="2">
        <v>397</v>
      </c>
      <c r="M193" s="2">
        <v>0.30399999999999999</v>
      </c>
      <c r="N193" s="2">
        <v>4.8920000000000003</v>
      </c>
      <c r="O193" s="2">
        <v>4.7670000000000003</v>
      </c>
      <c r="P193" s="7"/>
    </row>
    <row r="194" spans="1:16" x14ac:dyDescent="0.25">
      <c r="A194" s="8">
        <v>5.5</v>
      </c>
      <c r="B194" s="1">
        <v>17</v>
      </c>
      <c r="C194" s="1" t="s">
        <v>112</v>
      </c>
      <c r="D194" s="1">
        <v>6390</v>
      </c>
      <c r="E194" s="1">
        <v>7740</v>
      </c>
      <c r="F194" s="1"/>
      <c r="G194" s="1"/>
      <c r="H194" s="1"/>
      <c r="I194" s="1" t="s">
        <v>10</v>
      </c>
      <c r="J194" s="1">
        <v>348</v>
      </c>
      <c r="K194" s="1"/>
      <c r="L194" s="1">
        <v>397</v>
      </c>
      <c r="M194" s="1">
        <v>0.30399999999999999</v>
      </c>
      <c r="N194" s="1">
        <v>4.8920000000000003</v>
      </c>
      <c r="O194" s="1">
        <v>4.7670000000000003</v>
      </c>
      <c r="P194" s="9"/>
    </row>
    <row r="195" spans="1:16" x14ac:dyDescent="0.25">
      <c r="A195" s="8">
        <v>5.5</v>
      </c>
      <c r="B195" s="1">
        <v>17</v>
      </c>
      <c r="C195" s="1" t="s">
        <v>112</v>
      </c>
      <c r="D195" s="1">
        <v>6390</v>
      </c>
      <c r="E195" s="1">
        <v>7740</v>
      </c>
      <c r="F195" s="1"/>
      <c r="G195" s="1"/>
      <c r="H195" s="1"/>
      <c r="I195" s="1" t="s">
        <v>13</v>
      </c>
      <c r="J195" s="1">
        <v>446</v>
      </c>
      <c r="K195" s="1"/>
      <c r="L195" s="1">
        <v>397</v>
      </c>
      <c r="M195" s="1">
        <v>0.30399999999999999</v>
      </c>
      <c r="N195" s="1">
        <v>4.8920000000000003</v>
      </c>
      <c r="O195" s="1">
        <v>4.7670000000000003</v>
      </c>
      <c r="P195" s="9"/>
    </row>
    <row r="196" spans="1:16" x14ac:dyDescent="0.25">
      <c r="A196" s="6">
        <v>5.5</v>
      </c>
      <c r="B196" s="2">
        <v>17</v>
      </c>
      <c r="C196" s="2" t="s">
        <v>93</v>
      </c>
      <c r="D196" s="2">
        <v>8580</v>
      </c>
      <c r="E196" s="2">
        <v>7740</v>
      </c>
      <c r="F196" s="2"/>
      <c r="G196" s="2"/>
      <c r="H196" s="2"/>
      <c r="I196" s="2" t="s">
        <v>10</v>
      </c>
      <c r="J196" s="2">
        <v>356</v>
      </c>
      <c r="K196" s="2"/>
      <c r="L196" s="2">
        <v>397</v>
      </c>
      <c r="M196" s="2">
        <v>0.30399999999999999</v>
      </c>
      <c r="N196" s="2">
        <v>4.8920000000000003</v>
      </c>
      <c r="O196" s="2">
        <v>4.7670000000000003</v>
      </c>
      <c r="P196" s="7"/>
    </row>
    <row r="197" spans="1:16" x14ac:dyDescent="0.25">
      <c r="A197" s="6">
        <v>5.5</v>
      </c>
      <c r="B197" s="2">
        <v>17</v>
      </c>
      <c r="C197" s="2" t="s">
        <v>93</v>
      </c>
      <c r="D197" s="2">
        <v>8580</v>
      </c>
      <c r="E197" s="2">
        <v>7740</v>
      </c>
      <c r="F197" s="2"/>
      <c r="G197" s="2"/>
      <c r="H197" s="2"/>
      <c r="I197" s="2" t="s">
        <v>13</v>
      </c>
      <c r="J197" s="2">
        <v>462</v>
      </c>
      <c r="K197" s="2"/>
      <c r="L197" s="2">
        <v>397</v>
      </c>
      <c r="M197" s="2">
        <v>0.30399999999999999</v>
      </c>
      <c r="N197" s="2">
        <v>4.8920000000000003</v>
      </c>
      <c r="O197" s="2">
        <v>4.7670000000000003</v>
      </c>
      <c r="P197" s="7"/>
    </row>
    <row r="198" spans="1:16" x14ac:dyDescent="0.25">
      <c r="A198" s="8">
        <v>5.5</v>
      </c>
      <c r="B198" s="1">
        <v>17</v>
      </c>
      <c r="C198" s="1" t="s">
        <v>68</v>
      </c>
      <c r="D198" s="1">
        <v>6740</v>
      </c>
      <c r="E198" s="1">
        <v>8710</v>
      </c>
      <c r="F198" s="1"/>
      <c r="G198" s="1"/>
      <c r="H198" s="1"/>
      <c r="I198" s="1" t="s">
        <v>10</v>
      </c>
      <c r="J198" s="1">
        <v>356</v>
      </c>
      <c r="K198" s="1"/>
      <c r="L198" s="1">
        <v>447</v>
      </c>
      <c r="M198" s="1">
        <v>0.30399999999999999</v>
      </c>
      <c r="N198" s="1">
        <v>4.8920000000000003</v>
      </c>
      <c r="O198" s="1">
        <v>4.7670000000000003</v>
      </c>
      <c r="P198" s="9"/>
    </row>
    <row r="199" spans="1:16" x14ac:dyDescent="0.25">
      <c r="A199" s="8">
        <v>5.5</v>
      </c>
      <c r="B199" s="1">
        <v>17</v>
      </c>
      <c r="C199" s="1" t="s">
        <v>68</v>
      </c>
      <c r="D199" s="1">
        <v>6740</v>
      </c>
      <c r="E199" s="1">
        <v>8710</v>
      </c>
      <c r="F199" s="1"/>
      <c r="G199" s="1"/>
      <c r="H199" s="1"/>
      <c r="I199" s="1" t="s">
        <v>13</v>
      </c>
      <c r="J199" s="1">
        <v>456</v>
      </c>
      <c r="K199" s="1"/>
      <c r="L199" s="1">
        <v>447</v>
      </c>
      <c r="M199" s="1">
        <v>0.30399999999999999</v>
      </c>
      <c r="N199" s="1">
        <v>4.8920000000000003</v>
      </c>
      <c r="O199" s="1">
        <v>4.7670000000000003</v>
      </c>
      <c r="P199" s="9"/>
    </row>
    <row r="200" spans="1:16" x14ac:dyDescent="0.25">
      <c r="A200" s="6">
        <v>5.5</v>
      </c>
      <c r="B200" s="2">
        <v>17</v>
      </c>
      <c r="C200" s="2" t="s">
        <v>115</v>
      </c>
      <c r="D200" s="2">
        <v>8580</v>
      </c>
      <c r="E200" s="2">
        <v>9190</v>
      </c>
      <c r="F200" s="2"/>
      <c r="G200" s="2"/>
      <c r="H200" s="2"/>
      <c r="I200" s="2" t="s">
        <v>10</v>
      </c>
      <c r="J200" s="2">
        <v>392</v>
      </c>
      <c r="K200" s="2"/>
      <c r="L200" s="2">
        <v>471</v>
      </c>
      <c r="M200" s="2">
        <v>0.30399999999999999</v>
      </c>
      <c r="N200" s="2">
        <v>4.8920000000000003</v>
      </c>
      <c r="O200" s="2">
        <v>4.7670000000000003</v>
      </c>
      <c r="P200" s="7"/>
    </row>
    <row r="201" spans="1:16" x14ac:dyDescent="0.25">
      <c r="A201" s="6">
        <v>5.5</v>
      </c>
      <c r="B201" s="2">
        <v>17</v>
      </c>
      <c r="C201" s="2" t="s">
        <v>115</v>
      </c>
      <c r="D201" s="2">
        <v>8580</v>
      </c>
      <c r="E201" s="2">
        <v>9190</v>
      </c>
      <c r="F201" s="2"/>
      <c r="G201" s="2"/>
      <c r="H201" s="2"/>
      <c r="I201" s="2" t="s">
        <v>13</v>
      </c>
      <c r="J201" s="2">
        <v>498</v>
      </c>
      <c r="K201" s="2"/>
      <c r="L201" s="2">
        <v>471</v>
      </c>
      <c r="M201" s="2">
        <v>0.30399999999999999</v>
      </c>
      <c r="N201" s="2">
        <v>4.8920000000000003</v>
      </c>
      <c r="O201" s="2">
        <v>4.7670000000000003</v>
      </c>
      <c r="P201" s="7"/>
    </row>
    <row r="202" spans="1:16" x14ac:dyDescent="0.25">
      <c r="A202" s="8">
        <v>5.5</v>
      </c>
      <c r="B202" s="1">
        <v>17</v>
      </c>
      <c r="C202" s="1" t="s">
        <v>116</v>
      </c>
      <c r="D202" s="1">
        <v>6940</v>
      </c>
      <c r="E202" s="1">
        <v>9190</v>
      </c>
      <c r="F202" s="1"/>
      <c r="G202" s="1"/>
      <c r="H202" s="1"/>
      <c r="I202" s="1" t="s">
        <v>10</v>
      </c>
      <c r="J202" s="1">
        <v>374</v>
      </c>
      <c r="K202" s="1"/>
      <c r="L202" s="1">
        <v>471</v>
      </c>
      <c r="M202" s="1">
        <v>0.30399999999999999</v>
      </c>
      <c r="N202" s="1">
        <v>4.8920000000000003</v>
      </c>
      <c r="O202" s="1">
        <v>4.7670000000000003</v>
      </c>
      <c r="P202" s="9"/>
    </row>
    <row r="203" spans="1:16" x14ac:dyDescent="0.25">
      <c r="A203" s="8">
        <v>5.5</v>
      </c>
      <c r="B203" s="1">
        <v>17</v>
      </c>
      <c r="C203" s="1" t="s">
        <v>116</v>
      </c>
      <c r="D203" s="1">
        <v>6940</v>
      </c>
      <c r="E203" s="1">
        <v>9190</v>
      </c>
      <c r="F203" s="1"/>
      <c r="G203" s="1"/>
      <c r="H203" s="1"/>
      <c r="I203" s="1" t="s">
        <v>13</v>
      </c>
      <c r="J203" s="1">
        <v>480</v>
      </c>
      <c r="K203" s="1"/>
      <c r="L203" s="1">
        <v>471</v>
      </c>
      <c r="M203" s="1">
        <v>0.30399999999999999</v>
      </c>
      <c r="N203" s="1">
        <v>4.8920000000000003</v>
      </c>
      <c r="O203" s="1">
        <v>4.7670000000000003</v>
      </c>
      <c r="P203" s="9"/>
    </row>
    <row r="204" spans="1:16" x14ac:dyDescent="0.25">
      <c r="A204" s="6">
        <v>5.5</v>
      </c>
      <c r="B204" s="2">
        <v>17</v>
      </c>
      <c r="C204" s="2" t="s">
        <v>74</v>
      </c>
      <c r="D204" s="2">
        <v>6940</v>
      </c>
      <c r="E204" s="2">
        <v>9190</v>
      </c>
      <c r="F204" s="2"/>
      <c r="G204" s="2"/>
      <c r="H204" s="2"/>
      <c r="I204" s="2" t="s">
        <v>10</v>
      </c>
      <c r="J204" s="2">
        <v>374</v>
      </c>
      <c r="K204" s="2"/>
      <c r="L204" s="2">
        <v>471</v>
      </c>
      <c r="M204" s="2">
        <v>0.30399999999999999</v>
      </c>
      <c r="N204" s="2">
        <v>4.8920000000000003</v>
      </c>
      <c r="O204" s="2">
        <v>4.7670000000000003</v>
      </c>
      <c r="P204" s="7"/>
    </row>
    <row r="205" spans="1:16" x14ac:dyDescent="0.25">
      <c r="A205" s="6">
        <v>5.5</v>
      </c>
      <c r="B205" s="2">
        <v>17</v>
      </c>
      <c r="C205" s="2" t="s">
        <v>74</v>
      </c>
      <c r="D205" s="2">
        <v>6940</v>
      </c>
      <c r="E205" s="2">
        <v>9190</v>
      </c>
      <c r="F205" s="2"/>
      <c r="G205" s="2"/>
      <c r="H205" s="2"/>
      <c r="I205" s="2" t="s">
        <v>13</v>
      </c>
      <c r="J205" s="2">
        <v>480</v>
      </c>
      <c r="K205" s="2"/>
      <c r="L205" s="2">
        <v>471</v>
      </c>
      <c r="M205" s="2">
        <v>0.30399999999999999</v>
      </c>
      <c r="N205" s="2">
        <v>4.8920000000000003</v>
      </c>
      <c r="O205" s="2">
        <v>4.7670000000000003</v>
      </c>
      <c r="P205" s="7"/>
    </row>
    <row r="206" spans="1:16" x14ac:dyDescent="0.25">
      <c r="A206" s="8">
        <v>5.5</v>
      </c>
      <c r="B206" s="1">
        <v>17</v>
      </c>
      <c r="C206" s="1" t="s">
        <v>97</v>
      </c>
      <c r="D206" s="1">
        <v>8580</v>
      </c>
      <c r="E206" s="1">
        <v>10640</v>
      </c>
      <c r="F206" s="1"/>
      <c r="G206" s="1"/>
      <c r="H206" s="1"/>
      <c r="I206" s="1" t="s">
        <v>10</v>
      </c>
      <c r="J206" s="1">
        <v>445</v>
      </c>
      <c r="K206" s="1"/>
      <c r="L206" s="1">
        <v>546</v>
      </c>
      <c r="M206" s="1">
        <v>0.30399999999999999</v>
      </c>
      <c r="N206" s="1">
        <v>4.8920000000000003</v>
      </c>
      <c r="O206" s="1">
        <v>4.7670000000000003</v>
      </c>
      <c r="P206" s="9"/>
    </row>
    <row r="207" spans="1:16" x14ac:dyDescent="0.25">
      <c r="A207" s="8">
        <v>5.5</v>
      </c>
      <c r="B207" s="1">
        <v>17</v>
      </c>
      <c r="C207" s="1" t="s">
        <v>97</v>
      </c>
      <c r="D207" s="1">
        <v>8580</v>
      </c>
      <c r="E207" s="1">
        <v>10640</v>
      </c>
      <c r="F207" s="1"/>
      <c r="G207" s="1"/>
      <c r="H207" s="1"/>
      <c r="I207" s="1" t="s">
        <v>13</v>
      </c>
      <c r="J207" s="1">
        <v>568</v>
      </c>
      <c r="K207" s="1"/>
      <c r="L207" s="1">
        <v>546</v>
      </c>
      <c r="M207" s="1">
        <v>0.30399999999999999</v>
      </c>
      <c r="N207" s="1">
        <v>4.8920000000000003</v>
      </c>
      <c r="O207" s="1">
        <v>4.7670000000000003</v>
      </c>
      <c r="P207" s="9"/>
    </row>
    <row r="208" spans="1:16" x14ac:dyDescent="0.25">
      <c r="A208" s="6">
        <v>5.5</v>
      </c>
      <c r="B208" s="2">
        <v>17</v>
      </c>
      <c r="C208" s="2" t="s">
        <v>113</v>
      </c>
      <c r="D208" s="2">
        <v>7480</v>
      </c>
      <c r="E208" s="2">
        <v>10640</v>
      </c>
      <c r="F208" s="2"/>
      <c r="G208" s="2"/>
      <c r="H208" s="2"/>
      <c r="I208" s="2" t="s">
        <v>10</v>
      </c>
      <c r="J208" s="2">
        <v>445</v>
      </c>
      <c r="K208" s="2"/>
      <c r="L208" s="2">
        <v>546</v>
      </c>
      <c r="M208" s="2">
        <v>0.30399999999999999</v>
      </c>
      <c r="N208" s="2">
        <v>4.8920000000000003</v>
      </c>
      <c r="O208" s="2">
        <v>4.7670000000000003</v>
      </c>
      <c r="P208" s="7"/>
    </row>
    <row r="209" spans="1:16" x14ac:dyDescent="0.25">
      <c r="A209" s="6">
        <v>5.5</v>
      </c>
      <c r="B209" s="2">
        <v>17</v>
      </c>
      <c r="C209" s="2" t="s">
        <v>113</v>
      </c>
      <c r="D209" s="2">
        <v>7480</v>
      </c>
      <c r="E209" s="2">
        <v>10640</v>
      </c>
      <c r="F209" s="2"/>
      <c r="G209" s="2"/>
      <c r="H209" s="2"/>
      <c r="I209" s="2" t="s">
        <v>13</v>
      </c>
      <c r="J209" s="2">
        <v>568</v>
      </c>
      <c r="K209" s="2"/>
      <c r="L209" s="2">
        <v>546</v>
      </c>
      <c r="M209" s="2">
        <v>0.30399999999999999</v>
      </c>
      <c r="N209" s="2">
        <v>4.8920000000000003</v>
      </c>
      <c r="O209" s="2">
        <v>4.7670000000000003</v>
      </c>
      <c r="P209" s="7"/>
    </row>
    <row r="210" spans="1:16" x14ac:dyDescent="0.25">
      <c r="A210" s="8">
        <v>5.5</v>
      </c>
      <c r="B210" s="1">
        <v>17</v>
      </c>
      <c r="C210" s="1" t="s">
        <v>99</v>
      </c>
      <c r="D210" s="1">
        <v>8580</v>
      </c>
      <c r="E210" s="1">
        <v>12090</v>
      </c>
      <c r="F210" s="1"/>
      <c r="G210" s="1"/>
      <c r="H210" s="1"/>
      <c r="I210" s="1" t="s">
        <v>10</v>
      </c>
      <c r="J210" s="1">
        <v>481</v>
      </c>
      <c r="K210" s="1"/>
      <c r="L210" s="1">
        <v>620</v>
      </c>
      <c r="M210" s="1">
        <v>0.30399999999999999</v>
      </c>
      <c r="N210" s="1">
        <v>4.8920000000000003</v>
      </c>
      <c r="O210" s="1">
        <v>4.7670000000000003</v>
      </c>
      <c r="P210" s="9"/>
    </row>
    <row r="211" spans="1:16" x14ac:dyDescent="0.25">
      <c r="A211" s="8">
        <v>5.5</v>
      </c>
      <c r="B211" s="1">
        <v>17</v>
      </c>
      <c r="C211" s="1" t="s">
        <v>99</v>
      </c>
      <c r="D211" s="1">
        <v>8580</v>
      </c>
      <c r="E211" s="1">
        <v>12090</v>
      </c>
      <c r="F211" s="1"/>
      <c r="G211" s="1"/>
      <c r="H211" s="1"/>
      <c r="I211" s="1" t="s">
        <v>13</v>
      </c>
      <c r="J211" s="1">
        <v>620</v>
      </c>
      <c r="K211" s="1"/>
      <c r="L211" s="1">
        <v>620</v>
      </c>
      <c r="M211" s="1">
        <v>0.30399999999999999</v>
      </c>
      <c r="N211" s="1">
        <v>4.8920000000000003</v>
      </c>
      <c r="O211" s="1">
        <v>4.7670000000000003</v>
      </c>
      <c r="P211" s="9"/>
    </row>
    <row r="212" spans="1:16" x14ac:dyDescent="0.25">
      <c r="A212" s="6">
        <v>5.5</v>
      </c>
      <c r="B212" s="2">
        <v>17</v>
      </c>
      <c r="C212" s="2" t="s">
        <v>114</v>
      </c>
      <c r="D212" s="2">
        <v>7890</v>
      </c>
      <c r="E212" s="2">
        <v>12090</v>
      </c>
      <c r="F212" s="2"/>
      <c r="G212" s="2"/>
      <c r="H212" s="2"/>
      <c r="I212" s="2" t="s">
        <v>10</v>
      </c>
      <c r="J212" s="2">
        <v>481</v>
      </c>
      <c r="K212" s="2"/>
      <c r="L212" s="2">
        <v>620</v>
      </c>
      <c r="M212" s="2">
        <v>0.30399999999999999</v>
      </c>
      <c r="N212" s="2">
        <v>4.8920000000000003</v>
      </c>
      <c r="O212" s="2">
        <v>4.7670000000000003</v>
      </c>
      <c r="P212" s="7"/>
    </row>
    <row r="213" spans="1:16" x14ac:dyDescent="0.25">
      <c r="A213" s="6">
        <v>5.5</v>
      </c>
      <c r="B213" s="2">
        <v>17</v>
      </c>
      <c r="C213" s="2" t="s">
        <v>114</v>
      </c>
      <c r="D213" s="2">
        <v>7890</v>
      </c>
      <c r="E213" s="2">
        <v>12090</v>
      </c>
      <c r="F213" s="2"/>
      <c r="G213" s="2"/>
      <c r="H213" s="2"/>
      <c r="I213" s="2" t="s">
        <v>13</v>
      </c>
      <c r="J213" s="2">
        <v>620</v>
      </c>
      <c r="K213" s="2"/>
      <c r="L213" s="2">
        <v>620</v>
      </c>
      <c r="M213" s="2">
        <v>0.30399999999999999</v>
      </c>
      <c r="N213" s="2">
        <v>4.8920000000000003</v>
      </c>
      <c r="O213" s="2">
        <v>4.7670000000000003</v>
      </c>
      <c r="P213" s="7"/>
    </row>
    <row r="214" spans="1:16" x14ac:dyDescent="0.25">
      <c r="A214" s="8">
        <v>5.5</v>
      </c>
      <c r="B214" s="1">
        <v>20</v>
      </c>
      <c r="C214" s="1" t="s">
        <v>111</v>
      </c>
      <c r="D214" s="1">
        <v>8830</v>
      </c>
      <c r="E214" s="1">
        <v>9190</v>
      </c>
      <c r="F214" s="1"/>
      <c r="G214" s="1"/>
      <c r="H214" s="1"/>
      <c r="I214" s="1" t="s">
        <v>10</v>
      </c>
      <c r="J214" s="1">
        <v>416</v>
      </c>
      <c r="K214" s="1"/>
      <c r="L214" s="1">
        <v>466</v>
      </c>
      <c r="M214" s="1">
        <v>0.36099999999999999</v>
      </c>
      <c r="N214" s="1">
        <v>4.7779999999999996</v>
      </c>
      <c r="O214" s="1">
        <v>4.6529999999999996</v>
      </c>
      <c r="P214" s="9"/>
    </row>
    <row r="215" spans="1:16" x14ac:dyDescent="0.25">
      <c r="A215" s="8">
        <v>5.5</v>
      </c>
      <c r="B215" s="1">
        <v>20</v>
      </c>
      <c r="C215" s="1" t="s">
        <v>111</v>
      </c>
      <c r="D215" s="1">
        <v>8830</v>
      </c>
      <c r="E215" s="1">
        <v>8990</v>
      </c>
      <c r="F215" s="1"/>
      <c r="G215" s="1"/>
      <c r="H215" s="1"/>
      <c r="I215" s="1" t="s">
        <v>13</v>
      </c>
      <c r="J215" s="1">
        <v>503</v>
      </c>
      <c r="K215" s="1"/>
      <c r="L215" s="1">
        <v>466</v>
      </c>
      <c r="M215" s="1">
        <v>0.36099999999999999</v>
      </c>
      <c r="N215" s="1">
        <v>4.7779999999999996</v>
      </c>
      <c r="O215" s="1">
        <v>4.6529999999999996</v>
      </c>
      <c r="P215" s="9"/>
    </row>
    <row r="216" spans="1:16" x14ac:dyDescent="0.25">
      <c r="A216" s="6">
        <v>5.5</v>
      </c>
      <c r="B216" s="2">
        <v>20</v>
      </c>
      <c r="C216" s="2" t="s">
        <v>88</v>
      </c>
      <c r="D216" s="2">
        <v>10630</v>
      </c>
      <c r="E216" s="2">
        <v>9190</v>
      </c>
      <c r="F216" s="2"/>
      <c r="G216" s="2"/>
      <c r="H216" s="2"/>
      <c r="I216" s="2" t="s">
        <v>10</v>
      </c>
      <c r="J216" s="2">
        <v>438</v>
      </c>
      <c r="K216" s="2"/>
      <c r="L216" s="2">
        <v>466</v>
      </c>
      <c r="M216" s="2">
        <v>0.36099999999999999</v>
      </c>
      <c r="N216" s="2">
        <v>4.7779999999999996</v>
      </c>
      <c r="O216" s="2">
        <v>4.6529999999999996</v>
      </c>
      <c r="P216" s="7"/>
    </row>
    <row r="217" spans="1:16" x14ac:dyDescent="0.25">
      <c r="A217" s="6">
        <v>5.5</v>
      </c>
      <c r="B217" s="2">
        <v>20</v>
      </c>
      <c r="C217" s="2" t="s">
        <v>88</v>
      </c>
      <c r="D217" s="2">
        <v>10630</v>
      </c>
      <c r="E217" s="2">
        <v>8990</v>
      </c>
      <c r="F217" s="2"/>
      <c r="G217" s="2"/>
      <c r="H217" s="2"/>
      <c r="I217" s="2" t="s">
        <v>13</v>
      </c>
      <c r="J217" s="2">
        <v>542</v>
      </c>
      <c r="K217" s="2"/>
      <c r="L217" s="2">
        <v>466</v>
      </c>
      <c r="M217" s="2">
        <v>0.36099999999999999</v>
      </c>
      <c r="N217" s="2">
        <v>4.7779999999999996</v>
      </c>
      <c r="O217" s="2">
        <v>4.6529999999999996</v>
      </c>
      <c r="P217" s="7"/>
    </row>
    <row r="218" spans="1:16" x14ac:dyDescent="0.25">
      <c r="A218" s="8">
        <v>5.5</v>
      </c>
      <c r="B218" s="1">
        <v>20</v>
      </c>
      <c r="C218" s="1" t="s">
        <v>112</v>
      </c>
      <c r="D218" s="1">
        <v>8830</v>
      </c>
      <c r="E218" s="1">
        <v>9190</v>
      </c>
      <c r="F218" s="1"/>
      <c r="G218" s="1"/>
      <c r="H218" s="1"/>
      <c r="I218" s="1" t="s">
        <v>10</v>
      </c>
      <c r="J218" s="1">
        <v>428</v>
      </c>
      <c r="K218" s="1"/>
      <c r="L218" s="1">
        <v>466</v>
      </c>
      <c r="M218" s="1">
        <v>0.36099999999999999</v>
      </c>
      <c r="N218" s="1">
        <v>4.7779999999999996</v>
      </c>
      <c r="O218" s="1">
        <v>4.6529999999999996</v>
      </c>
      <c r="P218" s="9"/>
    </row>
    <row r="219" spans="1:16" x14ac:dyDescent="0.25">
      <c r="A219" s="8">
        <v>5.5</v>
      </c>
      <c r="B219" s="1">
        <v>20</v>
      </c>
      <c r="C219" s="1" t="s">
        <v>112</v>
      </c>
      <c r="D219" s="1">
        <v>8830</v>
      </c>
      <c r="E219" s="1">
        <v>8990</v>
      </c>
      <c r="F219" s="1"/>
      <c r="G219" s="1"/>
      <c r="H219" s="1"/>
      <c r="I219" s="1" t="s">
        <v>13</v>
      </c>
      <c r="J219" s="1">
        <v>524</v>
      </c>
      <c r="K219" s="1"/>
      <c r="L219" s="1">
        <v>466</v>
      </c>
      <c r="M219" s="1">
        <v>0.36099999999999999</v>
      </c>
      <c r="N219" s="1">
        <v>4.7779999999999996</v>
      </c>
      <c r="O219" s="1">
        <v>4.6529999999999996</v>
      </c>
      <c r="P219" s="9"/>
    </row>
    <row r="220" spans="1:16" x14ac:dyDescent="0.25">
      <c r="A220" s="6">
        <v>5.5</v>
      </c>
      <c r="B220" s="2">
        <v>20</v>
      </c>
      <c r="C220" s="2" t="s">
        <v>93</v>
      </c>
      <c r="D220" s="2">
        <v>10630</v>
      </c>
      <c r="E220" s="2">
        <v>9190</v>
      </c>
      <c r="F220" s="2"/>
      <c r="G220" s="2"/>
      <c r="H220" s="2"/>
      <c r="I220" s="2" t="s">
        <v>10</v>
      </c>
      <c r="J220" s="2">
        <v>438</v>
      </c>
      <c r="K220" s="2"/>
      <c r="L220" s="2">
        <v>466</v>
      </c>
      <c r="M220" s="2">
        <v>0.36099999999999999</v>
      </c>
      <c r="N220" s="2">
        <v>4.7779999999999996</v>
      </c>
      <c r="O220" s="2">
        <v>4.6529999999999996</v>
      </c>
      <c r="P220" s="7"/>
    </row>
    <row r="221" spans="1:16" x14ac:dyDescent="0.25">
      <c r="A221" s="6">
        <v>5.5</v>
      </c>
      <c r="B221" s="2">
        <v>20</v>
      </c>
      <c r="C221" s="2" t="s">
        <v>93</v>
      </c>
      <c r="D221" s="2">
        <v>10630</v>
      </c>
      <c r="E221" s="2">
        <v>8990</v>
      </c>
      <c r="F221" s="2"/>
      <c r="G221" s="2"/>
      <c r="H221" s="2"/>
      <c r="I221" s="2" t="s">
        <v>13</v>
      </c>
      <c r="J221" s="2">
        <v>542</v>
      </c>
      <c r="K221" s="2"/>
      <c r="L221" s="2">
        <v>466</v>
      </c>
      <c r="M221" s="2">
        <v>0.36099999999999999</v>
      </c>
      <c r="N221" s="2">
        <v>4.7779999999999996</v>
      </c>
      <c r="O221" s="2">
        <v>4.6529999999999996</v>
      </c>
      <c r="P221" s="7"/>
    </row>
    <row r="222" spans="1:16" x14ac:dyDescent="0.25">
      <c r="A222" s="8">
        <v>5.5</v>
      </c>
      <c r="B222" s="1">
        <v>20</v>
      </c>
      <c r="C222" s="1" t="s">
        <v>68</v>
      </c>
      <c r="D222" s="1">
        <v>9630</v>
      </c>
      <c r="E222" s="1">
        <v>10340</v>
      </c>
      <c r="F222" s="1"/>
      <c r="G222" s="1"/>
      <c r="H222" s="1"/>
      <c r="I222" s="1" t="s">
        <v>10</v>
      </c>
      <c r="J222" s="1">
        <v>438</v>
      </c>
      <c r="K222" s="1"/>
      <c r="L222" s="1">
        <v>525</v>
      </c>
      <c r="M222" s="1">
        <v>0.36099999999999999</v>
      </c>
      <c r="N222" s="1">
        <v>4.7779999999999996</v>
      </c>
      <c r="O222" s="1">
        <v>4.6529999999999996</v>
      </c>
      <c r="P222" s="9"/>
    </row>
    <row r="223" spans="1:16" x14ac:dyDescent="0.25">
      <c r="A223" s="8">
        <v>5.5</v>
      </c>
      <c r="B223" s="1">
        <v>20</v>
      </c>
      <c r="C223" s="1" t="s">
        <v>68</v>
      </c>
      <c r="D223" s="1">
        <v>9630</v>
      </c>
      <c r="E223" s="1">
        <v>10120</v>
      </c>
      <c r="F223" s="1"/>
      <c r="G223" s="1"/>
      <c r="H223" s="1"/>
      <c r="I223" s="1" t="s">
        <v>13</v>
      </c>
      <c r="J223" s="1">
        <v>436</v>
      </c>
      <c r="K223" s="1"/>
      <c r="L223" s="1">
        <v>525</v>
      </c>
      <c r="M223" s="1">
        <v>0.36099999999999999</v>
      </c>
      <c r="N223" s="1">
        <v>4.7779999999999996</v>
      </c>
      <c r="O223" s="1">
        <v>4.6529999999999996</v>
      </c>
      <c r="P223" s="9"/>
    </row>
    <row r="224" spans="1:16" x14ac:dyDescent="0.25">
      <c r="A224" s="6">
        <v>5.5</v>
      </c>
      <c r="B224" s="2">
        <v>20</v>
      </c>
      <c r="C224" s="2" t="s">
        <v>115</v>
      </c>
      <c r="D224" s="2">
        <v>10630</v>
      </c>
      <c r="E224" s="2">
        <v>10910</v>
      </c>
      <c r="F224" s="2"/>
      <c r="G224" s="2"/>
      <c r="H224" s="2"/>
      <c r="I224" s="2" t="s">
        <v>10</v>
      </c>
      <c r="J224" s="2">
        <v>482</v>
      </c>
      <c r="K224" s="2"/>
      <c r="L224" s="2">
        <v>554</v>
      </c>
      <c r="M224" s="2">
        <v>0.36099999999999999</v>
      </c>
      <c r="N224" s="2">
        <v>4.7779999999999996</v>
      </c>
      <c r="O224" s="2">
        <v>4.6529999999999996</v>
      </c>
      <c r="P224" s="7"/>
    </row>
    <row r="225" spans="1:16" x14ac:dyDescent="0.25">
      <c r="A225" s="6">
        <v>5.5</v>
      </c>
      <c r="B225" s="2">
        <v>20</v>
      </c>
      <c r="C225" s="2" t="s">
        <v>115</v>
      </c>
      <c r="D225" s="2">
        <v>10630</v>
      </c>
      <c r="E225" s="2">
        <v>10680</v>
      </c>
      <c r="F225" s="2"/>
      <c r="G225" s="2"/>
      <c r="H225" s="2"/>
      <c r="I225" s="2" t="s">
        <v>13</v>
      </c>
      <c r="J225" s="2">
        <v>585</v>
      </c>
      <c r="K225" s="2"/>
      <c r="L225" s="2">
        <v>554</v>
      </c>
      <c r="M225" s="2">
        <v>0.36099999999999999</v>
      </c>
      <c r="N225" s="2">
        <v>4.7779999999999996</v>
      </c>
      <c r="O225" s="2">
        <v>4.6529999999999996</v>
      </c>
      <c r="P225" s="7"/>
    </row>
    <row r="226" spans="1:16" x14ac:dyDescent="0.25">
      <c r="A226" s="8">
        <v>5.5</v>
      </c>
      <c r="B226" s="1">
        <v>20</v>
      </c>
      <c r="C226" s="1" t="s">
        <v>116</v>
      </c>
      <c r="D226" s="1">
        <v>10010</v>
      </c>
      <c r="E226" s="1">
        <v>10910</v>
      </c>
      <c r="F226" s="1"/>
      <c r="G226" s="1"/>
      <c r="H226" s="1"/>
      <c r="I226" s="1" t="s">
        <v>10</v>
      </c>
      <c r="J226" s="1">
        <v>460</v>
      </c>
      <c r="K226" s="1"/>
      <c r="L226" s="1">
        <v>554</v>
      </c>
      <c r="M226" s="1">
        <v>0.36099999999999999</v>
      </c>
      <c r="N226" s="1">
        <v>4.7779999999999996</v>
      </c>
      <c r="O226" s="1">
        <v>4.6529999999999996</v>
      </c>
      <c r="P226" s="9"/>
    </row>
    <row r="227" spans="1:16" x14ac:dyDescent="0.25">
      <c r="A227" s="8">
        <v>5.5</v>
      </c>
      <c r="B227" s="1">
        <v>20</v>
      </c>
      <c r="C227" s="1" t="s">
        <v>116</v>
      </c>
      <c r="D227" s="1">
        <v>10010</v>
      </c>
      <c r="E227" s="1">
        <v>10680</v>
      </c>
      <c r="F227" s="1"/>
      <c r="G227" s="1"/>
      <c r="H227" s="1"/>
      <c r="I227" s="1" t="s">
        <v>13</v>
      </c>
      <c r="J227" s="1">
        <v>563</v>
      </c>
      <c r="K227" s="1"/>
      <c r="L227" s="1">
        <v>554</v>
      </c>
      <c r="M227" s="1">
        <v>0.36099999999999999</v>
      </c>
      <c r="N227" s="1">
        <v>4.7779999999999996</v>
      </c>
      <c r="O227" s="1">
        <v>4.6529999999999996</v>
      </c>
      <c r="P227" s="9"/>
    </row>
    <row r="228" spans="1:16" x14ac:dyDescent="0.25">
      <c r="A228" s="6">
        <v>5.5</v>
      </c>
      <c r="B228" s="2">
        <v>20</v>
      </c>
      <c r="C228" s="2" t="s">
        <v>74</v>
      </c>
      <c r="D228" s="2">
        <v>10010</v>
      </c>
      <c r="E228" s="2">
        <v>10910</v>
      </c>
      <c r="F228" s="2"/>
      <c r="G228" s="2"/>
      <c r="H228" s="2"/>
      <c r="I228" s="2" t="s">
        <v>10</v>
      </c>
      <c r="J228" s="2">
        <v>460</v>
      </c>
      <c r="K228" s="2"/>
      <c r="L228" s="2">
        <v>554</v>
      </c>
      <c r="M228" s="2">
        <v>0.36099999999999999</v>
      </c>
      <c r="N228" s="2">
        <v>4.7779999999999996</v>
      </c>
      <c r="O228" s="2">
        <v>4.6529999999999996</v>
      </c>
      <c r="P228" s="7"/>
    </row>
    <row r="229" spans="1:16" x14ac:dyDescent="0.25">
      <c r="A229" s="6">
        <v>5.5</v>
      </c>
      <c r="B229" s="2">
        <v>20</v>
      </c>
      <c r="C229" s="2" t="s">
        <v>74</v>
      </c>
      <c r="D229" s="2">
        <v>10010</v>
      </c>
      <c r="E229" s="2">
        <v>10680</v>
      </c>
      <c r="F229" s="2"/>
      <c r="G229" s="2"/>
      <c r="H229" s="2"/>
      <c r="I229" s="2" t="s">
        <v>13</v>
      </c>
      <c r="J229" s="2">
        <v>563</v>
      </c>
      <c r="K229" s="2"/>
      <c r="L229" s="2">
        <v>554</v>
      </c>
      <c r="M229" s="2">
        <v>0.36099999999999999</v>
      </c>
      <c r="N229" s="2">
        <v>4.7779999999999996</v>
      </c>
      <c r="O229" s="2">
        <v>4.6529999999999996</v>
      </c>
      <c r="P229" s="7"/>
    </row>
    <row r="230" spans="1:16" x14ac:dyDescent="0.25">
      <c r="A230" s="8">
        <v>5.5</v>
      </c>
      <c r="B230" s="1">
        <v>20</v>
      </c>
      <c r="C230" s="1" t="s">
        <v>113</v>
      </c>
      <c r="D230" s="1">
        <v>11100</v>
      </c>
      <c r="E230" s="1">
        <v>12630</v>
      </c>
      <c r="F230" s="1"/>
      <c r="G230" s="1"/>
      <c r="H230" s="1"/>
      <c r="I230" s="1" t="s">
        <v>10</v>
      </c>
      <c r="J230" s="1">
        <v>548</v>
      </c>
      <c r="K230" s="1"/>
      <c r="L230" s="1">
        <v>641</v>
      </c>
      <c r="M230" s="1">
        <v>0.36099999999999999</v>
      </c>
      <c r="N230" s="1">
        <v>4.7779999999999996</v>
      </c>
      <c r="O230" s="1">
        <v>4.6529999999999996</v>
      </c>
      <c r="P230" s="9"/>
    </row>
    <row r="231" spans="1:16" x14ac:dyDescent="0.25">
      <c r="A231" s="8">
        <v>5.5</v>
      </c>
      <c r="B231" s="1">
        <v>20</v>
      </c>
      <c r="C231" s="1" t="s">
        <v>113</v>
      </c>
      <c r="D231" s="1">
        <v>11100</v>
      </c>
      <c r="E231" s="1">
        <v>12360</v>
      </c>
      <c r="F231" s="1"/>
      <c r="G231" s="1"/>
      <c r="H231" s="1"/>
      <c r="I231" s="1" t="s">
        <v>13</v>
      </c>
      <c r="J231" s="1">
        <v>667</v>
      </c>
      <c r="K231" s="1"/>
      <c r="L231" s="1">
        <v>641</v>
      </c>
      <c r="M231" s="1">
        <v>0.36099999999999999</v>
      </c>
      <c r="N231" s="1">
        <v>4.7779999999999996</v>
      </c>
      <c r="O231" s="1">
        <v>4.6529999999999996</v>
      </c>
      <c r="P231" s="9"/>
    </row>
    <row r="232" spans="1:16" x14ac:dyDescent="0.25">
      <c r="A232" s="6">
        <v>5.5</v>
      </c>
      <c r="B232" s="2">
        <v>20</v>
      </c>
      <c r="C232" s="2" t="s">
        <v>114</v>
      </c>
      <c r="D232" s="2">
        <v>12080</v>
      </c>
      <c r="E232" s="2">
        <v>14360</v>
      </c>
      <c r="F232" s="2"/>
      <c r="G232" s="2"/>
      <c r="H232" s="2"/>
      <c r="I232" s="2" t="s">
        <v>10</v>
      </c>
      <c r="J232" s="2">
        <v>592</v>
      </c>
      <c r="K232" s="2"/>
      <c r="L232" s="2">
        <v>729</v>
      </c>
      <c r="M232" s="2">
        <v>0.36099999999999999</v>
      </c>
      <c r="N232" s="2">
        <v>4.7779999999999996</v>
      </c>
      <c r="O232" s="2">
        <v>4.6529999999999996</v>
      </c>
      <c r="P232" s="7"/>
    </row>
    <row r="233" spans="1:16" x14ac:dyDescent="0.25">
      <c r="A233" s="6">
        <v>5.5</v>
      </c>
      <c r="B233" s="2">
        <v>20</v>
      </c>
      <c r="C233" s="2" t="s">
        <v>114</v>
      </c>
      <c r="D233" s="2">
        <v>12080</v>
      </c>
      <c r="E233" s="2">
        <v>14050</v>
      </c>
      <c r="F233" s="2"/>
      <c r="G233" s="2"/>
      <c r="H233" s="2"/>
      <c r="I233" s="2" t="s">
        <v>13</v>
      </c>
      <c r="J233" s="2">
        <v>728</v>
      </c>
      <c r="K233" s="2"/>
      <c r="L233" s="2">
        <v>729</v>
      </c>
      <c r="M233" s="2">
        <v>0.36099999999999999</v>
      </c>
      <c r="N233" s="2">
        <v>4.7779999999999996</v>
      </c>
      <c r="O233" s="2">
        <v>4.6529999999999996</v>
      </c>
      <c r="P233" s="7"/>
    </row>
    <row r="234" spans="1:16" x14ac:dyDescent="0.25">
      <c r="A234" s="8">
        <v>5.5</v>
      </c>
      <c r="B234" s="1">
        <v>20</v>
      </c>
      <c r="C234" s="1" t="s">
        <v>117</v>
      </c>
      <c r="D234" s="1">
        <v>13460</v>
      </c>
      <c r="E234" s="1">
        <v>17230</v>
      </c>
      <c r="F234" s="1"/>
      <c r="G234" s="1"/>
      <c r="H234" s="1"/>
      <c r="I234" s="1" t="s">
        <v>10</v>
      </c>
      <c r="J234" s="1">
        <v>701</v>
      </c>
      <c r="K234" s="1"/>
      <c r="L234" s="1">
        <v>874</v>
      </c>
      <c r="M234" s="1">
        <v>0.36099999999999999</v>
      </c>
      <c r="N234" s="1">
        <v>4.7779999999999996</v>
      </c>
      <c r="O234" s="1">
        <v>4.6529999999999996</v>
      </c>
      <c r="P234" s="9"/>
    </row>
    <row r="235" spans="1:16" x14ac:dyDescent="0.25">
      <c r="A235" s="8">
        <v>5.5</v>
      </c>
      <c r="B235" s="1">
        <v>20</v>
      </c>
      <c r="C235" s="1" t="s">
        <v>117</v>
      </c>
      <c r="D235" s="1">
        <v>13460</v>
      </c>
      <c r="E235" s="1">
        <v>16860</v>
      </c>
      <c r="F235" s="1"/>
      <c r="G235" s="1"/>
      <c r="H235" s="1"/>
      <c r="I235" s="1" t="s">
        <v>13</v>
      </c>
      <c r="J235" s="1">
        <v>865</v>
      </c>
      <c r="K235" s="1"/>
      <c r="L235" s="1">
        <v>874</v>
      </c>
      <c r="M235" s="1">
        <v>0.36099999999999999</v>
      </c>
      <c r="N235" s="1">
        <v>4.7779999999999996</v>
      </c>
      <c r="O235" s="1">
        <v>4.6529999999999996</v>
      </c>
      <c r="P235" s="9"/>
    </row>
    <row r="236" spans="1:16" x14ac:dyDescent="0.25">
      <c r="A236" s="6">
        <v>5.5</v>
      </c>
      <c r="B236" s="2">
        <v>23</v>
      </c>
      <c r="C236" s="2" t="s">
        <v>111</v>
      </c>
      <c r="D236" s="2">
        <v>11160</v>
      </c>
      <c r="E236" s="2">
        <v>9880</v>
      </c>
      <c r="F236" s="2"/>
      <c r="G236" s="2"/>
      <c r="H236" s="2"/>
      <c r="I236" s="2" t="s">
        <v>10</v>
      </c>
      <c r="J236" s="2">
        <v>489</v>
      </c>
      <c r="K236" s="2"/>
      <c r="L236" s="2">
        <v>530</v>
      </c>
      <c r="M236" s="2">
        <v>0.41499999999999998</v>
      </c>
      <c r="N236" s="2">
        <v>4.67</v>
      </c>
      <c r="O236" s="2">
        <v>4.5449999999999999</v>
      </c>
      <c r="P236" s="7"/>
    </row>
    <row r="237" spans="1:16" x14ac:dyDescent="0.25">
      <c r="A237" s="6">
        <v>5.5</v>
      </c>
      <c r="B237" s="2">
        <v>23</v>
      </c>
      <c r="C237" s="2" t="s">
        <v>111</v>
      </c>
      <c r="D237" s="2">
        <v>11160</v>
      </c>
      <c r="E237" s="2">
        <v>8990</v>
      </c>
      <c r="F237" s="2"/>
      <c r="G237" s="2"/>
      <c r="H237" s="2"/>
      <c r="I237" s="2" t="s">
        <v>13</v>
      </c>
      <c r="J237" s="2">
        <v>550</v>
      </c>
      <c r="K237" s="2"/>
      <c r="L237" s="2">
        <v>530</v>
      </c>
      <c r="M237" s="2">
        <v>0.41499999999999998</v>
      </c>
      <c r="N237" s="2">
        <v>4.67</v>
      </c>
      <c r="O237" s="2">
        <v>4.5449999999999999</v>
      </c>
      <c r="P237" s="7"/>
    </row>
    <row r="238" spans="1:16" x14ac:dyDescent="0.25">
      <c r="A238" s="8">
        <v>5.5</v>
      </c>
      <c r="B238" s="1">
        <v>23</v>
      </c>
      <c r="C238" s="1" t="s">
        <v>88</v>
      </c>
      <c r="D238" s="1">
        <v>12450</v>
      </c>
      <c r="E238" s="1">
        <v>9880</v>
      </c>
      <c r="F238" s="1"/>
      <c r="G238" s="1"/>
      <c r="H238" s="1"/>
      <c r="I238" s="1" t="s">
        <v>10</v>
      </c>
      <c r="J238" s="1">
        <v>514</v>
      </c>
      <c r="K238" s="1"/>
      <c r="L238" s="1">
        <v>530</v>
      </c>
      <c r="M238" s="1">
        <v>0.41499999999999998</v>
      </c>
      <c r="N238" s="1">
        <v>4.67</v>
      </c>
      <c r="O238" s="1">
        <v>4.5449999999999999</v>
      </c>
      <c r="P238" s="9"/>
    </row>
    <row r="239" spans="1:16" x14ac:dyDescent="0.25">
      <c r="A239" s="8">
        <v>5.5</v>
      </c>
      <c r="B239" s="1">
        <v>23</v>
      </c>
      <c r="C239" s="1" t="s">
        <v>88</v>
      </c>
      <c r="D239" s="1">
        <v>12450</v>
      </c>
      <c r="E239" s="1">
        <v>8990</v>
      </c>
      <c r="F239" s="1"/>
      <c r="G239" s="1"/>
      <c r="H239" s="1"/>
      <c r="I239" s="1" t="s">
        <v>13</v>
      </c>
      <c r="J239" s="1">
        <v>551</v>
      </c>
      <c r="K239" s="1"/>
      <c r="L239" s="1">
        <v>530</v>
      </c>
      <c r="M239" s="1">
        <v>0.41499999999999998</v>
      </c>
      <c r="N239" s="1">
        <v>4.67</v>
      </c>
      <c r="O239" s="1">
        <v>4.5449999999999999</v>
      </c>
      <c r="P239" s="9"/>
    </row>
    <row r="240" spans="1:16" x14ac:dyDescent="0.25">
      <c r="A240" s="6">
        <v>5.5</v>
      </c>
      <c r="B240" s="2">
        <v>23</v>
      </c>
      <c r="C240" s="2" t="s">
        <v>112</v>
      </c>
      <c r="D240" s="2">
        <v>11160</v>
      </c>
      <c r="E240" s="2">
        <v>9880</v>
      </c>
      <c r="F240" s="2"/>
      <c r="G240" s="2"/>
      <c r="H240" s="2"/>
      <c r="I240" s="2" t="s">
        <v>10</v>
      </c>
      <c r="J240" s="2">
        <v>502</v>
      </c>
      <c r="K240" s="2"/>
      <c r="L240" s="2">
        <v>530</v>
      </c>
      <c r="M240" s="2">
        <v>0.41499999999999998</v>
      </c>
      <c r="N240" s="2">
        <v>4.67</v>
      </c>
      <c r="O240" s="2">
        <v>4.5449999999999999</v>
      </c>
      <c r="P240" s="7"/>
    </row>
    <row r="241" spans="1:16" x14ac:dyDescent="0.25">
      <c r="A241" s="6">
        <v>5.5</v>
      </c>
      <c r="B241" s="2">
        <v>23</v>
      </c>
      <c r="C241" s="2" t="s">
        <v>112</v>
      </c>
      <c r="D241" s="2">
        <v>11160</v>
      </c>
      <c r="E241" s="2">
        <v>8990</v>
      </c>
      <c r="F241" s="2"/>
      <c r="G241" s="2"/>
      <c r="H241" s="2"/>
      <c r="I241" s="2" t="s">
        <v>13</v>
      </c>
      <c r="J241" s="2">
        <v>579</v>
      </c>
      <c r="K241" s="2"/>
      <c r="L241" s="2">
        <v>530</v>
      </c>
      <c r="M241" s="2">
        <v>0.41499999999999998</v>
      </c>
      <c r="N241" s="2">
        <v>4.67</v>
      </c>
      <c r="O241" s="2">
        <v>4.5449999999999999</v>
      </c>
      <c r="P241" s="7"/>
    </row>
    <row r="242" spans="1:16" x14ac:dyDescent="0.25">
      <c r="A242" s="8">
        <v>5.5</v>
      </c>
      <c r="B242" s="1">
        <v>23</v>
      </c>
      <c r="C242" s="1" t="s">
        <v>93</v>
      </c>
      <c r="D242" s="1">
        <v>12450</v>
      </c>
      <c r="E242" s="1">
        <v>9880</v>
      </c>
      <c r="F242" s="1"/>
      <c r="G242" s="1"/>
      <c r="H242" s="1"/>
      <c r="I242" s="1" t="s">
        <v>10</v>
      </c>
      <c r="J242" s="1">
        <v>514</v>
      </c>
      <c r="K242" s="1"/>
      <c r="L242" s="1">
        <v>530</v>
      </c>
      <c r="M242" s="1">
        <v>0.41499999999999998</v>
      </c>
      <c r="N242" s="1">
        <v>4.67</v>
      </c>
      <c r="O242" s="1">
        <v>4.5449999999999999</v>
      </c>
      <c r="P242" s="9"/>
    </row>
    <row r="243" spans="1:16" x14ac:dyDescent="0.25">
      <c r="A243" s="8">
        <v>5.5</v>
      </c>
      <c r="B243" s="1">
        <v>23</v>
      </c>
      <c r="C243" s="1" t="s">
        <v>93</v>
      </c>
      <c r="D243" s="1">
        <v>12450</v>
      </c>
      <c r="E243" s="1">
        <v>8990</v>
      </c>
      <c r="F243" s="1"/>
      <c r="G243" s="1"/>
      <c r="H243" s="1"/>
      <c r="I243" s="1" t="s">
        <v>13</v>
      </c>
      <c r="J243" s="1">
        <v>579</v>
      </c>
      <c r="K243" s="1"/>
      <c r="L243" s="1">
        <v>530</v>
      </c>
      <c r="M243" s="1">
        <v>0.41499999999999998</v>
      </c>
      <c r="N243" s="1">
        <v>4.67</v>
      </c>
      <c r="O243" s="1">
        <v>4.5449999999999999</v>
      </c>
      <c r="P243" s="9"/>
    </row>
    <row r="244" spans="1:16" x14ac:dyDescent="0.25">
      <c r="A244" s="6">
        <v>5.5</v>
      </c>
      <c r="B244" s="2">
        <v>23</v>
      </c>
      <c r="C244" s="2" t="s">
        <v>68</v>
      </c>
      <c r="D244" s="2">
        <v>12380</v>
      </c>
      <c r="E244" s="2">
        <v>11110</v>
      </c>
      <c r="F244" s="2"/>
      <c r="G244" s="2"/>
      <c r="H244" s="2"/>
      <c r="I244" s="2" t="s">
        <v>10</v>
      </c>
      <c r="J244" s="2">
        <v>514</v>
      </c>
      <c r="K244" s="2"/>
      <c r="L244" s="2">
        <v>597</v>
      </c>
      <c r="M244" s="2">
        <v>0.41499999999999998</v>
      </c>
      <c r="N244" s="2">
        <v>4.67</v>
      </c>
      <c r="O244" s="2">
        <v>4.5449999999999999</v>
      </c>
      <c r="P244" s="7"/>
    </row>
    <row r="245" spans="1:16" x14ac:dyDescent="0.25">
      <c r="A245" s="6">
        <v>5.5</v>
      </c>
      <c r="B245" s="2">
        <v>23</v>
      </c>
      <c r="C245" s="2" t="s">
        <v>68</v>
      </c>
      <c r="D245" s="2">
        <v>12380</v>
      </c>
      <c r="E245" s="2">
        <v>10120</v>
      </c>
      <c r="F245" s="2"/>
      <c r="G245" s="2"/>
      <c r="H245" s="2"/>
      <c r="I245" s="2" t="s">
        <v>13</v>
      </c>
      <c r="J245" s="2">
        <v>579</v>
      </c>
      <c r="K245" s="2"/>
      <c r="L245" s="2">
        <v>597</v>
      </c>
      <c r="M245" s="2">
        <v>0.41499999999999998</v>
      </c>
      <c r="N245" s="2">
        <v>4.67</v>
      </c>
      <c r="O245" s="2">
        <v>4.5449999999999999</v>
      </c>
      <c r="P245" s="7"/>
    </row>
    <row r="246" spans="1:16" x14ac:dyDescent="0.25">
      <c r="A246" s="8">
        <v>5.5</v>
      </c>
      <c r="B246" s="1">
        <v>23</v>
      </c>
      <c r="C246" s="1" t="s">
        <v>115</v>
      </c>
      <c r="D246" s="1">
        <v>12940</v>
      </c>
      <c r="E246" s="1">
        <v>11730</v>
      </c>
      <c r="F246" s="1"/>
      <c r="G246" s="1"/>
      <c r="H246" s="1"/>
      <c r="I246" s="1" t="s">
        <v>10</v>
      </c>
      <c r="J246" s="1">
        <v>566</v>
      </c>
      <c r="K246" s="1"/>
      <c r="L246" s="1">
        <v>630</v>
      </c>
      <c r="M246" s="1">
        <v>0.41499999999999998</v>
      </c>
      <c r="N246" s="1">
        <v>4.67</v>
      </c>
      <c r="O246" s="1">
        <v>4.5449999999999999</v>
      </c>
      <c r="P246" s="9"/>
    </row>
    <row r="247" spans="1:16" x14ac:dyDescent="0.25">
      <c r="A247" s="8">
        <v>5.5</v>
      </c>
      <c r="B247" s="1">
        <v>23</v>
      </c>
      <c r="C247" s="1" t="s">
        <v>115</v>
      </c>
      <c r="D247" s="1">
        <v>12940</v>
      </c>
      <c r="E247" s="1">
        <v>10680</v>
      </c>
      <c r="F247" s="1"/>
      <c r="G247" s="1"/>
      <c r="H247" s="1"/>
      <c r="I247" s="1" t="s">
        <v>13</v>
      </c>
      <c r="J247" s="1">
        <v>637</v>
      </c>
      <c r="K247" s="1"/>
      <c r="L247" s="1">
        <v>630</v>
      </c>
      <c r="M247" s="1">
        <v>0.41499999999999998</v>
      </c>
      <c r="N247" s="1">
        <v>4.67</v>
      </c>
      <c r="O247" s="1">
        <v>4.5449999999999999</v>
      </c>
      <c r="P247" s="9"/>
    </row>
    <row r="248" spans="1:16" x14ac:dyDescent="0.25">
      <c r="A248" s="6">
        <v>5.5</v>
      </c>
      <c r="B248" s="2">
        <v>23</v>
      </c>
      <c r="C248" s="2" t="s">
        <v>116</v>
      </c>
      <c r="D248" s="2">
        <v>12940</v>
      </c>
      <c r="E248" s="2">
        <v>11730</v>
      </c>
      <c r="F248" s="2"/>
      <c r="G248" s="2"/>
      <c r="H248" s="2"/>
      <c r="I248" s="2" t="s">
        <v>10</v>
      </c>
      <c r="J248" s="2">
        <v>540</v>
      </c>
      <c r="K248" s="2"/>
      <c r="L248" s="2">
        <v>630</v>
      </c>
      <c r="M248" s="2">
        <v>0.41499999999999998</v>
      </c>
      <c r="N248" s="2">
        <v>4.67</v>
      </c>
      <c r="O248" s="2">
        <v>4.5449999999999999</v>
      </c>
      <c r="P248" s="7"/>
    </row>
    <row r="249" spans="1:16" x14ac:dyDescent="0.25">
      <c r="A249" s="6">
        <v>5.5</v>
      </c>
      <c r="B249" s="2">
        <v>23</v>
      </c>
      <c r="C249" s="2" t="s">
        <v>116</v>
      </c>
      <c r="D249" s="2">
        <v>12940</v>
      </c>
      <c r="E249" s="2">
        <v>10680</v>
      </c>
      <c r="F249" s="2"/>
      <c r="G249" s="2"/>
      <c r="H249" s="2"/>
      <c r="I249" s="2" t="s">
        <v>13</v>
      </c>
      <c r="J249" s="2">
        <v>608</v>
      </c>
      <c r="K249" s="2"/>
      <c r="L249" s="2">
        <v>630</v>
      </c>
      <c r="M249" s="2">
        <v>0.41499999999999998</v>
      </c>
      <c r="N249" s="2">
        <v>4.67</v>
      </c>
      <c r="O249" s="2">
        <v>4.5449999999999999</v>
      </c>
      <c r="P249" s="7"/>
    </row>
    <row r="250" spans="1:16" x14ac:dyDescent="0.25">
      <c r="A250" s="8">
        <v>5.5</v>
      </c>
      <c r="B250" s="1">
        <v>23</v>
      </c>
      <c r="C250" s="1" t="s">
        <v>74</v>
      </c>
      <c r="D250" s="1">
        <v>12940</v>
      </c>
      <c r="E250" s="1">
        <v>11730</v>
      </c>
      <c r="F250" s="1"/>
      <c r="G250" s="1"/>
      <c r="H250" s="1"/>
      <c r="I250" s="1" t="s">
        <v>10</v>
      </c>
      <c r="J250" s="1">
        <v>540</v>
      </c>
      <c r="K250" s="1"/>
      <c r="L250" s="1">
        <v>630</v>
      </c>
      <c r="M250" s="1">
        <v>0.41499999999999998</v>
      </c>
      <c r="N250" s="1">
        <v>4.67</v>
      </c>
      <c r="O250" s="1">
        <v>4.5449999999999999</v>
      </c>
      <c r="P250" s="9"/>
    </row>
    <row r="251" spans="1:16" x14ac:dyDescent="0.25">
      <c r="A251" s="8">
        <v>5.5</v>
      </c>
      <c r="B251" s="1">
        <v>23</v>
      </c>
      <c r="C251" s="1" t="s">
        <v>74</v>
      </c>
      <c r="D251" s="1">
        <v>12940</v>
      </c>
      <c r="E251" s="1">
        <v>10680</v>
      </c>
      <c r="F251" s="1"/>
      <c r="G251" s="1"/>
      <c r="H251" s="1"/>
      <c r="I251" s="1" t="s">
        <v>13</v>
      </c>
      <c r="J251" s="1">
        <v>608</v>
      </c>
      <c r="K251" s="1"/>
      <c r="L251" s="1">
        <v>630</v>
      </c>
      <c r="M251" s="1">
        <v>0.41499999999999998</v>
      </c>
      <c r="N251" s="1">
        <v>4.67</v>
      </c>
      <c r="O251" s="1">
        <v>4.5449999999999999</v>
      </c>
      <c r="P251" s="9"/>
    </row>
    <row r="252" spans="1:16" x14ac:dyDescent="0.25">
      <c r="A252" s="6">
        <v>5.5</v>
      </c>
      <c r="B252" s="2">
        <v>23</v>
      </c>
      <c r="C252" s="2" t="s">
        <v>113</v>
      </c>
      <c r="D252" s="2">
        <v>14540</v>
      </c>
      <c r="E252" s="2">
        <v>13580</v>
      </c>
      <c r="F252" s="2"/>
      <c r="G252" s="2"/>
      <c r="H252" s="2"/>
      <c r="I252" s="2" t="s">
        <v>10</v>
      </c>
      <c r="J252" s="2">
        <v>643</v>
      </c>
      <c r="K252" s="2"/>
      <c r="L252" s="2">
        <v>729</v>
      </c>
      <c r="M252" s="2">
        <v>0.41499999999999998</v>
      </c>
      <c r="N252" s="2">
        <v>4.67</v>
      </c>
      <c r="O252" s="2">
        <v>4.5449999999999999</v>
      </c>
      <c r="P252" s="7"/>
    </row>
    <row r="253" spans="1:16" x14ac:dyDescent="0.25">
      <c r="A253" s="6">
        <v>5.5</v>
      </c>
      <c r="B253" s="2">
        <v>23</v>
      </c>
      <c r="C253" s="2" t="s">
        <v>113</v>
      </c>
      <c r="D253" s="2">
        <v>14540</v>
      </c>
      <c r="E253" s="2">
        <v>12360</v>
      </c>
      <c r="F253" s="2"/>
      <c r="G253" s="2"/>
      <c r="H253" s="2"/>
      <c r="I253" s="2" t="s">
        <v>13</v>
      </c>
      <c r="J253" s="2">
        <v>724</v>
      </c>
      <c r="K253" s="2"/>
      <c r="L253" s="2">
        <v>729</v>
      </c>
      <c r="M253" s="2">
        <v>0.41499999999999998</v>
      </c>
      <c r="N253" s="2">
        <v>4.67</v>
      </c>
      <c r="O253" s="2">
        <v>4.5449999999999999</v>
      </c>
      <c r="P253" s="7"/>
    </row>
    <row r="254" spans="1:16" x14ac:dyDescent="0.25">
      <c r="A254" s="8">
        <v>5.5</v>
      </c>
      <c r="B254" s="1">
        <v>23</v>
      </c>
      <c r="C254" s="1" t="s">
        <v>114</v>
      </c>
      <c r="D254" s="1">
        <v>16070</v>
      </c>
      <c r="E254" s="1">
        <v>15430</v>
      </c>
      <c r="F254" s="1"/>
      <c r="G254" s="1"/>
      <c r="H254" s="1"/>
      <c r="I254" s="1" t="s">
        <v>10</v>
      </c>
      <c r="J254" s="1">
        <v>694</v>
      </c>
      <c r="K254" s="1"/>
      <c r="L254" s="1">
        <v>829</v>
      </c>
      <c r="M254" s="1">
        <v>0.41499999999999998</v>
      </c>
      <c r="N254" s="1">
        <v>4.67</v>
      </c>
      <c r="O254" s="1">
        <v>4.5449999999999999</v>
      </c>
      <c r="P254" s="9"/>
    </row>
    <row r="255" spans="1:16" x14ac:dyDescent="0.25">
      <c r="A255" s="8">
        <v>5.5</v>
      </c>
      <c r="B255" s="1">
        <v>23</v>
      </c>
      <c r="C255" s="1" t="s">
        <v>114</v>
      </c>
      <c r="D255" s="1">
        <v>16070</v>
      </c>
      <c r="E255" s="1">
        <v>14050</v>
      </c>
      <c r="F255" s="1"/>
      <c r="G255" s="1"/>
      <c r="H255" s="1"/>
      <c r="I255" s="1" t="s">
        <v>13</v>
      </c>
      <c r="J255" s="1">
        <v>782</v>
      </c>
      <c r="K255" s="1"/>
      <c r="L255" s="1">
        <v>829</v>
      </c>
      <c r="M255" s="1">
        <v>0.41499999999999998</v>
      </c>
      <c r="N255" s="1">
        <v>4.67</v>
      </c>
      <c r="O255" s="1">
        <v>4.5449999999999999</v>
      </c>
      <c r="P255" s="9"/>
    </row>
    <row r="256" spans="1:16" x14ac:dyDescent="0.25">
      <c r="A256" s="6">
        <v>5.5</v>
      </c>
      <c r="B256" s="2">
        <v>23</v>
      </c>
      <c r="C256" s="2" t="s">
        <v>117</v>
      </c>
      <c r="D256" s="2">
        <v>18390</v>
      </c>
      <c r="E256" s="2">
        <v>18520</v>
      </c>
      <c r="F256" s="2"/>
      <c r="G256" s="2"/>
      <c r="H256" s="2"/>
      <c r="I256" s="2" t="s">
        <v>10</v>
      </c>
      <c r="J256" s="2">
        <v>823</v>
      </c>
      <c r="K256" s="2"/>
      <c r="L256" s="2">
        <v>995</v>
      </c>
      <c r="M256" s="2">
        <v>0.41499999999999998</v>
      </c>
      <c r="N256" s="2">
        <v>4.67</v>
      </c>
      <c r="O256" s="2">
        <v>4.5449999999999999</v>
      </c>
      <c r="P256" s="7"/>
    </row>
    <row r="257" spans="1:16" x14ac:dyDescent="0.25">
      <c r="A257" s="6">
        <v>5.5</v>
      </c>
      <c r="B257" s="2">
        <v>23</v>
      </c>
      <c r="C257" s="2" t="s">
        <v>117</v>
      </c>
      <c r="D257" s="2">
        <v>18390</v>
      </c>
      <c r="E257" s="2">
        <v>16860</v>
      </c>
      <c r="F257" s="2"/>
      <c r="G257" s="2"/>
      <c r="H257" s="2"/>
      <c r="I257" s="2" t="s">
        <v>13</v>
      </c>
      <c r="J257" s="2">
        <v>927</v>
      </c>
      <c r="K257" s="2"/>
      <c r="L257" s="2">
        <v>995</v>
      </c>
      <c r="M257" s="2">
        <v>0.41499999999999998</v>
      </c>
      <c r="N257" s="2">
        <v>4.67</v>
      </c>
      <c r="O257" s="2">
        <v>4.5449999999999999</v>
      </c>
      <c r="P257" s="7"/>
    </row>
    <row r="258" spans="1:16" x14ac:dyDescent="0.25">
      <c r="A258" s="8">
        <v>5.5</v>
      </c>
      <c r="B258" s="1">
        <v>26</v>
      </c>
      <c r="C258" s="1" t="s">
        <v>68</v>
      </c>
      <c r="D258" s="1">
        <v>14240</v>
      </c>
      <c r="E258" s="1">
        <v>11110</v>
      </c>
      <c r="F258" s="1"/>
      <c r="G258" s="1"/>
      <c r="H258" s="1"/>
      <c r="I258" s="1" t="s">
        <v>10</v>
      </c>
      <c r="J258" s="1">
        <v>598</v>
      </c>
      <c r="K258" s="1"/>
      <c r="L258" s="1">
        <v>676</v>
      </c>
      <c r="M258" s="1">
        <v>0.47599999999999998</v>
      </c>
      <c r="N258" s="1">
        <v>4.548</v>
      </c>
      <c r="O258" s="1">
        <v>4.423</v>
      </c>
      <c r="P258" s="9"/>
    </row>
    <row r="259" spans="1:16" x14ac:dyDescent="0.25">
      <c r="A259" s="8">
        <v>5.5</v>
      </c>
      <c r="B259" s="1">
        <v>26</v>
      </c>
      <c r="C259" s="1" t="s">
        <v>68</v>
      </c>
      <c r="D259" s="1">
        <v>14240</v>
      </c>
      <c r="E259" s="1">
        <v>10120</v>
      </c>
      <c r="F259" s="1"/>
      <c r="G259" s="1"/>
      <c r="H259" s="1"/>
      <c r="I259" s="1" t="s">
        <v>13</v>
      </c>
      <c r="J259" s="1">
        <v>579</v>
      </c>
      <c r="K259" s="1"/>
      <c r="L259" s="1">
        <v>676</v>
      </c>
      <c r="M259" s="1">
        <v>0.47599999999999998</v>
      </c>
      <c r="N259" s="1">
        <v>4.548</v>
      </c>
      <c r="O259" s="1">
        <v>4.423</v>
      </c>
      <c r="P259" s="9"/>
    </row>
    <row r="260" spans="1:16" x14ac:dyDescent="0.25">
      <c r="A260" s="6">
        <v>5.5</v>
      </c>
      <c r="B260" s="2">
        <v>26</v>
      </c>
      <c r="C260" s="2" t="s">
        <v>116</v>
      </c>
      <c r="D260" s="2">
        <v>15030</v>
      </c>
      <c r="E260" s="2">
        <v>11730</v>
      </c>
      <c r="F260" s="2"/>
      <c r="G260" s="2"/>
      <c r="H260" s="2"/>
      <c r="I260" s="2" t="s">
        <v>10</v>
      </c>
      <c r="J260" s="2">
        <v>628</v>
      </c>
      <c r="K260" s="2"/>
      <c r="L260" s="2">
        <v>714</v>
      </c>
      <c r="M260" s="2">
        <v>0.47599999999999998</v>
      </c>
      <c r="N260" s="2">
        <v>4.548</v>
      </c>
      <c r="O260" s="2">
        <v>4.423</v>
      </c>
      <c r="P260" s="7"/>
    </row>
    <row r="261" spans="1:16" x14ac:dyDescent="0.25">
      <c r="A261" s="6">
        <v>5.5</v>
      </c>
      <c r="B261" s="2">
        <v>26</v>
      </c>
      <c r="C261" s="2" t="s">
        <v>116</v>
      </c>
      <c r="D261" s="2">
        <v>15030</v>
      </c>
      <c r="E261" s="2">
        <v>10680</v>
      </c>
      <c r="F261" s="2"/>
      <c r="G261" s="2"/>
      <c r="H261" s="2"/>
      <c r="I261" s="2" t="s">
        <v>13</v>
      </c>
      <c r="J261" s="2">
        <v>608</v>
      </c>
      <c r="K261" s="2"/>
      <c r="L261" s="2">
        <v>714</v>
      </c>
      <c r="M261" s="2">
        <v>0.47599999999999998</v>
      </c>
      <c r="N261" s="2">
        <v>4.548</v>
      </c>
      <c r="O261" s="2">
        <v>4.423</v>
      </c>
      <c r="P261" s="7"/>
    </row>
    <row r="262" spans="1:16" x14ac:dyDescent="0.25">
      <c r="A262" s="8">
        <v>5.5</v>
      </c>
      <c r="B262" s="1">
        <v>26</v>
      </c>
      <c r="C262" s="1" t="s">
        <v>74</v>
      </c>
      <c r="D262" s="1">
        <v>15030</v>
      </c>
      <c r="E262" s="1">
        <v>11730</v>
      </c>
      <c r="F262" s="1"/>
      <c r="G262" s="1"/>
      <c r="H262" s="1"/>
      <c r="I262" s="1" t="s">
        <v>10</v>
      </c>
      <c r="J262" s="1">
        <v>628</v>
      </c>
      <c r="K262" s="1"/>
      <c r="L262" s="1">
        <v>714</v>
      </c>
      <c r="M262" s="1">
        <v>0.47599999999999998</v>
      </c>
      <c r="N262" s="1">
        <v>4.548</v>
      </c>
      <c r="O262" s="1">
        <v>4.423</v>
      </c>
      <c r="P262" s="9"/>
    </row>
    <row r="263" spans="1:16" x14ac:dyDescent="0.25">
      <c r="A263" s="8">
        <v>5.5</v>
      </c>
      <c r="B263" s="1">
        <v>26</v>
      </c>
      <c r="C263" s="1" t="s">
        <v>74</v>
      </c>
      <c r="D263" s="1">
        <v>15030</v>
      </c>
      <c r="E263" s="1">
        <v>10680</v>
      </c>
      <c r="F263" s="1"/>
      <c r="G263" s="1"/>
      <c r="H263" s="1"/>
      <c r="I263" s="1" t="s">
        <v>13</v>
      </c>
      <c r="J263" s="1">
        <v>608</v>
      </c>
      <c r="K263" s="1"/>
      <c r="L263" s="1">
        <v>714</v>
      </c>
      <c r="M263" s="1">
        <v>0.47599999999999998</v>
      </c>
      <c r="N263" s="1">
        <v>4.548</v>
      </c>
      <c r="O263" s="1">
        <v>4.423</v>
      </c>
      <c r="P263" s="9"/>
    </row>
    <row r="264" spans="1:16" x14ac:dyDescent="0.25">
      <c r="A264" s="6">
        <v>5.5</v>
      </c>
      <c r="B264" s="2">
        <v>26</v>
      </c>
      <c r="C264" s="2" t="s">
        <v>113</v>
      </c>
      <c r="D264" s="2">
        <v>17400</v>
      </c>
      <c r="E264" s="2">
        <v>13580</v>
      </c>
      <c r="F264" s="2"/>
      <c r="G264" s="2"/>
      <c r="H264" s="2"/>
      <c r="I264" s="2" t="s">
        <v>10</v>
      </c>
      <c r="J264" s="2">
        <v>748</v>
      </c>
      <c r="K264" s="2"/>
      <c r="L264" s="2">
        <v>826</v>
      </c>
      <c r="M264" s="2">
        <v>0.47599999999999998</v>
      </c>
      <c r="N264" s="2">
        <v>4.548</v>
      </c>
      <c r="O264" s="2">
        <v>4.423</v>
      </c>
      <c r="P264" s="7"/>
    </row>
    <row r="265" spans="1:16" x14ac:dyDescent="0.25">
      <c r="A265" s="6">
        <v>5.5</v>
      </c>
      <c r="B265" s="2">
        <v>26</v>
      </c>
      <c r="C265" s="2" t="s">
        <v>113</v>
      </c>
      <c r="D265" s="2">
        <v>17400</v>
      </c>
      <c r="E265" s="2">
        <v>12360</v>
      </c>
      <c r="F265" s="2"/>
      <c r="G265" s="2"/>
      <c r="H265" s="2"/>
      <c r="I265" s="2" t="s">
        <v>13</v>
      </c>
      <c r="J265" s="2">
        <v>724</v>
      </c>
      <c r="K265" s="2"/>
      <c r="L265" s="2">
        <v>826</v>
      </c>
      <c r="M265" s="2">
        <v>0.47599999999999998</v>
      </c>
      <c r="N265" s="2">
        <v>4.548</v>
      </c>
      <c r="O265" s="2">
        <v>4.423</v>
      </c>
      <c r="P265" s="7"/>
    </row>
    <row r="266" spans="1:16" x14ac:dyDescent="0.25">
      <c r="A266" s="8">
        <v>5.5</v>
      </c>
      <c r="B266" s="1">
        <v>26</v>
      </c>
      <c r="C266" s="1" t="s">
        <v>114</v>
      </c>
      <c r="D266" s="1">
        <v>19770</v>
      </c>
      <c r="E266" s="1">
        <v>15430</v>
      </c>
      <c r="F266" s="1"/>
      <c r="G266" s="1"/>
      <c r="H266" s="1"/>
      <c r="I266" s="1" t="s">
        <v>10</v>
      </c>
      <c r="J266" s="1">
        <v>808</v>
      </c>
      <c r="K266" s="1"/>
      <c r="L266" s="1">
        <v>939</v>
      </c>
      <c r="M266" s="1">
        <v>0.47599999999999998</v>
      </c>
      <c r="N266" s="1">
        <v>4.548</v>
      </c>
      <c r="O266" s="1">
        <v>4.423</v>
      </c>
      <c r="P266" s="9"/>
    </row>
    <row r="267" spans="1:16" x14ac:dyDescent="0.25">
      <c r="A267" s="8">
        <v>5.5</v>
      </c>
      <c r="B267" s="1">
        <v>26</v>
      </c>
      <c r="C267" s="1" t="s">
        <v>114</v>
      </c>
      <c r="D267" s="1">
        <v>19770</v>
      </c>
      <c r="E267" s="1">
        <v>14050</v>
      </c>
      <c r="F267" s="1"/>
      <c r="G267" s="1"/>
      <c r="H267" s="1"/>
      <c r="I267" s="1" t="s">
        <v>13</v>
      </c>
      <c r="J267" s="1">
        <v>782</v>
      </c>
      <c r="K267" s="1"/>
      <c r="L267" s="1">
        <v>939</v>
      </c>
      <c r="M267" s="1">
        <v>0.47599999999999998</v>
      </c>
      <c r="N267" s="1">
        <v>4.548</v>
      </c>
      <c r="O267" s="1">
        <v>4.423</v>
      </c>
      <c r="P267" s="9"/>
    </row>
    <row r="268" spans="1:16" x14ac:dyDescent="0.25">
      <c r="A268" s="6">
        <v>5.5</v>
      </c>
      <c r="B268" s="2">
        <v>26</v>
      </c>
      <c r="C268" s="2" t="s">
        <v>117</v>
      </c>
      <c r="D268" s="2">
        <v>23720</v>
      </c>
      <c r="E268" s="2">
        <v>18520</v>
      </c>
      <c r="F268" s="2"/>
      <c r="G268" s="2"/>
      <c r="H268" s="2"/>
      <c r="I268" s="2" t="s">
        <v>10</v>
      </c>
      <c r="J268" s="2">
        <v>957</v>
      </c>
      <c r="K268" s="2"/>
      <c r="L268" s="2">
        <v>1127</v>
      </c>
      <c r="M268" s="2">
        <v>0.47599999999999998</v>
      </c>
      <c r="N268" s="2">
        <v>4.548</v>
      </c>
      <c r="O268" s="2">
        <v>4.423</v>
      </c>
      <c r="P268" s="7"/>
    </row>
    <row r="269" spans="1:16" x14ac:dyDescent="0.25">
      <c r="A269" s="6">
        <v>5.5</v>
      </c>
      <c r="B269" s="2">
        <v>26</v>
      </c>
      <c r="C269" s="2" t="s">
        <v>117</v>
      </c>
      <c r="D269" s="2">
        <v>23720</v>
      </c>
      <c r="E269" s="2">
        <v>16860</v>
      </c>
      <c r="F269" s="2"/>
      <c r="G269" s="2"/>
      <c r="H269" s="2"/>
      <c r="I269" s="2" t="s">
        <v>13</v>
      </c>
      <c r="J269" s="2">
        <v>927</v>
      </c>
      <c r="K269" s="2"/>
      <c r="L269" s="2">
        <v>1127</v>
      </c>
      <c r="M269" s="2">
        <v>0.47599999999999998</v>
      </c>
      <c r="N269" s="2">
        <v>4.548</v>
      </c>
      <c r="O269" s="2">
        <v>4.423</v>
      </c>
      <c r="P269" s="7"/>
    </row>
    <row r="270" spans="1:16" x14ac:dyDescent="0.25">
      <c r="A270" s="8">
        <v>5.5</v>
      </c>
      <c r="B270" s="1">
        <v>26.8</v>
      </c>
      <c r="C270" s="1" t="s">
        <v>68</v>
      </c>
      <c r="D270" s="1">
        <v>14880</v>
      </c>
      <c r="E270" s="1">
        <v>14320</v>
      </c>
      <c r="F270" s="1"/>
      <c r="G270" s="1"/>
      <c r="H270" s="1"/>
      <c r="I270" s="1" t="s">
        <v>79</v>
      </c>
      <c r="J270" s="1">
        <v>707</v>
      </c>
      <c r="K270" s="1"/>
      <c r="L270" s="1">
        <v>707</v>
      </c>
      <c r="M270" s="1">
        <v>0.5</v>
      </c>
      <c r="N270" s="1">
        <v>4.5</v>
      </c>
      <c r="O270" s="1">
        <v>4.375</v>
      </c>
      <c r="P270" s="9"/>
    </row>
    <row r="271" spans="1:16" x14ac:dyDescent="0.25">
      <c r="A271" s="6">
        <v>5.5</v>
      </c>
      <c r="B271" s="2">
        <v>26.8</v>
      </c>
      <c r="C271" s="2" t="s">
        <v>116</v>
      </c>
      <c r="D271" s="2">
        <v>15700</v>
      </c>
      <c r="E271" s="2">
        <v>15110</v>
      </c>
      <c r="F271" s="2"/>
      <c r="G271" s="2"/>
      <c r="H271" s="2"/>
      <c r="I271" s="2" t="s">
        <v>79</v>
      </c>
      <c r="J271" s="2">
        <v>746</v>
      </c>
      <c r="K271" s="2"/>
      <c r="L271" s="2">
        <v>746</v>
      </c>
      <c r="M271" s="2">
        <v>0.5</v>
      </c>
      <c r="N271" s="2">
        <v>4.5</v>
      </c>
      <c r="O271" s="2">
        <v>4.375</v>
      </c>
      <c r="P271" s="7"/>
    </row>
    <row r="272" spans="1:16" x14ac:dyDescent="0.25">
      <c r="A272" s="8">
        <v>5.5</v>
      </c>
      <c r="B272" s="1">
        <v>29.7</v>
      </c>
      <c r="C272" s="1" t="s">
        <v>68</v>
      </c>
      <c r="D272" s="1">
        <v>16510</v>
      </c>
      <c r="E272" s="1">
        <v>16090</v>
      </c>
      <c r="F272" s="1"/>
      <c r="G272" s="1"/>
      <c r="H272" s="1"/>
      <c r="I272" s="1" t="s">
        <v>79</v>
      </c>
      <c r="J272" s="1">
        <v>785</v>
      </c>
      <c r="K272" s="1"/>
      <c r="L272" s="1">
        <v>785</v>
      </c>
      <c r="M272" s="1">
        <v>0.56200000000000006</v>
      </c>
      <c r="N272" s="1">
        <v>4.3760000000000003</v>
      </c>
      <c r="O272" s="1">
        <v>4.2510000000000003</v>
      </c>
      <c r="P272" s="9"/>
    </row>
    <row r="273" spans="1:16" x14ac:dyDescent="0.25">
      <c r="A273" s="6">
        <v>5.5</v>
      </c>
      <c r="B273" s="2">
        <v>29.7</v>
      </c>
      <c r="C273" s="2" t="s">
        <v>116</v>
      </c>
      <c r="D273" s="2">
        <v>17430</v>
      </c>
      <c r="E273" s="2">
        <v>16990</v>
      </c>
      <c r="F273" s="2"/>
      <c r="G273" s="2"/>
      <c r="H273" s="2"/>
      <c r="I273" s="2" t="s">
        <v>79</v>
      </c>
      <c r="J273" s="2">
        <v>828</v>
      </c>
      <c r="K273" s="2"/>
      <c r="L273" s="2">
        <v>828</v>
      </c>
      <c r="M273" s="2">
        <v>0.56200000000000006</v>
      </c>
      <c r="N273" s="2">
        <v>4.3760000000000003</v>
      </c>
      <c r="O273" s="2">
        <v>4.2510000000000003</v>
      </c>
      <c r="P273" s="7"/>
    </row>
    <row r="274" spans="1:16" x14ac:dyDescent="0.25">
      <c r="A274" s="8">
        <v>5.5</v>
      </c>
      <c r="B274" s="1">
        <v>32.6</v>
      </c>
      <c r="C274" s="1" t="s">
        <v>68</v>
      </c>
      <c r="D274" s="1">
        <v>18130</v>
      </c>
      <c r="E274" s="1">
        <v>17900</v>
      </c>
      <c r="F274" s="1"/>
      <c r="G274" s="1"/>
      <c r="H274" s="1"/>
      <c r="I274" s="1" t="s">
        <v>79</v>
      </c>
      <c r="J274" s="1">
        <v>861</v>
      </c>
      <c r="K274" s="1"/>
      <c r="L274" s="1">
        <v>861</v>
      </c>
      <c r="M274" s="1">
        <v>0.625</v>
      </c>
      <c r="N274" s="1">
        <v>4.25</v>
      </c>
      <c r="O274" s="1">
        <v>4.125</v>
      </c>
      <c r="P274" s="9"/>
    </row>
    <row r="275" spans="1:16" x14ac:dyDescent="0.25">
      <c r="A275" s="6">
        <v>5.5</v>
      </c>
      <c r="B275" s="2">
        <v>32.6</v>
      </c>
      <c r="C275" s="2" t="s">
        <v>116</v>
      </c>
      <c r="D275" s="2">
        <v>19140</v>
      </c>
      <c r="E275" s="2">
        <v>18810</v>
      </c>
      <c r="F275" s="2"/>
      <c r="G275" s="2"/>
      <c r="H275" s="2"/>
      <c r="I275" s="2" t="s">
        <v>79</v>
      </c>
      <c r="J275" s="2">
        <v>909</v>
      </c>
      <c r="K275" s="2"/>
      <c r="L275" s="2">
        <v>909</v>
      </c>
      <c r="M275" s="2">
        <v>0.625</v>
      </c>
      <c r="N275" s="2">
        <v>4.25</v>
      </c>
      <c r="O275" s="2">
        <v>4.125</v>
      </c>
      <c r="P275" s="7"/>
    </row>
    <row r="276" spans="1:16" x14ac:dyDescent="0.25">
      <c r="A276" s="8">
        <v>5.5</v>
      </c>
      <c r="B276" s="1">
        <v>35.299999999999997</v>
      </c>
      <c r="C276" s="1" t="s">
        <v>68</v>
      </c>
      <c r="D276" s="1">
        <v>19680</v>
      </c>
      <c r="E276" s="1">
        <v>19670</v>
      </c>
      <c r="F276" s="1"/>
      <c r="G276" s="1"/>
      <c r="H276" s="1"/>
      <c r="I276" s="1" t="s">
        <v>79</v>
      </c>
      <c r="J276" s="1">
        <v>935</v>
      </c>
      <c r="K276" s="1"/>
      <c r="L276" s="1">
        <v>935</v>
      </c>
      <c r="M276" s="1">
        <v>0.68700000000000006</v>
      </c>
      <c r="N276" s="1">
        <v>4.1260000000000003</v>
      </c>
      <c r="O276" s="1">
        <v>4.0010000000000003</v>
      </c>
      <c r="P276" s="9"/>
    </row>
    <row r="277" spans="1:16" x14ac:dyDescent="0.25">
      <c r="A277" s="6">
        <v>5.5</v>
      </c>
      <c r="B277" s="2">
        <v>35.299999999999997</v>
      </c>
      <c r="C277" s="2" t="s">
        <v>116</v>
      </c>
      <c r="D277" s="2">
        <v>20760</v>
      </c>
      <c r="E277" s="2">
        <v>20770</v>
      </c>
      <c r="F277" s="2"/>
      <c r="G277" s="2"/>
      <c r="H277" s="2"/>
      <c r="I277" s="2" t="s">
        <v>79</v>
      </c>
      <c r="J277" s="2">
        <v>987</v>
      </c>
      <c r="K277" s="2"/>
      <c r="L277" s="2">
        <v>987</v>
      </c>
      <c r="M277" s="2">
        <v>0.68700000000000006</v>
      </c>
      <c r="N277" s="2">
        <v>4.1260000000000003</v>
      </c>
      <c r="O277" s="2">
        <v>4.0010000000000003</v>
      </c>
      <c r="P277" s="7"/>
    </row>
    <row r="278" spans="1:16" x14ac:dyDescent="0.25">
      <c r="A278" s="8">
        <v>5.5</v>
      </c>
      <c r="B278" s="1">
        <v>38</v>
      </c>
      <c r="C278" s="1" t="s">
        <v>68</v>
      </c>
      <c r="D278" s="1">
        <v>21200</v>
      </c>
      <c r="E278" s="1">
        <v>21480</v>
      </c>
      <c r="F278" s="1"/>
      <c r="G278" s="1"/>
      <c r="H278" s="1"/>
      <c r="I278" s="1" t="s">
        <v>79</v>
      </c>
      <c r="J278" s="1">
        <v>1007</v>
      </c>
      <c r="K278" s="1"/>
      <c r="L278" s="1">
        <v>1007</v>
      </c>
      <c r="M278" s="1">
        <v>0.75</v>
      </c>
      <c r="N278" s="1">
        <v>4</v>
      </c>
      <c r="O278" s="1">
        <v>3.875</v>
      </c>
      <c r="P278" s="9"/>
    </row>
    <row r="279" spans="1:16" x14ac:dyDescent="0.25">
      <c r="A279" s="6">
        <v>5.5</v>
      </c>
      <c r="B279" s="2">
        <v>38</v>
      </c>
      <c r="C279" s="2" t="s">
        <v>116</v>
      </c>
      <c r="D279" s="2">
        <v>22380</v>
      </c>
      <c r="E279" s="2">
        <v>22670</v>
      </c>
      <c r="F279" s="2"/>
      <c r="G279" s="2"/>
      <c r="H279" s="2"/>
      <c r="I279" s="2" t="s">
        <v>79</v>
      </c>
      <c r="J279" s="2">
        <v>1063</v>
      </c>
      <c r="K279" s="2"/>
      <c r="L279" s="2">
        <v>1063</v>
      </c>
      <c r="M279" s="2">
        <v>0.75</v>
      </c>
      <c r="N279" s="2">
        <v>4</v>
      </c>
      <c r="O279" s="2">
        <v>3.875</v>
      </c>
      <c r="P279" s="7"/>
    </row>
    <row r="280" spans="1:16" x14ac:dyDescent="0.25">
      <c r="A280" s="8">
        <v>5.5</v>
      </c>
      <c r="B280" s="1">
        <v>40.5</v>
      </c>
      <c r="C280" s="1" t="s">
        <v>68</v>
      </c>
      <c r="D280" s="1">
        <v>22650</v>
      </c>
      <c r="E280" s="1">
        <v>23250</v>
      </c>
      <c r="F280" s="1"/>
      <c r="G280" s="1"/>
      <c r="H280" s="1"/>
      <c r="I280" s="1" t="s">
        <v>79</v>
      </c>
      <c r="J280" s="1">
        <v>1076</v>
      </c>
      <c r="K280" s="1"/>
      <c r="L280" s="1">
        <v>1076</v>
      </c>
      <c r="M280" s="1">
        <v>0.81200000000000006</v>
      </c>
      <c r="N280" s="1">
        <v>3.8759999999999999</v>
      </c>
      <c r="O280" s="1">
        <v>3.7509999999999999</v>
      </c>
      <c r="P280" s="9"/>
    </row>
    <row r="281" spans="1:16" x14ac:dyDescent="0.25">
      <c r="A281" s="6">
        <v>5.5</v>
      </c>
      <c r="B281" s="2">
        <v>40.5</v>
      </c>
      <c r="C281" s="2" t="s">
        <v>116</v>
      </c>
      <c r="D281" s="2">
        <v>23920</v>
      </c>
      <c r="E281" s="2">
        <v>24540</v>
      </c>
      <c r="F281" s="2"/>
      <c r="G281" s="2"/>
      <c r="H281" s="2"/>
      <c r="I281" s="2" t="s">
        <v>79</v>
      </c>
      <c r="J281" s="2">
        <v>1136</v>
      </c>
      <c r="K281" s="2"/>
      <c r="L281" s="2">
        <v>1136</v>
      </c>
      <c r="M281" s="2">
        <v>0.81200000000000006</v>
      </c>
      <c r="N281" s="2">
        <v>3.8759999999999999</v>
      </c>
      <c r="O281" s="2">
        <v>3.7509999999999999</v>
      </c>
      <c r="P281" s="7"/>
    </row>
    <row r="282" spans="1:16" x14ac:dyDescent="0.25">
      <c r="A282" s="8">
        <v>5.5</v>
      </c>
      <c r="B282" s="1">
        <v>43.1</v>
      </c>
      <c r="C282" s="1" t="s">
        <v>68</v>
      </c>
      <c r="D282" s="1">
        <v>24080</v>
      </c>
      <c r="E282" s="1">
        <v>25060</v>
      </c>
      <c r="F282" s="1"/>
      <c r="G282" s="1"/>
      <c r="H282" s="1"/>
      <c r="I282" s="1" t="s">
        <v>79</v>
      </c>
      <c r="J282" s="1">
        <v>1144</v>
      </c>
      <c r="K282" s="1"/>
      <c r="L282" s="1">
        <v>1144</v>
      </c>
      <c r="M282" s="1">
        <v>0.875</v>
      </c>
      <c r="N282" s="1">
        <v>3.75</v>
      </c>
      <c r="O282" s="1">
        <v>3.625</v>
      </c>
      <c r="P282" s="9"/>
    </row>
    <row r="283" spans="1:16" ht="15.75" customHeight="1" thickBot="1" x14ac:dyDescent="0.3">
      <c r="A283" s="13">
        <v>5.5</v>
      </c>
      <c r="B283" s="14">
        <v>43.1</v>
      </c>
      <c r="C283" s="14" t="s">
        <v>116</v>
      </c>
      <c r="D283" s="14">
        <v>25400</v>
      </c>
      <c r="E283" s="14">
        <v>26450</v>
      </c>
      <c r="F283" s="14"/>
      <c r="G283" s="14"/>
      <c r="H283" s="14"/>
      <c r="I283" s="2" t="s">
        <v>79</v>
      </c>
      <c r="J283" s="14">
        <v>1208</v>
      </c>
      <c r="K283" s="14"/>
      <c r="L283" s="14">
        <v>1208</v>
      </c>
      <c r="M283" s="14">
        <v>0.875</v>
      </c>
      <c r="N283" s="14">
        <v>3.75</v>
      </c>
      <c r="O283" s="14">
        <v>3.625</v>
      </c>
      <c r="P283" s="15"/>
    </row>
    <row r="284" spans="1:16" ht="15.75" customHeight="1" thickBot="1" x14ac:dyDescent="0.3">
      <c r="A284" s="3">
        <v>5.625</v>
      </c>
      <c r="B284" s="4">
        <v>26.7</v>
      </c>
      <c r="C284" s="4" t="s">
        <v>111</v>
      </c>
      <c r="D284" s="4">
        <v>12420</v>
      </c>
      <c r="E284" s="4">
        <v>9880</v>
      </c>
      <c r="F284" s="4"/>
      <c r="G284" s="4"/>
      <c r="H284" s="4"/>
      <c r="I284" s="4" t="s">
        <v>10</v>
      </c>
      <c r="J284" s="4">
        <v>488</v>
      </c>
      <c r="K284" s="4"/>
      <c r="L284" s="4">
        <v>617</v>
      </c>
      <c r="M284" s="4">
        <v>0.47699999999999998</v>
      </c>
      <c r="N284" s="4">
        <v>4.6710000000000003</v>
      </c>
      <c r="O284" s="4"/>
      <c r="P284" s="5">
        <v>4.5439999999999996</v>
      </c>
    </row>
    <row r="285" spans="1:16" x14ac:dyDescent="0.25">
      <c r="A285" s="3">
        <v>5.625</v>
      </c>
      <c r="B285" s="4">
        <v>26.7</v>
      </c>
      <c r="C285" s="4" t="s">
        <v>111</v>
      </c>
      <c r="D285" s="4">
        <v>12420</v>
      </c>
      <c r="E285" s="4">
        <v>8990</v>
      </c>
      <c r="F285" s="4"/>
      <c r="G285" s="4"/>
      <c r="H285" s="4"/>
      <c r="I285" s="4" t="s">
        <v>13</v>
      </c>
      <c r="J285" s="4">
        <v>550</v>
      </c>
      <c r="K285" s="4"/>
      <c r="L285" s="4">
        <v>617</v>
      </c>
      <c r="M285" s="4">
        <v>0.47699999999999998</v>
      </c>
      <c r="N285" s="4">
        <v>4.6710000000000003</v>
      </c>
      <c r="O285" s="4"/>
      <c r="P285" s="5">
        <v>4.5439999999999996</v>
      </c>
    </row>
    <row r="286" spans="1:16" x14ac:dyDescent="0.25">
      <c r="A286" s="6">
        <v>5.625</v>
      </c>
      <c r="B286" s="2">
        <v>26.7</v>
      </c>
      <c r="C286" s="2" t="s">
        <v>88</v>
      </c>
      <c r="D286" s="2">
        <v>14750</v>
      </c>
      <c r="E286" s="2">
        <v>9880</v>
      </c>
      <c r="F286" s="2"/>
      <c r="G286" s="2"/>
      <c r="H286" s="2"/>
      <c r="I286" s="2" t="s">
        <v>10</v>
      </c>
      <c r="J286" s="2">
        <v>501</v>
      </c>
      <c r="K286" s="2"/>
      <c r="L286" s="2">
        <v>617</v>
      </c>
      <c r="M286" s="2">
        <v>0.47699999999999998</v>
      </c>
      <c r="N286" s="2">
        <v>4.6710000000000003</v>
      </c>
      <c r="O286" s="2"/>
      <c r="P286" s="7">
        <v>4.5439999999999996</v>
      </c>
    </row>
    <row r="287" spans="1:16" x14ac:dyDescent="0.25">
      <c r="A287" s="6">
        <v>5.625</v>
      </c>
      <c r="B287" s="2">
        <v>26.7</v>
      </c>
      <c r="C287" s="2" t="s">
        <v>88</v>
      </c>
      <c r="D287" s="2">
        <v>14750</v>
      </c>
      <c r="E287" s="2">
        <v>8990</v>
      </c>
      <c r="F287" s="2"/>
      <c r="G287" s="2"/>
      <c r="H287" s="2"/>
      <c r="I287" s="2" t="s">
        <v>13</v>
      </c>
      <c r="J287" s="2">
        <v>550</v>
      </c>
      <c r="K287" s="2"/>
      <c r="L287" s="2">
        <v>617</v>
      </c>
      <c r="M287" s="2">
        <v>0.47699999999999998</v>
      </c>
      <c r="N287" s="2">
        <v>4.6710000000000003</v>
      </c>
      <c r="O287" s="2"/>
      <c r="P287" s="7">
        <v>4.5439999999999996</v>
      </c>
    </row>
    <row r="288" spans="1:16" x14ac:dyDescent="0.25">
      <c r="A288" s="8">
        <v>5.625</v>
      </c>
      <c r="B288" s="1">
        <v>26.7</v>
      </c>
      <c r="C288" s="1" t="s">
        <v>75</v>
      </c>
      <c r="D288" s="1">
        <v>14750</v>
      </c>
      <c r="E288" s="1">
        <v>11110</v>
      </c>
      <c r="F288" s="1"/>
      <c r="G288" s="1"/>
      <c r="H288" s="1"/>
      <c r="I288" s="1" t="s">
        <v>10</v>
      </c>
      <c r="J288" s="1">
        <v>514</v>
      </c>
      <c r="K288" s="1"/>
      <c r="L288" s="1">
        <v>694</v>
      </c>
      <c r="M288" s="1">
        <v>0.47699999999999998</v>
      </c>
      <c r="N288" s="1">
        <v>4.6710000000000003</v>
      </c>
      <c r="O288" s="1"/>
      <c r="P288" s="9">
        <v>4.5439999999999996</v>
      </c>
    </row>
    <row r="289" spans="1:16" x14ac:dyDescent="0.25">
      <c r="A289" s="8">
        <v>5.625</v>
      </c>
      <c r="B289" s="1">
        <v>26.7</v>
      </c>
      <c r="C289" s="1" t="s">
        <v>75</v>
      </c>
      <c r="D289" s="1">
        <v>14750</v>
      </c>
      <c r="E289" s="1">
        <v>10120</v>
      </c>
      <c r="F289" s="1"/>
      <c r="G289" s="1"/>
      <c r="H289" s="1"/>
      <c r="I289" s="1" t="s">
        <v>13</v>
      </c>
      <c r="J289" s="1">
        <v>579</v>
      </c>
      <c r="K289" s="1"/>
      <c r="L289" s="1">
        <v>694</v>
      </c>
      <c r="M289" s="1">
        <v>0.47699999999999998</v>
      </c>
      <c r="N289" s="1">
        <v>4.6710000000000003</v>
      </c>
      <c r="O289" s="1"/>
      <c r="P289" s="9">
        <v>4.5439999999999996</v>
      </c>
    </row>
    <row r="290" spans="1:16" x14ac:dyDescent="0.25">
      <c r="A290" s="6">
        <v>5.625</v>
      </c>
      <c r="B290" s="2">
        <v>26.7</v>
      </c>
      <c r="C290" s="2" t="s">
        <v>75</v>
      </c>
      <c r="D290" s="2">
        <v>14750</v>
      </c>
      <c r="E290" s="2">
        <v>11730</v>
      </c>
      <c r="F290" s="2"/>
      <c r="G290" s="2"/>
      <c r="H290" s="2"/>
      <c r="I290" s="2" t="s">
        <v>10</v>
      </c>
      <c r="J290" s="2">
        <v>539</v>
      </c>
      <c r="K290" s="2"/>
      <c r="L290" s="2">
        <v>733</v>
      </c>
      <c r="M290" s="2">
        <v>0.47699999999999998</v>
      </c>
      <c r="N290" s="2">
        <v>4.6710000000000003</v>
      </c>
      <c r="O290" s="2"/>
      <c r="P290" s="7">
        <v>4.5439999999999996</v>
      </c>
    </row>
    <row r="291" spans="1:16" x14ac:dyDescent="0.25">
      <c r="A291" s="6">
        <v>5.625</v>
      </c>
      <c r="B291" s="2">
        <v>26.7</v>
      </c>
      <c r="C291" s="2" t="s">
        <v>75</v>
      </c>
      <c r="D291" s="2">
        <v>14750</v>
      </c>
      <c r="E291" s="2">
        <v>10680</v>
      </c>
      <c r="F291" s="2"/>
      <c r="G291" s="2"/>
      <c r="H291" s="2"/>
      <c r="I291" s="2" t="s">
        <v>13</v>
      </c>
      <c r="J291" s="2">
        <v>608</v>
      </c>
      <c r="K291" s="2"/>
      <c r="L291" s="2">
        <v>733</v>
      </c>
      <c r="M291" s="2">
        <v>0.47699999999999998</v>
      </c>
      <c r="N291" s="2">
        <v>4.6710000000000003</v>
      </c>
      <c r="O291" s="2"/>
      <c r="P291" s="7">
        <v>4.5439999999999996</v>
      </c>
    </row>
    <row r="292" spans="1:16" ht="15.75" customHeight="1" thickBot="1" x14ac:dyDescent="0.3">
      <c r="A292" s="10">
        <v>5.625</v>
      </c>
      <c r="B292" s="11">
        <v>26.7</v>
      </c>
      <c r="C292" s="11" t="s">
        <v>113</v>
      </c>
      <c r="D292" s="11">
        <v>17080</v>
      </c>
      <c r="E292" s="11">
        <v>13580</v>
      </c>
      <c r="F292" s="11"/>
      <c r="G292" s="11"/>
      <c r="H292" s="11"/>
      <c r="I292" s="11" t="s">
        <v>10</v>
      </c>
      <c r="J292" s="11">
        <v>642</v>
      </c>
      <c r="K292" s="11"/>
      <c r="L292" s="11">
        <v>849</v>
      </c>
      <c r="M292" s="11">
        <v>0.47699999999999998</v>
      </c>
      <c r="N292" s="11">
        <v>4.6710000000000003</v>
      </c>
      <c r="O292" s="11"/>
      <c r="P292" s="12">
        <v>4.5439999999999996</v>
      </c>
    </row>
    <row r="293" spans="1:16" ht="15.75" customHeight="1" thickBot="1" x14ac:dyDescent="0.3">
      <c r="A293" s="10">
        <v>5.625</v>
      </c>
      <c r="B293" s="11">
        <v>26.7</v>
      </c>
      <c r="C293" s="11" t="s">
        <v>113</v>
      </c>
      <c r="D293" s="11">
        <v>17080</v>
      </c>
      <c r="E293" s="11">
        <v>12360</v>
      </c>
      <c r="F293" s="11"/>
      <c r="G293" s="11"/>
      <c r="H293" s="11"/>
      <c r="I293" s="11" t="s">
        <v>13</v>
      </c>
      <c r="J293" s="11">
        <v>724</v>
      </c>
      <c r="K293" s="11"/>
      <c r="L293" s="11">
        <v>849</v>
      </c>
      <c r="M293" s="11">
        <v>0.47699999999999998</v>
      </c>
      <c r="N293" s="11">
        <v>4.6710000000000003</v>
      </c>
      <c r="O293" s="11"/>
      <c r="P293" s="12">
        <v>4.5439999999999996</v>
      </c>
    </row>
    <row r="294" spans="1:16" x14ac:dyDescent="0.25">
      <c r="A294" s="3">
        <v>5.75</v>
      </c>
      <c r="B294" s="4">
        <v>16.5</v>
      </c>
      <c r="C294" s="4" t="s">
        <v>66</v>
      </c>
      <c r="D294" s="4">
        <v>3720</v>
      </c>
      <c r="E294" s="4">
        <v>4620</v>
      </c>
      <c r="F294" s="4"/>
      <c r="G294" s="4"/>
      <c r="H294" s="4"/>
      <c r="I294" s="4" t="s">
        <v>13</v>
      </c>
      <c r="J294" s="4">
        <v>314</v>
      </c>
      <c r="K294" s="4"/>
      <c r="L294" s="4">
        <v>234</v>
      </c>
      <c r="M294" s="4">
        <v>0.27600000000000002</v>
      </c>
      <c r="N294" s="4">
        <v>5.1980000000000004</v>
      </c>
      <c r="O294" s="4"/>
      <c r="P294" s="5">
        <v>5.0730000000000004</v>
      </c>
    </row>
    <row r="295" spans="1:16" x14ac:dyDescent="0.25">
      <c r="A295" s="6">
        <v>5.75</v>
      </c>
      <c r="B295" s="2">
        <v>18.100000000000001</v>
      </c>
      <c r="C295" s="2" t="s">
        <v>66</v>
      </c>
      <c r="D295" s="2">
        <v>4520</v>
      </c>
      <c r="E295" s="2">
        <v>5090</v>
      </c>
      <c r="F295" s="2"/>
      <c r="G295" s="2"/>
      <c r="H295" s="2"/>
      <c r="I295" s="2" t="s">
        <v>13</v>
      </c>
      <c r="J295" s="2">
        <v>344</v>
      </c>
      <c r="K295" s="2"/>
      <c r="L295" s="2">
        <v>286</v>
      </c>
      <c r="M295" s="2">
        <v>0.30399999999999999</v>
      </c>
      <c r="N295" s="2">
        <v>5.1420000000000003</v>
      </c>
      <c r="O295" s="2"/>
      <c r="P295" s="7">
        <v>5.0170000000000003</v>
      </c>
    </row>
    <row r="296" spans="1:16" x14ac:dyDescent="0.25">
      <c r="A296" s="8">
        <v>5.75</v>
      </c>
      <c r="B296" s="1">
        <v>18.100000000000001</v>
      </c>
      <c r="C296" s="1" t="s">
        <v>111</v>
      </c>
      <c r="D296" s="1">
        <v>5700</v>
      </c>
      <c r="E296" s="1">
        <v>7400</v>
      </c>
      <c r="F296" s="1"/>
      <c r="G296" s="1"/>
      <c r="H296" s="1"/>
      <c r="I296" s="1" t="s">
        <v>13</v>
      </c>
      <c r="J296" s="1">
        <v>447</v>
      </c>
      <c r="K296" s="1"/>
      <c r="L296" s="1">
        <v>416</v>
      </c>
      <c r="M296" s="1">
        <v>0.30399999999999999</v>
      </c>
      <c r="N296" s="1">
        <v>5.1420000000000003</v>
      </c>
      <c r="O296" s="1"/>
      <c r="P296" s="9">
        <v>5.0170000000000003</v>
      </c>
    </row>
    <row r="297" spans="1:16" x14ac:dyDescent="0.25">
      <c r="A297" s="6">
        <v>5.75</v>
      </c>
      <c r="B297" s="2">
        <v>18.100000000000001</v>
      </c>
      <c r="C297" s="2" t="s">
        <v>112</v>
      </c>
      <c r="D297" s="2">
        <v>5700</v>
      </c>
      <c r="E297" s="2">
        <v>7400</v>
      </c>
      <c r="F297" s="2"/>
      <c r="G297" s="2"/>
      <c r="H297" s="2"/>
      <c r="I297" s="2" t="s">
        <v>13</v>
      </c>
      <c r="J297" s="2">
        <v>466</v>
      </c>
      <c r="K297" s="2"/>
      <c r="L297" s="2">
        <v>416</v>
      </c>
      <c r="M297" s="2">
        <v>0.30399999999999999</v>
      </c>
      <c r="N297" s="2">
        <v>5.1420000000000003</v>
      </c>
      <c r="O297" s="2"/>
      <c r="P297" s="7">
        <v>5.0170000000000003</v>
      </c>
    </row>
    <row r="298" spans="1:16" x14ac:dyDescent="0.25">
      <c r="A298" s="8">
        <v>5.75</v>
      </c>
      <c r="B298" s="1">
        <v>18.100000000000001</v>
      </c>
      <c r="C298" s="1" t="s">
        <v>74</v>
      </c>
      <c r="D298" s="1">
        <v>6380</v>
      </c>
      <c r="E298" s="1">
        <v>8790</v>
      </c>
      <c r="F298" s="1"/>
      <c r="G298" s="1"/>
      <c r="H298" s="1"/>
      <c r="I298" s="1" t="s">
        <v>13</v>
      </c>
      <c r="J298" s="1">
        <v>502</v>
      </c>
      <c r="K298" s="1"/>
      <c r="L298" s="1">
        <v>494</v>
      </c>
      <c r="M298" s="1">
        <v>0.30399999999999999</v>
      </c>
      <c r="N298" s="1">
        <v>5.1420000000000003</v>
      </c>
      <c r="O298" s="1"/>
      <c r="P298" s="9">
        <v>5.0170000000000003</v>
      </c>
    </row>
    <row r="299" spans="1:16" x14ac:dyDescent="0.25">
      <c r="A299" s="6">
        <v>5.75</v>
      </c>
      <c r="B299" s="2">
        <v>18.100000000000001</v>
      </c>
      <c r="C299" s="2" t="s">
        <v>113</v>
      </c>
      <c r="D299" s="2">
        <v>6640</v>
      </c>
      <c r="E299" s="2">
        <v>10180</v>
      </c>
      <c r="F299" s="2"/>
      <c r="G299" s="2"/>
      <c r="H299" s="2"/>
      <c r="I299" s="2" t="s">
        <v>13</v>
      </c>
      <c r="J299" s="2">
        <v>594</v>
      </c>
      <c r="K299" s="2"/>
      <c r="L299" s="2">
        <v>572</v>
      </c>
      <c r="M299" s="2">
        <v>0.30399999999999999</v>
      </c>
      <c r="N299" s="2">
        <v>5.1420000000000003</v>
      </c>
      <c r="O299" s="2"/>
      <c r="P299" s="7">
        <v>5.0170000000000003</v>
      </c>
    </row>
    <row r="300" spans="1:16" x14ac:dyDescent="0.25">
      <c r="A300" s="8">
        <v>5.75</v>
      </c>
      <c r="B300" s="1">
        <v>19.7</v>
      </c>
      <c r="C300" s="1" t="s">
        <v>66</v>
      </c>
      <c r="D300" s="1">
        <v>5410</v>
      </c>
      <c r="E300" s="1">
        <v>5610</v>
      </c>
      <c r="F300" s="1"/>
      <c r="G300" s="1"/>
      <c r="H300" s="1"/>
      <c r="I300" s="1" t="s">
        <v>13</v>
      </c>
      <c r="J300" s="1">
        <v>377</v>
      </c>
      <c r="K300" s="1"/>
      <c r="L300" s="1">
        <v>313</v>
      </c>
      <c r="M300" s="1">
        <v>0.33500000000000002</v>
      </c>
      <c r="N300" s="1">
        <v>5.08</v>
      </c>
      <c r="O300" s="1"/>
      <c r="P300" s="9">
        <v>4.9550000000000001</v>
      </c>
    </row>
    <row r="301" spans="1:16" x14ac:dyDescent="0.25">
      <c r="A301" s="6">
        <v>5.75</v>
      </c>
      <c r="B301" s="2">
        <v>19.7</v>
      </c>
      <c r="C301" s="2" t="s">
        <v>111</v>
      </c>
      <c r="D301" s="2">
        <v>7030</v>
      </c>
      <c r="E301" s="2">
        <v>8160</v>
      </c>
      <c r="F301" s="2"/>
      <c r="G301" s="2"/>
      <c r="H301" s="2"/>
      <c r="I301" s="2" t="s">
        <v>13</v>
      </c>
      <c r="J301" s="2">
        <v>490</v>
      </c>
      <c r="K301" s="2"/>
      <c r="L301" s="2">
        <v>456</v>
      </c>
      <c r="M301" s="2">
        <v>0.33500000000000002</v>
      </c>
      <c r="N301" s="2">
        <v>5.08</v>
      </c>
      <c r="O301" s="2"/>
      <c r="P301" s="7">
        <v>4.9550000000000001</v>
      </c>
    </row>
    <row r="302" spans="1:16" x14ac:dyDescent="0.25">
      <c r="A302" s="8">
        <v>5.75</v>
      </c>
      <c r="B302" s="1">
        <v>19.7</v>
      </c>
      <c r="C302" s="1" t="s">
        <v>112</v>
      </c>
      <c r="D302" s="1">
        <v>7030</v>
      </c>
      <c r="E302" s="1">
        <v>8160</v>
      </c>
      <c r="F302" s="1"/>
      <c r="G302" s="1"/>
      <c r="H302" s="1"/>
      <c r="I302" s="1" t="s">
        <v>13</v>
      </c>
      <c r="J302" s="1">
        <v>511</v>
      </c>
      <c r="K302" s="1"/>
      <c r="L302" s="1">
        <v>456</v>
      </c>
      <c r="M302" s="1">
        <v>0.33500000000000002</v>
      </c>
      <c r="N302" s="1">
        <v>5.08</v>
      </c>
      <c r="O302" s="1"/>
      <c r="P302" s="9">
        <v>4.9550000000000001</v>
      </c>
    </row>
    <row r="303" spans="1:16" x14ac:dyDescent="0.25">
      <c r="A303" s="6">
        <v>5.75</v>
      </c>
      <c r="B303" s="2">
        <v>19.7</v>
      </c>
      <c r="C303" s="2" t="s">
        <v>74</v>
      </c>
      <c r="D303" s="2">
        <v>7980</v>
      </c>
      <c r="E303" s="2">
        <v>9690</v>
      </c>
      <c r="F303" s="2"/>
      <c r="G303" s="2"/>
      <c r="H303" s="2"/>
      <c r="I303" s="2" t="s">
        <v>13</v>
      </c>
      <c r="J303" s="2">
        <v>550</v>
      </c>
      <c r="K303" s="2"/>
      <c r="L303" s="2">
        <v>541</v>
      </c>
      <c r="M303" s="2">
        <v>0.33500000000000002</v>
      </c>
      <c r="N303" s="2">
        <v>5.08</v>
      </c>
      <c r="O303" s="2"/>
      <c r="P303" s="7">
        <v>4.9550000000000001</v>
      </c>
    </row>
    <row r="304" spans="1:16" x14ac:dyDescent="0.25">
      <c r="A304" s="8">
        <v>5.75</v>
      </c>
      <c r="B304" s="1">
        <v>19.7</v>
      </c>
      <c r="C304" s="1" t="s">
        <v>113</v>
      </c>
      <c r="D304" s="1">
        <v>8530</v>
      </c>
      <c r="E304" s="1">
        <v>11220</v>
      </c>
      <c r="F304" s="1"/>
      <c r="G304" s="1"/>
      <c r="H304" s="1"/>
      <c r="I304" s="1" t="s">
        <v>13</v>
      </c>
      <c r="J304" s="1">
        <v>651</v>
      </c>
      <c r="K304" s="1"/>
      <c r="L304" s="1">
        <v>627</v>
      </c>
      <c r="M304" s="1">
        <v>0.33500000000000002</v>
      </c>
      <c r="N304" s="1">
        <v>5.08</v>
      </c>
      <c r="O304" s="1"/>
      <c r="P304" s="9">
        <v>4.9550000000000001</v>
      </c>
    </row>
    <row r="305" spans="1:16" x14ac:dyDescent="0.25">
      <c r="A305" s="6">
        <v>5.75</v>
      </c>
      <c r="B305" s="2">
        <v>21.8</v>
      </c>
      <c r="C305" s="2" t="s">
        <v>111</v>
      </c>
      <c r="D305" s="2">
        <v>8740</v>
      </c>
      <c r="E305" s="2">
        <v>9130</v>
      </c>
      <c r="F305" s="2"/>
      <c r="G305" s="2"/>
      <c r="H305" s="2"/>
      <c r="I305" s="2" t="s">
        <v>13</v>
      </c>
      <c r="J305" s="2">
        <v>545</v>
      </c>
      <c r="K305" s="2"/>
      <c r="L305" s="2">
        <v>507</v>
      </c>
      <c r="M305" s="2">
        <v>0.375</v>
      </c>
      <c r="N305" s="2">
        <v>5</v>
      </c>
      <c r="O305" s="2"/>
      <c r="P305" s="7">
        <v>4.875</v>
      </c>
    </row>
    <row r="306" spans="1:16" x14ac:dyDescent="0.25">
      <c r="A306" s="8">
        <v>5.75</v>
      </c>
      <c r="B306" s="1">
        <v>21.8</v>
      </c>
      <c r="C306" s="1" t="s">
        <v>112</v>
      </c>
      <c r="D306" s="1">
        <v>8740</v>
      </c>
      <c r="E306" s="1">
        <v>9130</v>
      </c>
      <c r="F306" s="1"/>
      <c r="G306" s="1"/>
      <c r="H306" s="1"/>
      <c r="I306" s="1" t="s">
        <v>13</v>
      </c>
      <c r="J306" s="1">
        <v>568</v>
      </c>
      <c r="K306" s="1"/>
      <c r="L306" s="1">
        <v>507</v>
      </c>
      <c r="M306" s="1">
        <v>0.375</v>
      </c>
      <c r="N306" s="1">
        <v>5</v>
      </c>
      <c r="O306" s="1"/>
      <c r="P306" s="9">
        <v>4.875</v>
      </c>
    </row>
    <row r="307" spans="1:16" x14ac:dyDescent="0.25">
      <c r="A307" s="6">
        <v>5.75</v>
      </c>
      <c r="B307" s="2">
        <v>21.8</v>
      </c>
      <c r="C307" s="2" t="s">
        <v>74</v>
      </c>
      <c r="D307" s="2">
        <v>10050</v>
      </c>
      <c r="E307" s="2">
        <v>10840</v>
      </c>
      <c r="F307" s="2"/>
      <c r="G307" s="2"/>
      <c r="H307" s="2"/>
      <c r="I307" s="2" t="s">
        <v>13</v>
      </c>
      <c r="J307" s="2">
        <v>611</v>
      </c>
      <c r="K307" s="2"/>
      <c r="L307" s="2">
        <v>602</v>
      </c>
      <c r="M307" s="2">
        <v>0.375</v>
      </c>
      <c r="N307" s="2">
        <v>5</v>
      </c>
      <c r="O307" s="2"/>
      <c r="P307" s="7">
        <v>4.875</v>
      </c>
    </row>
    <row r="308" spans="1:16" x14ac:dyDescent="0.25">
      <c r="A308" s="8">
        <v>5.75</v>
      </c>
      <c r="B308" s="1">
        <v>21.8</v>
      </c>
      <c r="C308" s="1" t="s">
        <v>113</v>
      </c>
      <c r="D308" s="1">
        <v>10960</v>
      </c>
      <c r="E308" s="1">
        <v>12550</v>
      </c>
      <c r="F308" s="1"/>
      <c r="G308" s="1"/>
      <c r="H308" s="1"/>
      <c r="I308" s="1" t="s">
        <v>13</v>
      </c>
      <c r="J308" s="1">
        <v>723</v>
      </c>
      <c r="K308" s="1"/>
      <c r="L308" s="1">
        <v>697</v>
      </c>
      <c r="M308" s="1">
        <v>0.375</v>
      </c>
      <c r="N308" s="1">
        <v>5</v>
      </c>
      <c r="O308" s="1"/>
      <c r="P308" s="9">
        <v>4.875</v>
      </c>
    </row>
    <row r="309" spans="1:16" x14ac:dyDescent="0.25">
      <c r="A309" s="6">
        <v>5.75</v>
      </c>
      <c r="B309" s="2">
        <v>24.2</v>
      </c>
      <c r="C309" s="2" t="s">
        <v>111</v>
      </c>
      <c r="D309" s="2">
        <v>10650</v>
      </c>
      <c r="E309" s="2">
        <v>10230</v>
      </c>
      <c r="F309" s="2"/>
      <c r="G309" s="2"/>
      <c r="H309" s="2"/>
      <c r="I309" s="2" t="s">
        <v>13</v>
      </c>
      <c r="J309" s="2">
        <v>605</v>
      </c>
      <c r="K309" s="2"/>
      <c r="L309" s="2">
        <v>563</v>
      </c>
      <c r="M309" s="2">
        <v>0.42</v>
      </c>
      <c r="N309" s="2">
        <v>4.91</v>
      </c>
      <c r="O309" s="2"/>
      <c r="P309" s="7">
        <v>4.7850000000000001</v>
      </c>
    </row>
    <row r="310" spans="1:16" x14ac:dyDescent="0.25">
      <c r="A310" s="8">
        <v>5.75</v>
      </c>
      <c r="B310" s="1">
        <v>24.2</v>
      </c>
      <c r="C310" s="1" t="s">
        <v>112</v>
      </c>
      <c r="D310" s="1">
        <v>10650</v>
      </c>
      <c r="E310" s="1">
        <v>10230</v>
      </c>
      <c r="F310" s="1"/>
      <c r="G310" s="1"/>
      <c r="H310" s="1"/>
      <c r="I310" s="1" t="s">
        <v>13</v>
      </c>
      <c r="J310" s="1">
        <v>630</v>
      </c>
      <c r="K310" s="1"/>
      <c r="L310" s="1">
        <v>563</v>
      </c>
      <c r="M310" s="1">
        <v>0.42</v>
      </c>
      <c r="N310" s="1">
        <v>4.91</v>
      </c>
      <c r="O310" s="1"/>
      <c r="P310" s="9">
        <v>4.7850000000000001</v>
      </c>
    </row>
    <row r="311" spans="1:16" x14ac:dyDescent="0.25">
      <c r="A311" s="6">
        <v>5.75</v>
      </c>
      <c r="B311" s="2">
        <v>24.2</v>
      </c>
      <c r="C311" s="2" t="s">
        <v>74</v>
      </c>
      <c r="D311" s="2">
        <v>12370</v>
      </c>
      <c r="E311" s="2">
        <v>12140</v>
      </c>
      <c r="F311" s="2"/>
      <c r="G311" s="2"/>
      <c r="H311" s="2"/>
      <c r="I311" s="2" t="s">
        <v>13</v>
      </c>
      <c r="J311" s="2">
        <v>679</v>
      </c>
      <c r="K311" s="2"/>
      <c r="L311" s="2">
        <v>668</v>
      </c>
      <c r="M311" s="2">
        <v>0.42</v>
      </c>
      <c r="N311" s="2">
        <v>4.91</v>
      </c>
      <c r="O311" s="2"/>
      <c r="P311" s="7">
        <v>4.7850000000000001</v>
      </c>
    </row>
    <row r="312" spans="1:16" ht="15.75" customHeight="1" thickBot="1" x14ac:dyDescent="0.3">
      <c r="A312" s="10">
        <v>5.75</v>
      </c>
      <c r="B312" s="11">
        <v>24.2</v>
      </c>
      <c r="C312" s="11" t="s">
        <v>113</v>
      </c>
      <c r="D312" s="11">
        <v>13700</v>
      </c>
      <c r="E312" s="11">
        <v>14060</v>
      </c>
      <c r="F312" s="11"/>
      <c r="G312" s="11"/>
      <c r="H312" s="11"/>
      <c r="I312" s="11" t="s">
        <v>13</v>
      </c>
      <c r="J312" s="11">
        <v>803</v>
      </c>
      <c r="K312" s="11"/>
      <c r="L312" s="11">
        <v>774</v>
      </c>
      <c r="M312" s="11">
        <v>0.42</v>
      </c>
      <c r="N312" s="11">
        <v>4.91</v>
      </c>
      <c r="O312" s="11"/>
      <c r="P312" s="12">
        <v>4.7850000000000001</v>
      </c>
    </row>
    <row r="313" spans="1:16" x14ac:dyDescent="0.25">
      <c r="A313" s="3">
        <v>6.625</v>
      </c>
      <c r="B313" s="4">
        <v>20</v>
      </c>
      <c r="C313" s="4" t="s">
        <v>81</v>
      </c>
      <c r="D313" s="4">
        <v>2520</v>
      </c>
      <c r="E313" s="4">
        <v>3040</v>
      </c>
      <c r="F313" s="4"/>
      <c r="G313" s="4"/>
      <c r="H313" s="4"/>
      <c r="I313" s="4" t="s">
        <v>8</v>
      </c>
      <c r="J313" s="4">
        <v>184</v>
      </c>
      <c r="K313" s="4"/>
      <c r="L313" s="4">
        <v>229</v>
      </c>
      <c r="M313" s="4">
        <v>0.28799999999999998</v>
      </c>
      <c r="N313" s="4">
        <v>6.0490000000000004</v>
      </c>
      <c r="O313" s="4">
        <v>5.9240000000000004</v>
      </c>
      <c r="P313" s="5"/>
    </row>
    <row r="314" spans="1:16" x14ac:dyDescent="0.25">
      <c r="A314" s="6">
        <v>6.625</v>
      </c>
      <c r="B314" s="2">
        <v>20</v>
      </c>
      <c r="C314" s="2" t="s">
        <v>66</v>
      </c>
      <c r="D314" s="2">
        <v>2970</v>
      </c>
      <c r="E314" s="2">
        <v>4180</v>
      </c>
      <c r="F314" s="2"/>
      <c r="G314" s="2"/>
      <c r="H314" s="2"/>
      <c r="I314" s="2" t="s">
        <v>8</v>
      </c>
      <c r="J314" s="2">
        <v>245</v>
      </c>
      <c r="K314" s="2"/>
      <c r="L314" s="2">
        <v>315</v>
      </c>
      <c r="M314" s="2">
        <v>0.28799999999999998</v>
      </c>
      <c r="N314" s="2">
        <v>6.0490000000000004</v>
      </c>
      <c r="O314" s="2">
        <v>5.9240000000000004</v>
      </c>
      <c r="P314" s="7"/>
    </row>
    <row r="315" spans="1:16" x14ac:dyDescent="0.25">
      <c r="A315" s="6">
        <v>6.625</v>
      </c>
      <c r="B315" s="2">
        <v>20</v>
      </c>
      <c r="C315" s="2" t="s">
        <v>66</v>
      </c>
      <c r="D315" s="2">
        <v>2970</v>
      </c>
      <c r="E315" s="2">
        <v>4180</v>
      </c>
      <c r="F315" s="2"/>
      <c r="G315" s="2"/>
      <c r="H315" s="2"/>
      <c r="I315" s="2" t="s">
        <v>10</v>
      </c>
      <c r="J315" s="2">
        <v>266</v>
      </c>
      <c r="K315" s="2"/>
      <c r="L315" s="2">
        <v>315</v>
      </c>
      <c r="M315" s="2">
        <v>0.28799999999999998</v>
      </c>
      <c r="N315" s="2">
        <v>6.0490000000000004</v>
      </c>
      <c r="O315" s="2">
        <v>5.9240000000000004</v>
      </c>
      <c r="P315" s="7"/>
    </row>
    <row r="316" spans="1:16" x14ac:dyDescent="0.25">
      <c r="A316" s="6">
        <v>6.625</v>
      </c>
      <c r="B316" s="2">
        <v>20</v>
      </c>
      <c r="C316" s="2" t="s">
        <v>66</v>
      </c>
      <c r="D316" s="2">
        <v>2970</v>
      </c>
      <c r="E316" s="2">
        <v>4180</v>
      </c>
      <c r="F316" s="2"/>
      <c r="G316" s="2"/>
      <c r="H316" s="2"/>
      <c r="I316" s="2" t="s">
        <v>13</v>
      </c>
      <c r="J316" s="2">
        <v>374</v>
      </c>
      <c r="K316" s="2"/>
      <c r="L316" s="2">
        <v>315</v>
      </c>
      <c r="M316" s="2">
        <v>0.28799999999999998</v>
      </c>
      <c r="N316" s="2">
        <v>6.0490000000000004</v>
      </c>
      <c r="O316" s="2">
        <v>5.9240000000000004</v>
      </c>
      <c r="P316" s="7"/>
    </row>
    <row r="317" spans="1:16" x14ac:dyDescent="0.25">
      <c r="A317" s="8">
        <v>6.625</v>
      </c>
      <c r="B317" s="1">
        <v>20</v>
      </c>
      <c r="C317" s="1" t="s">
        <v>110</v>
      </c>
      <c r="D317" s="1">
        <v>2970</v>
      </c>
      <c r="E317" s="1">
        <v>4180</v>
      </c>
      <c r="F317" s="1"/>
      <c r="G317" s="1"/>
      <c r="H317" s="1"/>
      <c r="I317" s="1" t="s">
        <v>8</v>
      </c>
      <c r="J317" s="1">
        <v>267</v>
      </c>
      <c r="K317" s="1"/>
      <c r="L317" s="1">
        <v>315</v>
      </c>
      <c r="M317" s="1">
        <v>0.28799999999999998</v>
      </c>
      <c r="N317" s="1">
        <v>6.0490000000000004</v>
      </c>
      <c r="O317" s="1">
        <v>5.9240000000000004</v>
      </c>
      <c r="P317" s="9"/>
    </row>
    <row r="318" spans="1:16" x14ac:dyDescent="0.25">
      <c r="A318" s="8">
        <v>6.625</v>
      </c>
      <c r="B318" s="1">
        <v>20</v>
      </c>
      <c r="C318" s="1" t="s">
        <v>110</v>
      </c>
      <c r="D318" s="1">
        <v>2970</v>
      </c>
      <c r="E318" s="1">
        <v>4180</v>
      </c>
      <c r="F318" s="1"/>
      <c r="G318" s="1"/>
      <c r="H318" s="1"/>
      <c r="I318" s="1" t="s">
        <v>10</v>
      </c>
      <c r="J318" s="1">
        <v>290</v>
      </c>
      <c r="K318" s="1"/>
      <c r="L318" s="1">
        <v>315</v>
      </c>
      <c r="M318" s="1">
        <v>0.28799999999999998</v>
      </c>
      <c r="N318" s="1">
        <v>6.0490000000000004</v>
      </c>
      <c r="O318" s="1">
        <v>5.9240000000000004</v>
      </c>
      <c r="P318" s="9"/>
    </row>
    <row r="319" spans="1:16" x14ac:dyDescent="0.25">
      <c r="A319" s="8">
        <v>6.625</v>
      </c>
      <c r="B319" s="1">
        <v>20</v>
      </c>
      <c r="C319" s="1" t="s">
        <v>110</v>
      </c>
      <c r="D319" s="1">
        <v>2970</v>
      </c>
      <c r="E319" s="1">
        <v>4180</v>
      </c>
      <c r="F319" s="1"/>
      <c r="G319" s="1"/>
      <c r="H319" s="1"/>
      <c r="I319" s="1" t="s">
        <v>13</v>
      </c>
      <c r="J319" s="1">
        <v>453</v>
      </c>
      <c r="K319" s="1"/>
      <c r="L319" s="1">
        <v>315</v>
      </c>
      <c r="M319" s="1">
        <v>0.28799999999999998</v>
      </c>
      <c r="N319" s="1">
        <v>6.0490000000000004</v>
      </c>
      <c r="O319" s="1">
        <v>5.9240000000000004</v>
      </c>
      <c r="P319" s="9"/>
    </row>
    <row r="320" spans="1:16" x14ac:dyDescent="0.25">
      <c r="A320" s="6">
        <v>6.625</v>
      </c>
      <c r="B320" s="2">
        <v>24</v>
      </c>
      <c r="C320" s="2" t="s">
        <v>66</v>
      </c>
      <c r="D320" s="2">
        <v>4560</v>
      </c>
      <c r="E320" s="2">
        <v>5110</v>
      </c>
      <c r="F320" s="2"/>
      <c r="G320" s="2"/>
      <c r="H320" s="2"/>
      <c r="I320" s="2" t="s">
        <v>8</v>
      </c>
      <c r="J320" s="2">
        <v>314</v>
      </c>
      <c r="K320" s="2"/>
      <c r="L320" s="2">
        <v>382</v>
      </c>
      <c r="M320" s="2">
        <v>0.35199999999999998</v>
      </c>
      <c r="N320" s="2">
        <v>5.9210000000000003</v>
      </c>
      <c r="O320" s="2">
        <v>5.7960000000000003</v>
      </c>
      <c r="P320" s="7"/>
    </row>
    <row r="321" spans="1:16" x14ac:dyDescent="0.25">
      <c r="A321" s="6">
        <v>6.625</v>
      </c>
      <c r="B321" s="2">
        <v>24</v>
      </c>
      <c r="C321" s="2" t="s">
        <v>66</v>
      </c>
      <c r="D321" s="2">
        <v>4560</v>
      </c>
      <c r="E321" s="2">
        <v>5110</v>
      </c>
      <c r="F321" s="2"/>
      <c r="G321" s="2"/>
      <c r="H321" s="2"/>
      <c r="I321" s="2" t="s">
        <v>10</v>
      </c>
      <c r="J321" s="2">
        <v>340</v>
      </c>
      <c r="K321" s="2"/>
      <c r="L321" s="2">
        <v>382</v>
      </c>
      <c r="M321" s="2">
        <v>0.35199999999999998</v>
      </c>
      <c r="N321" s="2">
        <v>5.9210000000000003</v>
      </c>
      <c r="O321" s="2">
        <v>5.7960000000000003</v>
      </c>
      <c r="P321" s="7"/>
    </row>
    <row r="322" spans="1:16" x14ac:dyDescent="0.25">
      <c r="A322" s="6">
        <v>6.625</v>
      </c>
      <c r="B322" s="2">
        <v>24</v>
      </c>
      <c r="C322" s="2" t="s">
        <v>66</v>
      </c>
      <c r="D322" s="2">
        <v>4560</v>
      </c>
      <c r="E322" s="2">
        <v>5110</v>
      </c>
      <c r="F322" s="2"/>
      <c r="G322" s="2"/>
      <c r="H322" s="2"/>
      <c r="I322" s="2" t="s">
        <v>13</v>
      </c>
      <c r="J322" s="2">
        <v>453</v>
      </c>
      <c r="K322" s="2"/>
      <c r="L322" s="2">
        <v>382</v>
      </c>
      <c r="M322" s="2">
        <v>0.35199999999999998</v>
      </c>
      <c r="N322" s="2">
        <v>5.9210000000000003</v>
      </c>
      <c r="O322" s="2">
        <v>5.7960000000000003</v>
      </c>
      <c r="P322" s="7"/>
    </row>
    <row r="323" spans="1:16" x14ac:dyDescent="0.25">
      <c r="A323" s="8">
        <v>6.625</v>
      </c>
      <c r="B323" s="1">
        <v>24</v>
      </c>
      <c r="C323" s="1" t="s">
        <v>110</v>
      </c>
      <c r="D323" s="1">
        <v>4560</v>
      </c>
      <c r="E323" s="1">
        <v>5110</v>
      </c>
      <c r="F323" s="1"/>
      <c r="G323" s="1"/>
      <c r="H323" s="1"/>
      <c r="I323" s="1" t="s">
        <v>8</v>
      </c>
      <c r="J323" s="1">
        <v>342</v>
      </c>
      <c r="K323" s="1"/>
      <c r="L323" s="1">
        <v>382</v>
      </c>
      <c r="M323" s="1">
        <v>0.35199999999999998</v>
      </c>
      <c r="N323" s="1">
        <v>5.9210000000000003</v>
      </c>
      <c r="O323" s="1">
        <v>5.7960000000000003</v>
      </c>
      <c r="P323" s="9"/>
    </row>
    <row r="324" spans="1:16" x14ac:dyDescent="0.25">
      <c r="A324" s="8">
        <v>6.625</v>
      </c>
      <c r="B324" s="1">
        <v>24</v>
      </c>
      <c r="C324" s="1" t="s">
        <v>110</v>
      </c>
      <c r="D324" s="1">
        <v>4560</v>
      </c>
      <c r="E324" s="1">
        <v>5110</v>
      </c>
      <c r="F324" s="1"/>
      <c r="G324" s="1"/>
      <c r="H324" s="1"/>
      <c r="I324" s="1" t="s">
        <v>10</v>
      </c>
      <c r="J324" s="1">
        <v>372</v>
      </c>
      <c r="K324" s="1"/>
      <c r="L324" s="1">
        <v>382</v>
      </c>
      <c r="M324" s="1">
        <v>0.35199999999999998</v>
      </c>
      <c r="N324" s="1">
        <v>5.9210000000000003</v>
      </c>
      <c r="O324" s="1">
        <v>5.7960000000000003</v>
      </c>
      <c r="P324" s="9"/>
    </row>
    <row r="325" spans="1:16" x14ac:dyDescent="0.25">
      <c r="A325" s="8">
        <v>6.625</v>
      </c>
      <c r="B325" s="1">
        <v>24</v>
      </c>
      <c r="C325" s="1" t="s">
        <v>110</v>
      </c>
      <c r="D325" s="1">
        <v>4560</v>
      </c>
      <c r="E325" s="1">
        <v>5110</v>
      </c>
      <c r="F325" s="1"/>
      <c r="G325" s="1"/>
      <c r="H325" s="1"/>
      <c r="I325" s="1" t="s">
        <v>13</v>
      </c>
      <c r="J325" s="1">
        <v>548</v>
      </c>
      <c r="K325" s="1"/>
      <c r="L325" s="1">
        <v>382</v>
      </c>
      <c r="M325" s="1">
        <v>0.35199999999999998</v>
      </c>
      <c r="N325" s="1">
        <v>5.9210000000000003</v>
      </c>
      <c r="O325" s="1">
        <v>5.7960000000000003</v>
      </c>
      <c r="P325" s="9"/>
    </row>
    <row r="326" spans="1:16" x14ac:dyDescent="0.25">
      <c r="A326" s="6">
        <v>6.625</v>
      </c>
      <c r="B326" s="2">
        <v>24</v>
      </c>
      <c r="C326" s="2" t="s">
        <v>111</v>
      </c>
      <c r="D326" s="2">
        <v>5760</v>
      </c>
      <c r="E326" s="2">
        <v>7440</v>
      </c>
      <c r="F326" s="2"/>
      <c r="G326" s="2"/>
      <c r="H326" s="2"/>
      <c r="I326" s="2" t="s">
        <v>10</v>
      </c>
      <c r="J326" s="2">
        <v>473</v>
      </c>
      <c r="K326" s="2"/>
      <c r="L326" s="2">
        <v>555</v>
      </c>
      <c r="M326" s="2">
        <v>0.35199999999999998</v>
      </c>
      <c r="N326" s="2">
        <v>5.9210000000000003</v>
      </c>
      <c r="O326" s="2">
        <v>5.7960000000000003</v>
      </c>
      <c r="P326" s="7"/>
    </row>
    <row r="327" spans="1:16" x14ac:dyDescent="0.25">
      <c r="A327" s="6">
        <v>6.625</v>
      </c>
      <c r="B327" s="2">
        <v>24</v>
      </c>
      <c r="C327" s="2" t="s">
        <v>111</v>
      </c>
      <c r="D327" s="2">
        <v>5760</v>
      </c>
      <c r="E327" s="2">
        <v>7440</v>
      </c>
      <c r="F327" s="2"/>
      <c r="G327" s="2"/>
      <c r="H327" s="2"/>
      <c r="I327" s="2" t="s">
        <v>13</v>
      </c>
      <c r="J327" s="2">
        <v>592</v>
      </c>
      <c r="K327" s="2"/>
      <c r="L327" s="2">
        <v>555</v>
      </c>
      <c r="M327" s="2">
        <v>0.35199999999999998</v>
      </c>
      <c r="N327" s="2">
        <v>5.9210000000000003</v>
      </c>
      <c r="O327" s="2">
        <v>5.7960000000000003</v>
      </c>
      <c r="P327" s="7"/>
    </row>
    <row r="328" spans="1:16" x14ac:dyDescent="0.25">
      <c r="A328" s="8">
        <v>6.625</v>
      </c>
      <c r="B328" s="1">
        <v>24</v>
      </c>
      <c r="C328" s="1" t="s">
        <v>112</v>
      </c>
      <c r="D328" s="1">
        <v>5760</v>
      </c>
      <c r="E328" s="1">
        <v>7440</v>
      </c>
      <c r="F328" s="1"/>
      <c r="G328" s="1"/>
      <c r="H328" s="1"/>
      <c r="I328" s="1" t="s">
        <v>10</v>
      </c>
      <c r="J328" s="1">
        <v>481</v>
      </c>
      <c r="K328" s="1"/>
      <c r="L328" s="1">
        <v>555</v>
      </c>
      <c r="M328" s="1">
        <v>0.35199999999999998</v>
      </c>
      <c r="N328" s="1">
        <v>5.9210000000000003</v>
      </c>
      <c r="O328" s="1">
        <v>5.7960000000000003</v>
      </c>
      <c r="P328" s="9"/>
    </row>
    <row r="329" spans="1:16" x14ac:dyDescent="0.25">
      <c r="A329" s="8">
        <v>6.625</v>
      </c>
      <c r="B329" s="1">
        <v>24</v>
      </c>
      <c r="C329" s="1" t="s">
        <v>112</v>
      </c>
      <c r="D329" s="1">
        <v>5760</v>
      </c>
      <c r="E329" s="1">
        <v>7440</v>
      </c>
      <c r="F329" s="1"/>
      <c r="G329" s="1"/>
      <c r="H329" s="1"/>
      <c r="I329" s="1" t="s">
        <v>13</v>
      </c>
      <c r="J329" s="1">
        <v>615</v>
      </c>
      <c r="K329" s="1"/>
      <c r="L329" s="1">
        <v>555</v>
      </c>
      <c r="M329" s="1">
        <v>0.35199999999999998</v>
      </c>
      <c r="N329" s="1">
        <v>5.9210000000000003</v>
      </c>
      <c r="O329" s="1">
        <v>5.7960000000000003</v>
      </c>
      <c r="P329" s="9"/>
    </row>
    <row r="330" spans="1:16" x14ac:dyDescent="0.25">
      <c r="A330" s="6">
        <v>6.625</v>
      </c>
      <c r="B330" s="2">
        <v>24</v>
      </c>
      <c r="C330" s="2" t="s">
        <v>68</v>
      </c>
      <c r="D330" s="2">
        <v>6140</v>
      </c>
      <c r="E330" s="2">
        <v>8370</v>
      </c>
      <c r="F330" s="2"/>
      <c r="G330" s="2"/>
      <c r="H330" s="2"/>
      <c r="I330" s="2" t="s">
        <v>10</v>
      </c>
      <c r="J330" s="2">
        <v>520</v>
      </c>
      <c r="K330" s="2"/>
      <c r="L330" s="2">
        <v>624</v>
      </c>
      <c r="M330" s="2">
        <v>0.35199999999999998</v>
      </c>
      <c r="N330" s="2">
        <v>5.9210000000000003</v>
      </c>
      <c r="O330" s="2">
        <v>5.7960000000000003</v>
      </c>
      <c r="P330" s="7"/>
    </row>
    <row r="331" spans="1:16" x14ac:dyDescent="0.25">
      <c r="A331" s="6">
        <v>6.625</v>
      </c>
      <c r="B331" s="2">
        <v>24</v>
      </c>
      <c r="C331" s="2" t="s">
        <v>68</v>
      </c>
      <c r="D331" s="2">
        <v>6140</v>
      </c>
      <c r="E331" s="2">
        <v>8370</v>
      </c>
      <c r="F331" s="2"/>
      <c r="G331" s="2"/>
      <c r="H331" s="2"/>
      <c r="I331" s="2" t="s">
        <v>13</v>
      </c>
      <c r="J331" s="2">
        <v>633</v>
      </c>
      <c r="K331" s="2"/>
      <c r="L331" s="2">
        <v>624</v>
      </c>
      <c r="M331" s="2">
        <v>0.35199999999999998</v>
      </c>
      <c r="N331" s="2">
        <v>5.9210000000000003</v>
      </c>
      <c r="O331" s="2">
        <v>5.7960000000000003</v>
      </c>
      <c r="P331" s="7"/>
    </row>
    <row r="332" spans="1:16" x14ac:dyDescent="0.25">
      <c r="A332" s="8">
        <v>6.625</v>
      </c>
      <c r="B332" s="1">
        <v>24</v>
      </c>
      <c r="C332" s="1" t="s">
        <v>74</v>
      </c>
      <c r="D332" s="1">
        <v>6310</v>
      </c>
      <c r="E332" s="1">
        <v>8830</v>
      </c>
      <c r="F332" s="1"/>
      <c r="G332" s="1"/>
      <c r="H332" s="1"/>
      <c r="I332" s="1" t="s">
        <v>10</v>
      </c>
      <c r="J332" s="1">
        <v>546</v>
      </c>
      <c r="K332" s="1"/>
      <c r="L332" s="1">
        <v>659</v>
      </c>
      <c r="M332" s="1">
        <v>0.35199999999999998</v>
      </c>
      <c r="N332" s="1">
        <v>5.9210000000000003</v>
      </c>
      <c r="O332" s="1">
        <v>5.7960000000000003</v>
      </c>
      <c r="P332" s="9"/>
    </row>
    <row r="333" spans="1:16" x14ac:dyDescent="0.25">
      <c r="A333" s="8">
        <v>6.625</v>
      </c>
      <c r="B333" s="1">
        <v>24</v>
      </c>
      <c r="C333" s="1" t="s">
        <v>74</v>
      </c>
      <c r="D333" s="1">
        <v>6310</v>
      </c>
      <c r="E333" s="1">
        <v>8830</v>
      </c>
      <c r="F333" s="1"/>
      <c r="G333" s="1"/>
      <c r="H333" s="1"/>
      <c r="I333" s="1" t="s">
        <v>13</v>
      </c>
      <c r="J333" s="1">
        <v>665</v>
      </c>
      <c r="K333" s="1"/>
      <c r="L333" s="1">
        <v>659</v>
      </c>
      <c r="M333" s="1">
        <v>0.35199999999999998</v>
      </c>
      <c r="N333" s="1">
        <v>5.9210000000000003</v>
      </c>
      <c r="O333" s="1">
        <v>5.7960000000000003</v>
      </c>
      <c r="P333" s="9"/>
    </row>
    <row r="334" spans="1:16" x14ac:dyDescent="0.25">
      <c r="A334" s="6">
        <v>6.625</v>
      </c>
      <c r="B334" s="2">
        <v>24</v>
      </c>
      <c r="C334" s="2" t="s">
        <v>113</v>
      </c>
      <c r="D334" s="2">
        <v>6730</v>
      </c>
      <c r="E334" s="2">
        <v>10230</v>
      </c>
      <c r="F334" s="2"/>
      <c r="G334" s="2"/>
      <c r="H334" s="2"/>
      <c r="I334" s="2" t="s">
        <v>10</v>
      </c>
      <c r="J334" s="2">
        <v>641</v>
      </c>
      <c r="K334" s="2"/>
      <c r="L334" s="2">
        <v>763</v>
      </c>
      <c r="M334" s="2">
        <v>0.35199999999999998</v>
      </c>
      <c r="N334" s="2">
        <v>5.9210000000000003</v>
      </c>
      <c r="O334" s="2">
        <v>5.7960000000000003</v>
      </c>
      <c r="P334" s="7"/>
    </row>
    <row r="335" spans="1:16" x14ac:dyDescent="0.25">
      <c r="A335" s="6">
        <v>6.625</v>
      </c>
      <c r="B335" s="2">
        <v>24</v>
      </c>
      <c r="C335" s="2" t="s">
        <v>113</v>
      </c>
      <c r="D335" s="2">
        <v>6730</v>
      </c>
      <c r="E335" s="2">
        <v>10230</v>
      </c>
      <c r="F335" s="2"/>
      <c r="G335" s="2"/>
      <c r="H335" s="2"/>
      <c r="I335" s="2" t="s">
        <v>13</v>
      </c>
      <c r="J335" s="2">
        <v>786</v>
      </c>
      <c r="K335" s="2"/>
      <c r="L335" s="2">
        <v>763</v>
      </c>
      <c r="M335" s="2">
        <v>0.35199999999999998</v>
      </c>
      <c r="N335" s="2">
        <v>5.9210000000000003</v>
      </c>
      <c r="O335" s="2">
        <v>5.7960000000000003</v>
      </c>
      <c r="P335" s="7"/>
    </row>
    <row r="336" spans="1:16" x14ac:dyDescent="0.25">
      <c r="A336" s="8">
        <v>6.625</v>
      </c>
      <c r="B336" s="1">
        <v>28</v>
      </c>
      <c r="C336" s="1" t="s">
        <v>111</v>
      </c>
      <c r="D336" s="1">
        <v>8170</v>
      </c>
      <c r="E336" s="1">
        <v>8810</v>
      </c>
      <c r="F336" s="1"/>
      <c r="G336" s="1"/>
      <c r="H336" s="1"/>
      <c r="I336" s="1" t="s">
        <v>10</v>
      </c>
      <c r="J336" s="1">
        <v>576</v>
      </c>
      <c r="K336" s="1"/>
      <c r="L336" s="1">
        <v>651</v>
      </c>
      <c r="M336" s="1">
        <v>0.41699999999999998</v>
      </c>
      <c r="N336" s="1">
        <v>5.7910000000000004</v>
      </c>
      <c r="O336" s="1">
        <v>5.6660000000000004</v>
      </c>
      <c r="P336" s="9"/>
    </row>
    <row r="337" spans="1:16" x14ac:dyDescent="0.25">
      <c r="A337" s="8">
        <v>6.625</v>
      </c>
      <c r="B337" s="1">
        <v>28</v>
      </c>
      <c r="C337" s="1" t="s">
        <v>111</v>
      </c>
      <c r="D337" s="1">
        <v>8170</v>
      </c>
      <c r="E337" s="1">
        <v>8810</v>
      </c>
      <c r="F337" s="1"/>
      <c r="G337" s="1"/>
      <c r="H337" s="1"/>
      <c r="I337" s="1" t="s">
        <v>13</v>
      </c>
      <c r="J337" s="1">
        <v>693</v>
      </c>
      <c r="K337" s="1"/>
      <c r="L337" s="1">
        <v>651</v>
      </c>
      <c r="M337" s="1">
        <v>0.41699999999999998</v>
      </c>
      <c r="N337" s="1">
        <v>5.7910000000000004</v>
      </c>
      <c r="O337" s="1">
        <v>5.6660000000000004</v>
      </c>
      <c r="P337" s="9"/>
    </row>
    <row r="338" spans="1:16" x14ac:dyDescent="0.25">
      <c r="A338" s="6">
        <v>6.625</v>
      </c>
      <c r="B338" s="2">
        <v>28</v>
      </c>
      <c r="C338" s="2" t="s">
        <v>112</v>
      </c>
      <c r="D338" s="2">
        <v>8170</v>
      </c>
      <c r="E338" s="2">
        <v>8810</v>
      </c>
      <c r="F338" s="2"/>
      <c r="G338" s="2"/>
      <c r="H338" s="2"/>
      <c r="I338" s="2" t="s">
        <v>10</v>
      </c>
      <c r="J338" s="2">
        <v>586</v>
      </c>
      <c r="K338" s="2"/>
      <c r="L338" s="2">
        <v>651</v>
      </c>
      <c r="M338" s="2">
        <v>0.41699999999999998</v>
      </c>
      <c r="N338" s="2">
        <v>5.7910000000000004</v>
      </c>
      <c r="O338" s="2">
        <v>5.6660000000000004</v>
      </c>
      <c r="P338" s="7"/>
    </row>
    <row r="339" spans="1:16" x14ac:dyDescent="0.25">
      <c r="A339" s="6">
        <v>6.625</v>
      </c>
      <c r="B339" s="2">
        <v>28</v>
      </c>
      <c r="C339" s="2" t="s">
        <v>112</v>
      </c>
      <c r="D339" s="2">
        <v>8170</v>
      </c>
      <c r="E339" s="2">
        <v>8810</v>
      </c>
      <c r="F339" s="2"/>
      <c r="G339" s="2"/>
      <c r="H339" s="2"/>
      <c r="I339" s="2" t="s">
        <v>13</v>
      </c>
      <c r="J339" s="2">
        <v>721</v>
      </c>
      <c r="K339" s="2"/>
      <c r="L339" s="2">
        <v>651</v>
      </c>
      <c r="M339" s="2">
        <v>0.41699999999999998</v>
      </c>
      <c r="N339" s="2">
        <v>5.7910000000000004</v>
      </c>
      <c r="O339" s="2">
        <v>5.6660000000000004</v>
      </c>
      <c r="P339" s="7"/>
    </row>
    <row r="340" spans="1:16" x14ac:dyDescent="0.25">
      <c r="A340" s="8">
        <v>6.625</v>
      </c>
      <c r="B340" s="1">
        <v>28</v>
      </c>
      <c r="C340" s="1" t="s">
        <v>68</v>
      </c>
      <c r="D340" s="1">
        <v>8880</v>
      </c>
      <c r="E340" s="1">
        <v>9910</v>
      </c>
      <c r="F340" s="1"/>
      <c r="G340" s="1"/>
      <c r="H340" s="1"/>
      <c r="I340" s="1" t="s">
        <v>10</v>
      </c>
      <c r="J340" s="1">
        <v>633</v>
      </c>
      <c r="K340" s="1"/>
      <c r="L340" s="1">
        <v>732</v>
      </c>
      <c r="M340" s="1">
        <v>0.41699999999999998</v>
      </c>
      <c r="N340" s="1">
        <v>5.7910000000000004</v>
      </c>
      <c r="O340" s="1">
        <v>5.6660000000000004</v>
      </c>
      <c r="P340" s="9"/>
    </row>
    <row r="341" spans="1:16" x14ac:dyDescent="0.25">
      <c r="A341" s="8">
        <v>6.625</v>
      </c>
      <c r="B341" s="1">
        <v>28</v>
      </c>
      <c r="C341" s="1" t="s">
        <v>68</v>
      </c>
      <c r="D341" s="1">
        <v>8880</v>
      </c>
      <c r="E341" s="1">
        <v>9910</v>
      </c>
      <c r="F341" s="1"/>
      <c r="G341" s="1"/>
      <c r="H341" s="1"/>
      <c r="I341" s="1" t="s">
        <v>13</v>
      </c>
      <c r="J341" s="1">
        <v>742</v>
      </c>
      <c r="K341" s="1"/>
      <c r="L341" s="1">
        <v>732</v>
      </c>
      <c r="M341" s="1">
        <v>0.41699999999999998</v>
      </c>
      <c r="N341" s="1">
        <v>5.7910000000000004</v>
      </c>
      <c r="O341" s="1">
        <v>5.6660000000000004</v>
      </c>
      <c r="P341" s="9"/>
    </row>
    <row r="342" spans="1:16" x14ac:dyDescent="0.25">
      <c r="A342" s="6">
        <v>6.625</v>
      </c>
      <c r="B342" s="2">
        <v>28</v>
      </c>
      <c r="C342" s="2" t="s">
        <v>74</v>
      </c>
      <c r="D342" s="2">
        <v>9220</v>
      </c>
      <c r="E342" s="2">
        <v>10460</v>
      </c>
      <c r="F342" s="2"/>
      <c r="G342" s="2"/>
      <c r="H342" s="2"/>
      <c r="I342" s="2" t="s">
        <v>10</v>
      </c>
      <c r="J342" s="2">
        <v>665</v>
      </c>
      <c r="K342" s="2"/>
      <c r="L342" s="2">
        <v>773</v>
      </c>
      <c r="M342" s="2">
        <v>0.41699999999999998</v>
      </c>
      <c r="N342" s="2">
        <v>5.7910000000000004</v>
      </c>
      <c r="O342" s="2">
        <v>5.6660000000000004</v>
      </c>
      <c r="P342" s="7"/>
    </row>
    <row r="343" spans="1:16" x14ac:dyDescent="0.25">
      <c r="A343" s="6">
        <v>6.625</v>
      </c>
      <c r="B343" s="2">
        <v>28</v>
      </c>
      <c r="C343" s="2" t="s">
        <v>74</v>
      </c>
      <c r="D343" s="2">
        <v>9220</v>
      </c>
      <c r="E343" s="2">
        <v>10460</v>
      </c>
      <c r="F343" s="2"/>
      <c r="G343" s="2"/>
      <c r="H343" s="2"/>
      <c r="I343" s="2" t="s">
        <v>13</v>
      </c>
      <c r="J343" s="2">
        <v>780</v>
      </c>
      <c r="K343" s="2"/>
      <c r="L343" s="2">
        <v>773</v>
      </c>
      <c r="M343" s="2">
        <v>0.41699999999999998</v>
      </c>
      <c r="N343" s="2">
        <v>5.7910000000000004</v>
      </c>
      <c r="O343" s="2">
        <v>5.6660000000000004</v>
      </c>
      <c r="P343" s="7"/>
    </row>
    <row r="344" spans="1:16" x14ac:dyDescent="0.25">
      <c r="A344" s="8">
        <v>6.625</v>
      </c>
      <c r="B344" s="1">
        <v>28</v>
      </c>
      <c r="C344" s="1" t="s">
        <v>113</v>
      </c>
      <c r="D344" s="1">
        <v>10160</v>
      </c>
      <c r="E344" s="1">
        <v>12120</v>
      </c>
      <c r="F344" s="1"/>
      <c r="G344" s="1"/>
      <c r="H344" s="1"/>
      <c r="I344" s="1" t="s">
        <v>10</v>
      </c>
      <c r="J344" s="1">
        <v>781</v>
      </c>
      <c r="K344" s="1"/>
      <c r="L344" s="1">
        <v>895</v>
      </c>
      <c r="M344" s="1">
        <v>0.41699999999999998</v>
      </c>
      <c r="N344" s="1">
        <v>5.7910000000000004</v>
      </c>
      <c r="O344" s="1">
        <v>5.6660000000000004</v>
      </c>
      <c r="P344" s="9"/>
    </row>
    <row r="345" spans="1:16" x14ac:dyDescent="0.25">
      <c r="A345" s="8">
        <v>6.625</v>
      </c>
      <c r="B345" s="1">
        <v>28</v>
      </c>
      <c r="C345" s="1" t="s">
        <v>113</v>
      </c>
      <c r="D345" s="1">
        <v>10160</v>
      </c>
      <c r="E345" s="1">
        <v>12120</v>
      </c>
      <c r="F345" s="1"/>
      <c r="G345" s="1"/>
      <c r="H345" s="1"/>
      <c r="I345" s="1" t="s">
        <v>13</v>
      </c>
      <c r="J345" s="1">
        <v>922</v>
      </c>
      <c r="K345" s="1"/>
      <c r="L345" s="1">
        <v>895</v>
      </c>
      <c r="M345" s="1">
        <v>0.41699999999999998</v>
      </c>
      <c r="N345" s="1">
        <v>5.7910000000000004</v>
      </c>
      <c r="O345" s="1">
        <v>5.6660000000000004</v>
      </c>
      <c r="P345" s="9"/>
    </row>
    <row r="346" spans="1:16" x14ac:dyDescent="0.25">
      <c r="A346" s="6">
        <v>6.625</v>
      </c>
      <c r="B346" s="2">
        <v>32</v>
      </c>
      <c r="C346" s="2" t="s">
        <v>111</v>
      </c>
      <c r="D346" s="2">
        <v>10320</v>
      </c>
      <c r="E346" s="2">
        <v>10040</v>
      </c>
      <c r="F346" s="2"/>
      <c r="G346" s="2"/>
      <c r="H346" s="2"/>
      <c r="I346" s="2" t="s">
        <v>10</v>
      </c>
      <c r="J346" s="2">
        <v>666</v>
      </c>
      <c r="K346" s="2"/>
      <c r="L346" s="2">
        <v>734</v>
      </c>
      <c r="M346" s="2">
        <v>0.47499999999999998</v>
      </c>
      <c r="N346" s="2">
        <v>5.6749999999999998</v>
      </c>
      <c r="O346" s="2">
        <v>5.55</v>
      </c>
      <c r="P346" s="7"/>
    </row>
    <row r="347" spans="1:16" x14ac:dyDescent="0.25">
      <c r="A347" s="6">
        <v>6.625</v>
      </c>
      <c r="B347" s="2">
        <v>32</v>
      </c>
      <c r="C347" s="2" t="s">
        <v>111</v>
      </c>
      <c r="D347" s="2">
        <v>10320</v>
      </c>
      <c r="E347" s="2">
        <v>9820</v>
      </c>
      <c r="F347" s="2"/>
      <c r="G347" s="2"/>
      <c r="H347" s="2"/>
      <c r="I347" s="2" t="s">
        <v>13</v>
      </c>
      <c r="J347" s="2">
        <v>783</v>
      </c>
      <c r="K347" s="2"/>
      <c r="L347" s="2">
        <v>734</v>
      </c>
      <c r="M347" s="2">
        <v>0.47499999999999998</v>
      </c>
      <c r="N347" s="2">
        <v>5.6749999999999998</v>
      </c>
      <c r="O347" s="2">
        <v>5.55</v>
      </c>
      <c r="P347" s="7"/>
    </row>
    <row r="348" spans="1:16" x14ac:dyDescent="0.25">
      <c r="A348" s="8">
        <v>6.625</v>
      </c>
      <c r="B348" s="1">
        <v>32</v>
      </c>
      <c r="C348" s="1" t="s">
        <v>112</v>
      </c>
      <c r="D348" s="1">
        <v>10320</v>
      </c>
      <c r="E348" s="1">
        <v>10040</v>
      </c>
      <c r="F348" s="1"/>
      <c r="G348" s="1"/>
      <c r="H348" s="1"/>
      <c r="I348" s="1" t="s">
        <v>10</v>
      </c>
      <c r="J348" s="1">
        <v>677</v>
      </c>
      <c r="K348" s="1"/>
      <c r="L348" s="1">
        <v>734</v>
      </c>
      <c r="M348" s="1">
        <v>0.47499999999999998</v>
      </c>
      <c r="N348" s="1">
        <v>5.6749999999999998</v>
      </c>
      <c r="O348" s="1">
        <v>5.55</v>
      </c>
      <c r="P348" s="9"/>
    </row>
    <row r="349" spans="1:16" x14ac:dyDescent="0.25">
      <c r="A349" s="8">
        <v>6.625</v>
      </c>
      <c r="B349" s="1">
        <v>32</v>
      </c>
      <c r="C349" s="1" t="s">
        <v>112</v>
      </c>
      <c r="D349" s="1">
        <v>10320</v>
      </c>
      <c r="E349" s="1">
        <v>9820</v>
      </c>
      <c r="F349" s="1"/>
      <c r="G349" s="1"/>
      <c r="H349" s="1"/>
      <c r="I349" s="1" t="s">
        <v>13</v>
      </c>
      <c r="J349" s="1">
        <v>814</v>
      </c>
      <c r="K349" s="1"/>
      <c r="L349" s="1">
        <v>734</v>
      </c>
      <c r="M349" s="1">
        <v>0.47499999999999998</v>
      </c>
      <c r="N349" s="1">
        <v>5.6749999999999998</v>
      </c>
      <c r="O349" s="1">
        <v>5.55</v>
      </c>
      <c r="P349" s="9"/>
    </row>
    <row r="350" spans="1:16" x14ac:dyDescent="0.25">
      <c r="A350" s="6">
        <v>6.625</v>
      </c>
      <c r="B350" s="2">
        <v>32</v>
      </c>
      <c r="C350" s="2" t="s">
        <v>68</v>
      </c>
      <c r="D350" s="2">
        <v>11330</v>
      </c>
      <c r="E350" s="2">
        <v>11290</v>
      </c>
      <c r="F350" s="2"/>
      <c r="G350" s="2"/>
      <c r="H350" s="2"/>
      <c r="I350" s="2" t="s">
        <v>10</v>
      </c>
      <c r="J350" s="2">
        <v>732</v>
      </c>
      <c r="K350" s="2"/>
      <c r="L350" s="2">
        <v>826</v>
      </c>
      <c r="M350" s="2">
        <v>0.47499999999999998</v>
      </c>
      <c r="N350" s="2">
        <v>5.6749999999999998</v>
      </c>
      <c r="O350" s="2">
        <v>5.55</v>
      </c>
      <c r="P350" s="7"/>
    </row>
    <row r="351" spans="1:16" x14ac:dyDescent="0.25">
      <c r="A351" s="6">
        <v>6.625</v>
      </c>
      <c r="B351" s="2">
        <v>32</v>
      </c>
      <c r="C351" s="2" t="s">
        <v>68</v>
      </c>
      <c r="D351" s="2">
        <v>11330</v>
      </c>
      <c r="E351" s="2">
        <v>11050</v>
      </c>
      <c r="F351" s="2"/>
      <c r="G351" s="2"/>
      <c r="H351" s="2"/>
      <c r="I351" s="2" t="s">
        <v>13</v>
      </c>
      <c r="J351" s="2">
        <v>837</v>
      </c>
      <c r="K351" s="2"/>
      <c r="L351" s="2">
        <v>826</v>
      </c>
      <c r="M351" s="2">
        <v>0.47499999999999998</v>
      </c>
      <c r="N351" s="2">
        <v>5.6749999999999998</v>
      </c>
      <c r="O351" s="2">
        <v>5.55</v>
      </c>
      <c r="P351" s="7"/>
    </row>
    <row r="352" spans="1:16" x14ac:dyDescent="0.25">
      <c r="A352" s="8">
        <v>6.625</v>
      </c>
      <c r="B352" s="1">
        <v>32</v>
      </c>
      <c r="C352" s="1" t="s">
        <v>74</v>
      </c>
      <c r="D352" s="1">
        <v>11810</v>
      </c>
      <c r="E352" s="1">
        <v>11920</v>
      </c>
      <c r="F352" s="1"/>
      <c r="G352" s="1"/>
      <c r="H352" s="1"/>
      <c r="I352" s="1" t="s">
        <v>10</v>
      </c>
      <c r="J352" s="1">
        <v>769</v>
      </c>
      <c r="K352" s="1"/>
      <c r="L352" s="1">
        <v>872</v>
      </c>
      <c r="M352" s="1">
        <v>0.47499999999999998</v>
      </c>
      <c r="N352" s="1">
        <v>5.6749999999999998</v>
      </c>
      <c r="O352" s="1">
        <v>5.55</v>
      </c>
      <c r="P352" s="9"/>
    </row>
    <row r="353" spans="1:16" x14ac:dyDescent="0.25">
      <c r="A353" s="8">
        <v>6.625</v>
      </c>
      <c r="B353" s="1">
        <v>32</v>
      </c>
      <c r="C353" s="1" t="s">
        <v>74</v>
      </c>
      <c r="D353" s="1">
        <v>11810</v>
      </c>
      <c r="E353" s="1">
        <v>11660</v>
      </c>
      <c r="F353" s="1"/>
      <c r="G353" s="1"/>
      <c r="H353" s="1"/>
      <c r="I353" s="1" t="s">
        <v>13</v>
      </c>
      <c r="J353" s="1">
        <v>880</v>
      </c>
      <c r="K353" s="1"/>
      <c r="L353" s="1">
        <v>872</v>
      </c>
      <c r="M353" s="1">
        <v>0.47499999999999998</v>
      </c>
      <c r="N353" s="1">
        <v>5.6749999999999998</v>
      </c>
      <c r="O353" s="1">
        <v>5.55</v>
      </c>
      <c r="P353" s="9"/>
    </row>
    <row r="354" spans="1:16" x14ac:dyDescent="0.25">
      <c r="A354" s="6">
        <v>6.625</v>
      </c>
      <c r="B354" s="2">
        <v>32</v>
      </c>
      <c r="C354" s="2" t="s">
        <v>113</v>
      </c>
      <c r="D354" s="2">
        <v>13220</v>
      </c>
      <c r="E354" s="2">
        <v>13800</v>
      </c>
      <c r="F354" s="2"/>
      <c r="G354" s="2"/>
      <c r="H354" s="2"/>
      <c r="I354" s="2" t="s">
        <v>10</v>
      </c>
      <c r="J354" s="2">
        <v>904</v>
      </c>
      <c r="K354" s="2"/>
      <c r="L354" s="2">
        <v>1009</v>
      </c>
      <c r="M354" s="2">
        <v>0.47499999999999998</v>
      </c>
      <c r="N354" s="2">
        <v>5.6749999999999998</v>
      </c>
      <c r="O354" s="2">
        <v>5.55</v>
      </c>
      <c r="P354" s="7"/>
    </row>
    <row r="355" spans="1:16" x14ac:dyDescent="0.25">
      <c r="A355" s="6">
        <v>6.625</v>
      </c>
      <c r="B355" s="2">
        <v>32</v>
      </c>
      <c r="C355" s="2" t="s">
        <v>113</v>
      </c>
      <c r="D355" s="2">
        <v>13220</v>
      </c>
      <c r="E355" s="2">
        <v>13500</v>
      </c>
      <c r="F355" s="2"/>
      <c r="G355" s="2"/>
      <c r="H355" s="2"/>
      <c r="I355" s="2" t="s">
        <v>13</v>
      </c>
      <c r="J355" s="2">
        <v>1040</v>
      </c>
      <c r="K355" s="2"/>
      <c r="L355" s="2">
        <v>1009</v>
      </c>
      <c r="M355" s="2">
        <v>0.47499999999999998</v>
      </c>
      <c r="N355" s="2">
        <v>5.6749999999999998</v>
      </c>
      <c r="O355" s="2">
        <v>5.55</v>
      </c>
      <c r="P355" s="7"/>
    </row>
    <row r="356" spans="1:16" ht="15.75" customHeight="1" thickBot="1" x14ac:dyDescent="0.3">
      <c r="A356" s="10">
        <v>6.625</v>
      </c>
      <c r="B356" s="11">
        <v>32</v>
      </c>
      <c r="C356" s="11" t="s">
        <v>114</v>
      </c>
      <c r="D356" s="11">
        <v>14530</v>
      </c>
      <c r="E356" s="11">
        <v>15680</v>
      </c>
      <c r="F356" s="11"/>
      <c r="G356" s="11"/>
      <c r="H356" s="11"/>
      <c r="I356" s="11" t="s">
        <v>10</v>
      </c>
      <c r="J356" s="11">
        <v>989</v>
      </c>
      <c r="K356" s="11"/>
      <c r="L356" s="11">
        <v>1147</v>
      </c>
      <c r="M356" s="11">
        <v>0.47499999999999998</v>
      </c>
      <c r="N356" s="11">
        <v>5.6749999999999998</v>
      </c>
      <c r="O356" s="11">
        <v>5.55</v>
      </c>
      <c r="P356" s="12"/>
    </row>
    <row r="357" spans="1:16" ht="15.75" customHeight="1" thickBot="1" x14ac:dyDescent="0.3">
      <c r="A357" s="10">
        <v>6.625</v>
      </c>
      <c r="B357" s="11">
        <v>32</v>
      </c>
      <c r="C357" s="11" t="s">
        <v>114</v>
      </c>
      <c r="D357" s="11">
        <v>14530</v>
      </c>
      <c r="E357" s="11">
        <v>15340</v>
      </c>
      <c r="F357" s="11"/>
      <c r="G357" s="11"/>
      <c r="H357" s="11"/>
      <c r="I357" s="11" t="s">
        <v>13</v>
      </c>
      <c r="J357" s="11">
        <v>1138</v>
      </c>
      <c r="K357" s="11"/>
      <c r="L357" s="11">
        <v>1147</v>
      </c>
      <c r="M357" s="11">
        <v>0.47499999999999998</v>
      </c>
      <c r="N357" s="11">
        <v>5.6749999999999998</v>
      </c>
      <c r="O357" s="11">
        <v>5.55</v>
      </c>
      <c r="P357" s="12"/>
    </row>
    <row r="358" spans="1:16" x14ac:dyDescent="0.25">
      <c r="A358" s="3">
        <v>7</v>
      </c>
      <c r="B358" s="4">
        <v>20</v>
      </c>
      <c r="C358" s="4" t="s">
        <v>81</v>
      </c>
      <c r="D358" s="4">
        <v>1970</v>
      </c>
      <c r="E358" s="4">
        <v>2720</v>
      </c>
      <c r="F358" s="4"/>
      <c r="G358" s="4"/>
      <c r="H358" s="4"/>
      <c r="I358" s="4" t="s">
        <v>8</v>
      </c>
      <c r="J358" s="4">
        <v>176</v>
      </c>
      <c r="K358" s="4"/>
      <c r="L358" s="4">
        <v>230</v>
      </c>
      <c r="M358" s="4">
        <v>0.27200000000000002</v>
      </c>
      <c r="N358" s="4">
        <v>6.4560000000000004</v>
      </c>
      <c r="O358" s="4">
        <v>6.3310000000000004</v>
      </c>
      <c r="P358" s="5"/>
    </row>
    <row r="359" spans="1:16" x14ac:dyDescent="0.25">
      <c r="A359" s="6">
        <v>7</v>
      </c>
      <c r="B359" s="2">
        <v>20</v>
      </c>
      <c r="C359" s="2" t="s">
        <v>66</v>
      </c>
      <c r="D359" s="2">
        <v>2270</v>
      </c>
      <c r="E359" s="2">
        <v>3740</v>
      </c>
      <c r="F359" s="2"/>
      <c r="G359" s="2"/>
      <c r="H359" s="2"/>
      <c r="I359" s="2" t="s">
        <v>8</v>
      </c>
      <c r="J359" s="2">
        <v>234</v>
      </c>
      <c r="K359" s="2"/>
      <c r="L359" s="2">
        <v>316</v>
      </c>
      <c r="M359" s="2">
        <v>0.27200000000000002</v>
      </c>
      <c r="N359" s="2">
        <v>6.4560000000000004</v>
      </c>
      <c r="O359" s="2">
        <v>6.3310000000000004</v>
      </c>
      <c r="P359" s="7"/>
    </row>
    <row r="360" spans="1:16" x14ac:dyDescent="0.25">
      <c r="A360" s="6">
        <v>7</v>
      </c>
      <c r="B360" s="2">
        <v>20</v>
      </c>
      <c r="C360" s="2" t="s">
        <v>66</v>
      </c>
      <c r="D360" s="2">
        <v>2270</v>
      </c>
      <c r="E360" s="2">
        <v>3740</v>
      </c>
      <c r="F360" s="2"/>
      <c r="G360" s="2"/>
      <c r="H360" s="2"/>
      <c r="I360" s="2" t="s">
        <v>10</v>
      </c>
      <c r="J360" s="2">
        <v>257</v>
      </c>
      <c r="K360" s="2"/>
      <c r="L360" s="2">
        <v>316</v>
      </c>
      <c r="M360" s="2">
        <v>0.27200000000000002</v>
      </c>
      <c r="N360" s="2">
        <v>6.4560000000000004</v>
      </c>
      <c r="O360" s="2">
        <v>6.3310000000000004</v>
      </c>
      <c r="P360" s="7"/>
    </row>
    <row r="361" spans="1:16" x14ac:dyDescent="0.25">
      <c r="A361" s="6">
        <v>7</v>
      </c>
      <c r="B361" s="2">
        <v>20</v>
      </c>
      <c r="C361" s="2" t="s">
        <v>66</v>
      </c>
      <c r="D361" s="2">
        <v>2270</v>
      </c>
      <c r="E361" s="2">
        <v>3740</v>
      </c>
      <c r="F361" s="2"/>
      <c r="G361" s="2"/>
      <c r="H361" s="2"/>
      <c r="I361" s="2" t="s">
        <v>13</v>
      </c>
      <c r="J361" s="2">
        <v>373</v>
      </c>
      <c r="K361" s="2"/>
      <c r="L361" s="2">
        <v>316</v>
      </c>
      <c r="M361" s="2">
        <v>0.27200000000000002</v>
      </c>
      <c r="N361" s="2">
        <v>6.4560000000000004</v>
      </c>
      <c r="O361" s="2">
        <v>6.3310000000000004</v>
      </c>
      <c r="P361" s="7"/>
    </row>
    <row r="362" spans="1:16" x14ac:dyDescent="0.25">
      <c r="A362" s="8">
        <v>7</v>
      </c>
      <c r="B362" s="1">
        <v>20</v>
      </c>
      <c r="C362" s="1" t="s">
        <v>110</v>
      </c>
      <c r="D362" s="1">
        <v>2270</v>
      </c>
      <c r="E362" s="1">
        <v>3740</v>
      </c>
      <c r="F362" s="1"/>
      <c r="G362" s="1"/>
      <c r="H362" s="1"/>
      <c r="I362" s="1" t="s">
        <v>8</v>
      </c>
      <c r="J362" s="1">
        <v>254</v>
      </c>
      <c r="K362" s="1"/>
      <c r="L362" s="1">
        <v>316</v>
      </c>
      <c r="M362" s="1">
        <v>0.27200000000000002</v>
      </c>
      <c r="N362" s="1">
        <v>6.4560000000000004</v>
      </c>
      <c r="O362" s="1">
        <v>6.3310000000000004</v>
      </c>
      <c r="P362" s="9"/>
    </row>
    <row r="363" spans="1:16" x14ac:dyDescent="0.25">
      <c r="A363" s="8">
        <v>7</v>
      </c>
      <c r="B363" s="1">
        <v>20</v>
      </c>
      <c r="C363" s="1" t="s">
        <v>110</v>
      </c>
      <c r="D363" s="1">
        <v>2270</v>
      </c>
      <c r="E363" s="1">
        <v>3740</v>
      </c>
      <c r="F363" s="1"/>
      <c r="G363" s="1"/>
      <c r="H363" s="1"/>
      <c r="I363" s="1" t="s">
        <v>10</v>
      </c>
      <c r="J363" s="1">
        <v>281</v>
      </c>
      <c r="K363" s="1"/>
      <c r="L363" s="1">
        <v>316</v>
      </c>
      <c r="M363" s="1">
        <v>0.27200000000000002</v>
      </c>
      <c r="N363" s="1">
        <v>6.4560000000000004</v>
      </c>
      <c r="O363" s="1">
        <v>6.3310000000000004</v>
      </c>
      <c r="P363" s="9"/>
    </row>
    <row r="364" spans="1:16" x14ac:dyDescent="0.25">
      <c r="A364" s="8">
        <v>7</v>
      </c>
      <c r="B364" s="1">
        <v>20</v>
      </c>
      <c r="C364" s="1" t="s">
        <v>110</v>
      </c>
      <c r="D364" s="1">
        <v>2270</v>
      </c>
      <c r="E364" s="1">
        <v>3740</v>
      </c>
      <c r="F364" s="1"/>
      <c r="G364" s="1"/>
      <c r="H364" s="1"/>
      <c r="I364" s="1" t="s">
        <v>13</v>
      </c>
      <c r="J364" s="1">
        <v>451</v>
      </c>
      <c r="K364" s="1"/>
      <c r="L364" s="1">
        <v>316</v>
      </c>
      <c r="M364" s="1">
        <v>0.27200000000000002</v>
      </c>
      <c r="N364" s="1">
        <v>6.4560000000000004</v>
      </c>
      <c r="O364" s="1">
        <v>6.3310000000000004</v>
      </c>
      <c r="P364" s="9"/>
    </row>
    <row r="365" spans="1:16" x14ac:dyDescent="0.25">
      <c r="A365" s="6">
        <v>7</v>
      </c>
      <c r="B365" s="2">
        <v>23</v>
      </c>
      <c r="C365" s="2" t="s">
        <v>66</v>
      </c>
      <c r="D365" s="2">
        <v>3270</v>
      </c>
      <c r="E365" s="2">
        <v>4360</v>
      </c>
      <c r="F365" s="2"/>
      <c r="G365" s="2"/>
      <c r="H365" s="2"/>
      <c r="I365" s="2" t="s">
        <v>8</v>
      </c>
      <c r="J365" s="2">
        <v>284</v>
      </c>
      <c r="K365" s="2"/>
      <c r="L365" s="2">
        <v>366</v>
      </c>
      <c r="M365" s="2">
        <v>0.317</v>
      </c>
      <c r="N365" s="2">
        <v>6.3659999999999997</v>
      </c>
      <c r="O365" s="2">
        <v>6.2409999999999997</v>
      </c>
      <c r="P365" s="7">
        <v>6.25</v>
      </c>
    </row>
    <row r="366" spans="1:16" x14ac:dyDescent="0.25">
      <c r="A366" s="6">
        <v>7</v>
      </c>
      <c r="B366" s="2">
        <v>23</v>
      </c>
      <c r="C366" s="2" t="s">
        <v>66</v>
      </c>
      <c r="D366" s="2">
        <v>3270</v>
      </c>
      <c r="E366" s="2">
        <v>4360</v>
      </c>
      <c r="F366" s="2"/>
      <c r="G366" s="2"/>
      <c r="H366" s="2"/>
      <c r="I366" s="2" t="s">
        <v>10</v>
      </c>
      <c r="J366" s="2">
        <v>313</v>
      </c>
      <c r="K366" s="2"/>
      <c r="L366" s="2">
        <v>366</v>
      </c>
      <c r="M366" s="2">
        <v>0.317</v>
      </c>
      <c r="N366" s="2">
        <v>6.3659999999999997</v>
      </c>
      <c r="O366" s="2">
        <v>6.2409999999999997</v>
      </c>
      <c r="P366" s="7">
        <v>6.25</v>
      </c>
    </row>
    <row r="367" spans="1:16" x14ac:dyDescent="0.25">
      <c r="A367" s="6">
        <v>7</v>
      </c>
      <c r="B367" s="2">
        <v>23</v>
      </c>
      <c r="C367" s="2" t="s">
        <v>66</v>
      </c>
      <c r="D367" s="2">
        <v>3270</v>
      </c>
      <c r="E367" s="2">
        <v>4360</v>
      </c>
      <c r="F367" s="2"/>
      <c r="G367" s="2"/>
      <c r="H367" s="2"/>
      <c r="I367" s="2" t="s">
        <v>13</v>
      </c>
      <c r="J367" s="2">
        <v>432</v>
      </c>
      <c r="K367" s="2"/>
      <c r="L367" s="2">
        <v>366</v>
      </c>
      <c r="M367" s="2">
        <v>0.317</v>
      </c>
      <c r="N367" s="2">
        <v>6.3659999999999997</v>
      </c>
      <c r="O367" s="2">
        <v>6.2409999999999997</v>
      </c>
      <c r="P367" s="7">
        <v>6.25</v>
      </c>
    </row>
    <row r="368" spans="1:16" x14ac:dyDescent="0.25">
      <c r="A368" s="8">
        <v>7</v>
      </c>
      <c r="B368" s="1">
        <v>23</v>
      </c>
      <c r="C368" s="1" t="s">
        <v>110</v>
      </c>
      <c r="D368" s="1">
        <v>3270</v>
      </c>
      <c r="E368" s="1">
        <v>4360</v>
      </c>
      <c r="F368" s="1"/>
      <c r="G368" s="1"/>
      <c r="H368" s="1"/>
      <c r="I368" s="1" t="s">
        <v>8</v>
      </c>
      <c r="J368" s="1">
        <v>309</v>
      </c>
      <c r="K368" s="1"/>
      <c r="L368" s="1">
        <v>366</v>
      </c>
      <c r="M368" s="1">
        <v>0.317</v>
      </c>
      <c r="N368" s="1">
        <v>6.3659999999999997</v>
      </c>
      <c r="O368" s="1">
        <v>6.2409999999999997</v>
      </c>
      <c r="P368" s="9">
        <v>6.25</v>
      </c>
    </row>
    <row r="369" spans="1:16" x14ac:dyDescent="0.25">
      <c r="A369" s="8">
        <v>7</v>
      </c>
      <c r="B369" s="1">
        <v>23</v>
      </c>
      <c r="C369" s="1" t="s">
        <v>110</v>
      </c>
      <c r="D369" s="1">
        <v>3270</v>
      </c>
      <c r="E369" s="1">
        <v>4360</v>
      </c>
      <c r="F369" s="1"/>
      <c r="G369" s="1"/>
      <c r="H369" s="1"/>
      <c r="I369" s="1" t="s">
        <v>10</v>
      </c>
      <c r="J369" s="1">
        <v>341</v>
      </c>
      <c r="K369" s="1"/>
      <c r="L369" s="1">
        <v>366</v>
      </c>
      <c r="M369" s="1">
        <v>0.317</v>
      </c>
      <c r="N369" s="1">
        <v>6.3659999999999997</v>
      </c>
      <c r="O369" s="1">
        <v>6.2409999999999997</v>
      </c>
      <c r="P369" s="9">
        <v>6.25</v>
      </c>
    </row>
    <row r="370" spans="1:16" x14ac:dyDescent="0.25">
      <c r="A370" s="8">
        <v>7</v>
      </c>
      <c r="B370" s="1">
        <v>23</v>
      </c>
      <c r="C370" s="1" t="s">
        <v>110</v>
      </c>
      <c r="D370" s="1">
        <v>3270</v>
      </c>
      <c r="E370" s="1">
        <v>4360</v>
      </c>
      <c r="F370" s="1"/>
      <c r="G370" s="1"/>
      <c r="H370" s="1"/>
      <c r="I370" s="1" t="s">
        <v>13</v>
      </c>
      <c r="J370" s="1">
        <v>522</v>
      </c>
      <c r="K370" s="1"/>
      <c r="L370" s="1">
        <v>366</v>
      </c>
      <c r="M370" s="1">
        <v>0.317</v>
      </c>
      <c r="N370" s="1">
        <v>6.3659999999999997</v>
      </c>
      <c r="O370" s="1">
        <v>6.2409999999999997</v>
      </c>
      <c r="P370" s="9">
        <v>6.25</v>
      </c>
    </row>
    <row r="371" spans="1:16" x14ac:dyDescent="0.25">
      <c r="A371" s="6">
        <v>7</v>
      </c>
      <c r="B371" s="2">
        <v>23</v>
      </c>
      <c r="C371" s="2" t="s">
        <v>111</v>
      </c>
      <c r="D371" s="2">
        <v>3830</v>
      </c>
      <c r="E371" s="2">
        <v>6340</v>
      </c>
      <c r="F371" s="2"/>
      <c r="G371" s="2"/>
      <c r="H371" s="2"/>
      <c r="I371" s="2" t="s">
        <v>10</v>
      </c>
      <c r="J371" s="2">
        <v>435</v>
      </c>
      <c r="K371" s="2"/>
      <c r="L371" s="2">
        <v>532</v>
      </c>
      <c r="M371" s="2">
        <v>0.317</v>
      </c>
      <c r="N371" s="2">
        <v>6.3659999999999997</v>
      </c>
      <c r="O371" s="2">
        <v>6.2409999999999997</v>
      </c>
      <c r="P371" s="7">
        <v>6.25</v>
      </c>
    </row>
    <row r="372" spans="1:16" x14ac:dyDescent="0.25">
      <c r="A372" s="6">
        <v>7</v>
      </c>
      <c r="B372" s="2">
        <v>23</v>
      </c>
      <c r="C372" s="2" t="s">
        <v>111</v>
      </c>
      <c r="D372" s="2">
        <v>3830</v>
      </c>
      <c r="E372" s="2">
        <v>6340</v>
      </c>
      <c r="F372" s="2"/>
      <c r="G372" s="2"/>
      <c r="H372" s="2"/>
      <c r="I372" s="2" t="s">
        <v>13</v>
      </c>
      <c r="J372" s="2">
        <v>565</v>
      </c>
      <c r="K372" s="2"/>
      <c r="L372" s="2">
        <v>532</v>
      </c>
      <c r="M372" s="2">
        <v>0.317</v>
      </c>
      <c r="N372" s="2">
        <v>6.3659999999999997</v>
      </c>
      <c r="O372" s="2">
        <v>6.2409999999999997</v>
      </c>
      <c r="P372" s="7">
        <v>6.25</v>
      </c>
    </row>
    <row r="373" spans="1:16" x14ac:dyDescent="0.25">
      <c r="A373" s="8">
        <v>7</v>
      </c>
      <c r="B373" s="1">
        <v>23</v>
      </c>
      <c r="C373" s="1" t="s">
        <v>88</v>
      </c>
      <c r="D373" s="1">
        <v>5650</v>
      </c>
      <c r="E373" s="1">
        <v>6340</v>
      </c>
      <c r="F373" s="1"/>
      <c r="G373" s="1"/>
      <c r="H373" s="1"/>
      <c r="I373" s="1" t="s">
        <v>10</v>
      </c>
      <c r="J373" s="1">
        <v>485</v>
      </c>
      <c r="K373" s="1"/>
      <c r="L373" s="1">
        <v>532</v>
      </c>
      <c r="M373" s="1">
        <v>0.317</v>
      </c>
      <c r="N373" s="1">
        <v>6.3659999999999997</v>
      </c>
      <c r="O373" s="1">
        <v>6.2409999999999997</v>
      </c>
      <c r="P373" s="9">
        <v>6.25</v>
      </c>
    </row>
    <row r="374" spans="1:16" x14ac:dyDescent="0.25">
      <c r="A374" s="8">
        <v>7</v>
      </c>
      <c r="B374" s="1">
        <v>23</v>
      </c>
      <c r="C374" s="1" t="s">
        <v>88</v>
      </c>
      <c r="D374" s="1">
        <v>5650</v>
      </c>
      <c r="E374" s="1">
        <v>6340</v>
      </c>
      <c r="F374" s="1"/>
      <c r="G374" s="1"/>
      <c r="H374" s="1"/>
      <c r="I374" s="1" t="s">
        <v>13</v>
      </c>
      <c r="J374" s="1">
        <v>614</v>
      </c>
      <c r="K374" s="1"/>
      <c r="L374" s="1">
        <v>532</v>
      </c>
      <c r="M374" s="1">
        <v>0.317</v>
      </c>
      <c r="N374" s="1">
        <v>6.3659999999999997</v>
      </c>
      <c r="O374" s="1">
        <v>6.2409999999999997</v>
      </c>
      <c r="P374" s="9">
        <v>6.25</v>
      </c>
    </row>
    <row r="375" spans="1:16" x14ac:dyDescent="0.25">
      <c r="A375" s="6">
        <v>7</v>
      </c>
      <c r="B375" s="2">
        <v>23</v>
      </c>
      <c r="C375" s="2" t="s">
        <v>112</v>
      </c>
      <c r="D375" s="2">
        <v>3830</v>
      </c>
      <c r="E375" s="2">
        <v>6340</v>
      </c>
      <c r="F375" s="2"/>
      <c r="G375" s="2"/>
      <c r="H375" s="2"/>
      <c r="I375" s="2" t="s">
        <v>10</v>
      </c>
      <c r="J375" s="2">
        <v>442</v>
      </c>
      <c r="K375" s="2"/>
      <c r="L375" s="2">
        <v>532</v>
      </c>
      <c r="M375" s="2">
        <v>0.317</v>
      </c>
      <c r="N375" s="2">
        <v>6.3659999999999997</v>
      </c>
      <c r="O375" s="2">
        <v>6.2409999999999997</v>
      </c>
      <c r="P375" s="7">
        <v>6.25</v>
      </c>
    </row>
    <row r="376" spans="1:16" x14ac:dyDescent="0.25">
      <c r="A376" s="6">
        <v>7</v>
      </c>
      <c r="B376" s="2">
        <v>23</v>
      </c>
      <c r="C376" s="2" t="s">
        <v>112</v>
      </c>
      <c r="D376" s="2">
        <v>3830</v>
      </c>
      <c r="E376" s="2">
        <v>6340</v>
      </c>
      <c r="F376" s="2"/>
      <c r="G376" s="2"/>
      <c r="H376" s="2"/>
      <c r="I376" s="2" t="s">
        <v>13</v>
      </c>
      <c r="J376" s="2">
        <v>588</v>
      </c>
      <c r="K376" s="2"/>
      <c r="L376" s="2">
        <v>532</v>
      </c>
      <c r="M376" s="2">
        <v>0.317</v>
      </c>
      <c r="N376" s="2">
        <v>6.3659999999999997</v>
      </c>
      <c r="O376" s="2">
        <v>6.2409999999999997</v>
      </c>
      <c r="P376" s="7">
        <v>6.25</v>
      </c>
    </row>
    <row r="377" spans="1:16" x14ac:dyDescent="0.25">
      <c r="A377" s="8">
        <v>7</v>
      </c>
      <c r="B377" s="1">
        <v>23</v>
      </c>
      <c r="C377" s="1" t="s">
        <v>93</v>
      </c>
      <c r="D377" s="1">
        <v>5650</v>
      </c>
      <c r="E377" s="1">
        <v>6340</v>
      </c>
      <c r="F377" s="1"/>
      <c r="G377" s="1"/>
      <c r="H377" s="1"/>
      <c r="I377" s="1" t="s">
        <v>10</v>
      </c>
      <c r="J377" s="1">
        <v>485</v>
      </c>
      <c r="K377" s="1"/>
      <c r="L377" s="1">
        <v>532</v>
      </c>
      <c r="M377" s="1">
        <v>0.317</v>
      </c>
      <c r="N377" s="1">
        <v>6.3659999999999997</v>
      </c>
      <c r="O377" s="1">
        <v>6.2409999999999997</v>
      </c>
      <c r="P377" s="9">
        <v>6.25</v>
      </c>
    </row>
    <row r="378" spans="1:16" x14ac:dyDescent="0.25">
      <c r="A378" s="8">
        <v>7</v>
      </c>
      <c r="B378" s="1">
        <v>23</v>
      </c>
      <c r="C378" s="1" t="s">
        <v>93</v>
      </c>
      <c r="D378" s="1">
        <v>5650</v>
      </c>
      <c r="E378" s="1">
        <v>6340</v>
      </c>
      <c r="F378" s="1"/>
      <c r="G378" s="1"/>
      <c r="H378" s="1"/>
      <c r="I378" s="1" t="s">
        <v>13</v>
      </c>
      <c r="J378" s="1">
        <v>614</v>
      </c>
      <c r="K378" s="1"/>
      <c r="L378" s="1">
        <v>532</v>
      </c>
      <c r="M378" s="1">
        <v>0.317</v>
      </c>
      <c r="N378" s="1">
        <v>6.3659999999999997</v>
      </c>
      <c r="O378" s="1">
        <v>6.2409999999999997</v>
      </c>
      <c r="P378" s="9">
        <v>6.25</v>
      </c>
    </row>
    <row r="379" spans="1:16" x14ac:dyDescent="0.25">
      <c r="A379" s="6">
        <v>7</v>
      </c>
      <c r="B379" s="2">
        <v>23</v>
      </c>
      <c r="C379" s="2" t="s">
        <v>68</v>
      </c>
      <c r="D379" s="2">
        <v>4030</v>
      </c>
      <c r="E379" s="2">
        <v>7130</v>
      </c>
      <c r="F379" s="2"/>
      <c r="G379" s="2"/>
      <c r="H379" s="2"/>
      <c r="I379" s="2" t="s">
        <v>10</v>
      </c>
      <c r="J379" s="2">
        <v>479</v>
      </c>
      <c r="K379" s="2"/>
      <c r="L379" s="2">
        <v>599</v>
      </c>
      <c r="M379" s="2">
        <v>0.317</v>
      </c>
      <c r="N379" s="2">
        <v>6.3659999999999997</v>
      </c>
      <c r="O379" s="2">
        <v>6.2409999999999997</v>
      </c>
      <c r="P379" s="7">
        <v>6.25</v>
      </c>
    </row>
    <row r="380" spans="1:16" x14ac:dyDescent="0.25">
      <c r="A380" s="6">
        <v>7</v>
      </c>
      <c r="B380" s="2">
        <v>23</v>
      </c>
      <c r="C380" s="2" t="s">
        <v>68</v>
      </c>
      <c r="D380" s="2">
        <v>4030</v>
      </c>
      <c r="E380" s="2">
        <v>7130</v>
      </c>
      <c r="F380" s="2"/>
      <c r="G380" s="2"/>
      <c r="H380" s="2"/>
      <c r="I380" s="2" t="s">
        <v>13</v>
      </c>
      <c r="J380" s="2">
        <v>605</v>
      </c>
      <c r="K380" s="2"/>
      <c r="L380" s="2">
        <v>599</v>
      </c>
      <c r="M380" s="2">
        <v>0.317</v>
      </c>
      <c r="N380" s="2">
        <v>6.3659999999999997</v>
      </c>
      <c r="O380" s="2">
        <v>6.2409999999999997</v>
      </c>
      <c r="P380" s="7">
        <v>6.25</v>
      </c>
    </row>
    <row r="381" spans="1:16" x14ac:dyDescent="0.25">
      <c r="A381" s="8">
        <v>7</v>
      </c>
      <c r="B381" s="1">
        <v>23</v>
      </c>
      <c r="C381" s="1" t="s">
        <v>75</v>
      </c>
      <c r="D381" s="1">
        <v>5650</v>
      </c>
      <c r="E381" s="1">
        <v>7130</v>
      </c>
      <c r="F381" s="1"/>
      <c r="G381" s="1"/>
      <c r="H381" s="1"/>
      <c r="I381" s="1" t="s">
        <v>10</v>
      </c>
      <c r="J381" s="1">
        <v>485</v>
      </c>
      <c r="K381" s="1"/>
      <c r="L381" s="1">
        <v>599</v>
      </c>
      <c r="M381" s="1">
        <v>0.317</v>
      </c>
      <c r="N381" s="1">
        <v>6.3659999999999997</v>
      </c>
      <c r="O381" s="1">
        <v>6.2409999999999997</v>
      </c>
      <c r="P381" s="9">
        <v>6.25</v>
      </c>
    </row>
    <row r="382" spans="1:16" x14ac:dyDescent="0.25">
      <c r="A382" s="8">
        <v>7</v>
      </c>
      <c r="B382" s="1">
        <v>23</v>
      </c>
      <c r="C382" s="1" t="s">
        <v>75</v>
      </c>
      <c r="D382" s="1">
        <v>5650</v>
      </c>
      <c r="E382" s="1">
        <v>7130</v>
      </c>
      <c r="F382" s="1"/>
      <c r="G382" s="1"/>
      <c r="H382" s="1"/>
      <c r="I382" s="1" t="s">
        <v>13</v>
      </c>
      <c r="J382" s="1">
        <v>614</v>
      </c>
      <c r="K382" s="1"/>
      <c r="L382" s="1">
        <v>599</v>
      </c>
      <c r="M382" s="1">
        <v>0.317</v>
      </c>
      <c r="N382" s="1">
        <v>6.3659999999999997</v>
      </c>
      <c r="O382" s="1">
        <v>6.2409999999999997</v>
      </c>
      <c r="P382" s="9">
        <v>6.25</v>
      </c>
    </row>
    <row r="383" spans="1:16" x14ac:dyDescent="0.25">
      <c r="A383" s="6">
        <v>7</v>
      </c>
      <c r="B383" s="2">
        <v>23</v>
      </c>
      <c r="C383" s="2" t="s">
        <v>115</v>
      </c>
      <c r="D383" s="2">
        <v>5650</v>
      </c>
      <c r="E383" s="2">
        <v>7530</v>
      </c>
      <c r="F383" s="2"/>
      <c r="G383" s="2"/>
      <c r="H383" s="2"/>
      <c r="I383" s="2" t="s">
        <v>10</v>
      </c>
      <c r="J383" s="2">
        <v>512</v>
      </c>
      <c r="K383" s="2"/>
      <c r="L383" s="2">
        <v>632</v>
      </c>
      <c r="M383" s="2">
        <v>0.317</v>
      </c>
      <c r="N383" s="2">
        <v>6.3659999999999997</v>
      </c>
      <c r="O383" s="2">
        <v>6.2409999999999997</v>
      </c>
      <c r="P383" s="7">
        <v>6.25</v>
      </c>
    </row>
    <row r="384" spans="1:16" x14ac:dyDescent="0.25">
      <c r="A384" s="6">
        <v>7</v>
      </c>
      <c r="B384" s="2">
        <v>23</v>
      </c>
      <c r="C384" s="2" t="s">
        <v>115</v>
      </c>
      <c r="D384" s="2">
        <v>5650</v>
      </c>
      <c r="E384" s="2">
        <v>7530</v>
      </c>
      <c r="F384" s="2"/>
      <c r="G384" s="2"/>
      <c r="H384" s="2"/>
      <c r="I384" s="2" t="s">
        <v>13</v>
      </c>
      <c r="J384" s="2">
        <v>659</v>
      </c>
      <c r="K384" s="2"/>
      <c r="L384" s="2">
        <v>632</v>
      </c>
      <c r="M384" s="2">
        <v>0.317</v>
      </c>
      <c r="N384" s="2">
        <v>6.3659999999999997</v>
      </c>
      <c r="O384" s="2">
        <v>6.2409999999999997</v>
      </c>
      <c r="P384" s="7">
        <v>6.25</v>
      </c>
    </row>
    <row r="385" spans="1:16" x14ac:dyDescent="0.25">
      <c r="A385" s="8">
        <v>7</v>
      </c>
      <c r="B385" s="1">
        <v>23</v>
      </c>
      <c r="C385" s="1" t="s">
        <v>116</v>
      </c>
      <c r="D385" s="1">
        <v>4140</v>
      </c>
      <c r="E385" s="1">
        <v>7530</v>
      </c>
      <c r="F385" s="1"/>
      <c r="G385" s="1"/>
      <c r="H385" s="1"/>
      <c r="I385" s="1" t="s">
        <v>10</v>
      </c>
      <c r="J385" s="1">
        <v>505</v>
      </c>
      <c r="K385" s="1"/>
      <c r="L385" s="1">
        <v>632</v>
      </c>
      <c r="M385" s="1">
        <v>0.317</v>
      </c>
      <c r="N385" s="1">
        <v>6.3659999999999997</v>
      </c>
      <c r="O385" s="1">
        <v>6.2409999999999997</v>
      </c>
      <c r="P385" s="9">
        <v>6.25</v>
      </c>
    </row>
    <row r="386" spans="1:16" x14ac:dyDescent="0.25">
      <c r="A386" s="8">
        <v>7</v>
      </c>
      <c r="B386" s="1">
        <v>23</v>
      </c>
      <c r="C386" s="1" t="s">
        <v>116</v>
      </c>
      <c r="D386" s="1">
        <v>4140</v>
      </c>
      <c r="E386" s="1">
        <v>7530</v>
      </c>
      <c r="F386" s="1"/>
      <c r="G386" s="1"/>
      <c r="H386" s="1"/>
      <c r="I386" s="1" t="s">
        <v>13</v>
      </c>
      <c r="J386" s="1">
        <v>636</v>
      </c>
      <c r="K386" s="1"/>
      <c r="L386" s="1">
        <v>632</v>
      </c>
      <c r="M386" s="1">
        <v>0.317</v>
      </c>
      <c r="N386" s="1">
        <v>6.3659999999999997</v>
      </c>
      <c r="O386" s="1">
        <v>6.2409999999999997</v>
      </c>
      <c r="P386" s="9">
        <v>6.25</v>
      </c>
    </row>
    <row r="387" spans="1:16" x14ac:dyDescent="0.25">
      <c r="A387" s="6">
        <v>7</v>
      </c>
      <c r="B387" s="2">
        <v>23</v>
      </c>
      <c r="C387" s="2" t="s">
        <v>80</v>
      </c>
      <c r="D387" s="2">
        <v>5650</v>
      </c>
      <c r="E387" s="2">
        <v>7530</v>
      </c>
      <c r="F387" s="2"/>
      <c r="G387" s="2"/>
      <c r="H387" s="2"/>
      <c r="I387" s="2" t="s">
        <v>10</v>
      </c>
      <c r="J387" s="2">
        <v>505</v>
      </c>
      <c r="K387" s="2"/>
      <c r="L387" s="2">
        <v>632</v>
      </c>
      <c r="M387" s="2">
        <v>0.317</v>
      </c>
      <c r="N387" s="2">
        <v>6.3659999999999997</v>
      </c>
      <c r="O387" s="2">
        <v>6.2409999999999997</v>
      </c>
      <c r="P387" s="7">
        <v>6.25</v>
      </c>
    </row>
    <row r="388" spans="1:16" x14ac:dyDescent="0.25">
      <c r="A388" s="6">
        <v>7</v>
      </c>
      <c r="B388" s="2">
        <v>23</v>
      </c>
      <c r="C388" s="2" t="s">
        <v>80</v>
      </c>
      <c r="D388" s="2">
        <v>5650</v>
      </c>
      <c r="E388" s="2">
        <v>7530</v>
      </c>
      <c r="F388" s="2"/>
      <c r="G388" s="2"/>
      <c r="H388" s="2"/>
      <c r="I388" s="2" t="s">
        <v>13</v>
      </c>
      <c r="J388" s="2">
        <v>636</v>
      </c>
      <c r="K388" s="2"/>
      <c r="L388" s="2">
        <v>632</v>
      </c>
      <c r="M388" s="2">
        <v>0.317</v>
      </c>
      <c r="N388" s="2">
        <v>6.3659999999999997</v>
      </c>
      <c r="O388" s="2">
        <v>6.2409999999999997</v>
      </c>
      <c r="P388" s="7">
        <v>6.25</v>
      </c>
    </row>
    <row r="389" spans="1:16" x14ac:dyDescent="0.25">
      <c r="A389" s="8">
        <v>7</v>
      </c>
      <c r="B389" s="1">
        <v>23</v>
      </c>
      <c r="C389" s="1" t="s">
        <v>74</v>
      </c>
      <c r="D389" s="1">
        <v>4140</v>
      </c>
      <c r="E389" s="1">
        <v>7530</v>
      </c>
      <c r="F389" s="1"/>
      <c r="G389" s="1"/>
      <c r="H389" s="1"/>
      <c r="I389" s="1" t="s">
        <v>10</v>
      </c>
      <c r="J389" s="1">
        <v>505</v>
      </c>
      <c r="K389" s="1"/>
      <c r="L389" s="1">
        <v>632</v>
      </c>
      <c r="M389" s="1">
        <v>0.317</v>
      </c>
      <c r="N389" s="1">
        <v>6.3659999999999997</v>
      </c>
      <c r="O389" s="1">
        <v>6.2409999999999997</v>
      </c>
      <c r="P389" s="9">
        <v>6.25</v>
      </c>
    </row>
    <row r="390" spans="1:16" x14ac:dyDescent="0.25">
      <c r="A390" s="8">
        <v>7</v>
      </c>
      <c r="B390" s="1">
        <v>23</v>
      </c>
      <c r="C390" s="1" t="s">
        <v>74</v>
      </c>
      <c r="D390" s="1">
        <v>4140</v>
      </c>
      <c r="E390" s="1">
        <v>7530</v>
      </c>
      <c r="F390" s="1"/>
      <c r="G390" s="1"/>
      <c r="H390" s="1"/>
      <c r="I390" s="1" t="s">
        <v>13</v>
      </c>
      <c r="J390" s="1">
        <v>636</v>
      </c>
      <c r="K390" s="1"/>
      <c r="L390" s="1">
        <v>632</v>
      </c>
      <c r="M390" s="1">
        <v>0.317</v>
      </c>
      <c r="N390" s="1">
        <v>6.3659999999999997</v>
      </c>
      <c r="O390" s="1">
        <v>6.2409999999999997</v>
      </c>
      <c r="P390" s="9">
        <v>6.25</v>
      </c>
    </row>
    <row r="391" spans="1:16" x14ac:dyDescent="0.25">
      <c r="A391" s="6">
        <v>7</v>
      </c>
      <c r="B391" s="2">
        <v>26</v>
      </c>
      <c r="C391" s="2" t="s">
        <v>66</v>
      </c>
      <c r="D391" s="2">
        <v>4320</v>
      </c>
      <c r="E391" s="2">
        <v>4980</v>
      </c>
      <c r="F391" s="2"/>
      <c r="G391" s="2"/>
      <c r="H391" s="2"/>
      <c r="I391" s="2" t="s">
        <v>8</v>
      </c>
      <c r="J391" s="2">
        <v>334</v>
      </c>
      <c r="K391" s="2"/>
      <c r="L391" s="2">
        <v>415</v>
      </c>
      <c r="M391" s="2">
        <v>0.36199999999999999</v>
      </c>
      <c r="N391" s="2">
        <v>6.2759999999999998</v>
      </c>
      <c r="O391" s="2">
        <v>6.1509999999999998</v>
      </c>
      <c r="P391" s="7"/>
    </row>
    <row r="392" spans="1:16" x14ac:dyDescent="0.25">
      <c r="A392" s="6">
        <v>7</v>
      </c>
      <c r="B392" s="2">
        <v>26</v>
      </c>
      <c r="C392" s="2" t="s">
        <v>66</v>
      </c>
      <c r="D392" s="2">
        <v>4320</v>
      </c>
      <c r="E392" s="2">
        <v>4980</v>
      </c>
      <c r="F392" s="2"/>
      <c r="G392" s="2"/>
      <c r="H392" s="2"/>
      <c r="I392" s="2" t="s">
        <v>10</v>
      </c>
      <c r="J392" s="2">
        <v>367</v>
      </c>
      <c r="K392" s="2"/>
      <c r="L392" s="2">
        <v>415</v>
      </c>
      <c r="M392" s="2">
        <v>0.36199999999999999</v>
      </c>
      <c r="N392" s="2">
        <v>6.2759999999999998</v>
      </c>
      <c r="O392" s="2">
        <v>6.1509999999999998</v>
      </c>
      <c r="P392" s="7"/>
    </row>
    <row r="393" spans="1:16" x14ac:dyDescent="0.25">
      <c r="A393" s="6">
        <v>7</v>
      </c>
      <c r="B393" s="2">
        <v>26</v>
      </c>
      <c r="C393" s="2" t="s">
        <v>66</v>
      </c>
      <c r="D393" s="2">
        <v>4320</v>
      </c>
      <c r="E393" s="2">
        <v>4980</v>
      </c>
      <c r="F393" s="2"/>
      <c r="G393" s="2"/>
      <c r="H393" s="2"/>
      <c r="I393" s="2" t="s">
        <v>13</v>
      </c>
      <c r="J393" s="2">
        <v>490</v>
      </c>
      <c r="K393" s="2"/>
      <c r="L393" s="2">
        <v>415</v>
      </c>
      <c r="M393" s="2">
        <v>0.36199999999999999</v>
      </c>
      <c r="N393" s="2">
        <v>6.2759999999999998</v>
      </c>
      <c r="O393" s="2">
        <v>6.1509999999999998</v>
      </c>
      <c r="P393" s="7"/>
    </row>
    <row r="394" spans="1:16" x14ac:dyDescent="0.25">
      <c r="A394" s="8">
        <v>7</v>
      </c>
      <c r="B394" s="1">
        <v>26</v>
      </c>
      <c r="C394" s="1" t="s">
        <v>110</v>
      </c>
      <c r="D394" s="1">
        <v>4320</v>
      </c>
      <c r="E394" s="1">
        <v>4980</v>
      </c>
      <c r="F394" s="1"/>
      <c r="G394" s="1"/>
      <c r="H394" s="1"/>
      <c r="I394" s="1" t="s">
        <v>8</v>
      </c>
      <c r="J394" s="1">
        <v>364</v>
      </c>
      <c r="K394" s="1"/>
      <c r="L394" s="1">
        <v>415</v>
      </c>
      <c r="M394" s="1">
        <v>0.36199999999999999</v>
      </c>
      <c r="N394" s="1">
        <v>6.2759999999999998</v>
      </c>
      <c r="O394" s="1">
        <v>6.1509999999999998</v>
      </c>
      <c r="P394" s="9"/>
    </row>
    <row r="395" spans="1:16" x14ac:dyDescent="0.25">
      <c r="A395" s="8">
        <v>7</v>
      </c>
      <c r="B395" s="1">
        <v>26</v>
      </c>
      <c r="C395" s="1" t="s">
        <v>110</v>
      </c>
      <c r="D395" s="1">
        <v>4320</v>
      </c>
      <c r="E395" s="1">
        <v>4980</v>
      </c>
      <c r="F395" s="1"/>
      <c r="G395" s="1"/>
      <c r="H395" s="1"/>
      <c r="I395" s="1" t="s">
        <v>10</v>
      </c>
      <c r="J395" s="1">
        <v>401</v>
      </c>
      <c r="K395" s="1"/>
      <c r="L395" s="1">
        <v>415</v>
      </c>
      <c r="M395" s="1">
        <v>0.36199999999999999</v>
      </c>
      <c r="N395" s="1">
        <v>6.2759999999999998</v>
      </c>
      <c r="O395" s="1">
        <v>6.1509999999999998</v>
      </c>
      <c r="P395" s="9"/>
    </row>
    <row r="396" spans="1:16" x14ac:dyDescent="0.25">
      <c r="A396" s="8">
        <v>7</v>
      </c>
      <c r="B396" s="1">
        <v>26</v>
      </c>
      <c r="C396" s="1" t="s">
        <v>110</v>
      </c>
      <c r="D396" s="1">
        <v>4320</v>
      </c>
      <c r="E396" s="1">
        <v>4980</v>
      </c>
      <c r="F396" s="1"/>
      <c r="G396" s="1"/>
      <c r="H396" s="1"/>
      <c r="I396" s="1" t="s">
        <v>13</v>
      </c>
      <c r="J396" s="1">
        <v>592</v>
      </c>
      <c r="K396" s="1"/>
      <c r="L396" s="1">
        <v>415</v>
      </c>
      <c r="M396" s="1">
        <v>0.36199999999999999</v>
      </c>
      <c r="N396" s="1">
        <v>6.2759999999999998</v>
      </c>
      <c r="O396" s="1">
        <v>6.1509999999999998</v>
      </c>
      <c r="P396" s="9"/>
    </row>
    <row r="397" spans="1:16" x14ac:dyDescent="0.25">
      <c r="A397" s="6">
        <v>7</v>
      </c>
      <c r="B397" s="2">
        <v>26</v>
      </c>
      <c r="C397" s="2" t="s">
        <v>111</v>
      </c>
      <c r="D397" s="2">
        <v>5410</v>
      </c>
      <c r="E397" s="2">
        <v>7240</v>
      </c>
      <c r="F397" s="2"/>
      <c r="G397" s="2"/>
      <c r="H397" s="2"/>
      <c r="I397" s="2" t="s">
        <v>10</v>
      </c>
      <c r="J397" s="2">
        <v>511</v>
      </c>
      <c r="K397" s="2"/>
      <c r="L397" s="2">
        <v>604</v>
      </c>
      <c r="M397" s="2">
        <v>0.36199999999999999</v>
      </c>
      <c r="N397" s="2">
        <v>6.2759999999999998</v>
      </c>
      <c r="O397" s="2">
        <v>6.1509999999999998</v>
      </c>
      <c r="P397" s="7"/>
    </row>
    <row r="398" spans="1:16" x14ac:dyDescent="0.25">
      <c r="A398" s="6">
        <v>7</v>
      </c>
      <c r="B398" s="2">
        <v>26</v>
      </c>
      <c r="C398" s="2" t="s">
        <v>111</v>
      </c>
      <c r="D398" s="2">
        <v>5410</v>
      </c>
      <c r="E398" s="2">
        <v>7240</v>
      </c>
      <c r="F398" s="2"/>
      <c r="G398" s="2"/>
      <c r="H398" s="2"/>
      <c r="I398" s="2" t="s">
        <v>13</v>
      </c>
      <c r="J398" s="2">
        <v>641</v>
      </c>
      <c r="K398" s="2"/>
      <c r="L398" s="2">
        <v>604</v>
      </c>
      <c r="M398" s="2">
        <v>0.36199999999999999</v>
      </c>
      <c r="N398" s="2">
        <v>6.2759999999999998</v>
      </c>
      <c r="O398" s="2">
        <v>6.1509999999999998</v>
      </c>
      <c r="P398" s="7"/>
    </row>
    <row r="399" spans="1:16" x14ac:dyDescent="0.25">
      <c r="A399" s="8">
        <v>7</v>
      </c>
      <c r="B399" s="1">
        <v>26</v>
      </c>
      <c r="C399" s="1" t="s">
        <v>88</v>
      </c>
      <c r="D399" s="1">
        <v>7800</v>
      </c>
      <c r="E399" s="1">
        <v>7240</v>
      </c>
      <c r="F399" s="1"/>
      <c r="G399" s="1"/>
      <c r="H399" s="1"/>
      <c r="I399" s="1" t="s">
        <v>10</v>
      </c>
      <c r="J399" s="1">
        <v>570</v>
      </c>
      <c r="K399" s="1"/>
      <c r="L399" s="1">
        <v>604</v>
      </c>
      <c r="M399" s="1">
        <v>0.36199999999999999</v>
      </c>
      <c r="N399" s="1">
        <v>6.2759999999999998</v>
      </c>
      <c r="O399" s="1">
        <v>6.1509999999999998</v>
      </c>
      <c r="P399" s="9"/>
    </row>
    <row r="400" spans="1:16" x14ac:dyDescent="0.25">
      <c r="A400" s="8">
        <v>7</v>
      </c>
      <c r="B400" s="1">
        <v>26</v>
      </c>
      <c r="C400" s="1" t="s">
        <v>88</v>
      </c>
      <c r="D400" s="1">
        <v>7800</v>
      </c>
      <c r="E400" s="1">
        <v>7240</v>
      </c>
      <c r="F400" s="1"/>
      <c r="G400" s="1"/>
      <c r="H400" s="1"/>
      <c r="I400" s="1" t="s">
        <v>13</v>
      </c>
      <c r="J400" s="1">
        <v>696</v>
      </c>
      <c r="K400" s="1"/>
      <c r="L400" s="1">
        <v>604</v>
      </c>
      <c r="M400" s="1">
        <v>0.36199999999999999</v>
      </c>
      <c r="N400" s="1">
        <v>6.2759999999999998</v>
      </c>
      <c r="O400" s="1">
        <v>6.1509999999999998</v>
      </c>
      <c r="P400" s="9"/>
    </row>
    <row r="401" spans="1:16" x14ac:dyDescent="0.25">
      <c r="A401" s="6">
        <v>7</v>
      </c>
      <c r="B401" s="2">
        <v>26</v>
      </c>
      <c r="C401" s="2" t="s">
        <v>112</v>
      </c>
      <c r="D401" s="2">
        <v>5410</v>
      </c>
      <c r="E401" s="2">
        <v>7240</v>
      </c>
      <c r="F401" s="2"/>
      <c r="G401" s="2"/>
      <c r="H401" s="2"/>
      <c r="I401" s="2" t="s">
        <v>10</v>
      </c>
      <c r="J401" s="2">
        <v>519</v>
      </c>
      <c r="K401" s="2"/>
      <c r="L401" s="2">
        <v>604</v>
      </c>
      <c r="M401" s="2">
        <v>0.36199999999999999</v>
      </c>
      <c r="N401" s="2">
        <v>6.2759999999999998</v>
      </c>
      <c r="O401" s="2">
        <v>6.1509999999999998</v>
      </c>
      <c r="P401" s="7"/>
    </row>
    <row r="402" spans="1:16" x14ac:dyDescent="0.25">
      <c r="A402" s="6">
        <v>7</v>
      </c>
      <c r="B402" s="2">
        <v>26</v>
      </c>
      <c r="C402" s="2" t="s">
        <v>112</v>
      </c>
      <c r="D402" s="2">
        <v>5410</v>
      </c>
      <c r="E402" s="2">
        <v>7240</v>
      </c>
      <c r="F402" s="2"/>
      <c r="G402" s="2"/>
      <c r="H402" s="2"/>
      <c r="I402" s="2" t="s">
        <v>13</v>
      </c>
      <c r="J402" s="2">
        <v>667</v>
      </c>
      <c r="K402" s="2"/>
      <c r="L402" s="2">
        <v>604</v>
      </c>
      <c r="M402" s="2">
        <v>0.36199999999999999</v>
      </c>
      <c r="N402" s="2">
        <v>6.2759999999999998</v>
      </c>
      <c r="O402" s="2">
        <v>6.1509999999999998</v>
      </c>
      <c r="P402" s="7"/>
    </row>
    <row r="403" spans="1:16" x14ac:dyDescent="0.25">
      <c r="A403" s="8">
        <v>7</v>
      </c>
      <c r="B403" s="1">
        <v>26</v>
      </c>
      <c r="C403" s="1" t="s">
        <v>93</v>
      </c>
      <c r="D403" s="1">
        <v>7800</v>
      </c>
      <c r="E403" s="1">
        <v>7240</v>
      </c>
      <c r="F403" s="1"/>
      <c r="G403" s="1"/>
      <c r="H403" s="1"/>
      <c r="I403" s="1" t="s">
        <v>10</v>
      </c>
      <c r="J403" s="1">
        <v>570</v>
      </c>
      <c r="K403" s="1"/>
      <c r="L403" s="1">
        <v>604</v>
      </c>
      <c r="M403" s="1">
        <v>0.36199999999999999</v>
      </c>
      <c r="N403" s="1">
        <v>6.2759999999999998</v>
      </c>
      <c r="O403" s="1">
        <v>6.1509999999999998</v>
      </c>
      <c r="P403" s="9"/>
    </row>
    <row r="404" spans="1:16" x14ac:dyDescent="0.25">
      <c r="A404" s="8">
        <v>7</v>
      </c>
      <c r="B404" s="1">
        <v>26</v>
      </c>
      <c r="C404" s="1" t="s">
        <v>93</v>
      </c>
      <c r="D404" s="1">
        <v>7800</v>
      </c>
      <c r="E404" s="1">
        <v>7240</v>
      </c>
      <c r="F404" s="1"/>
      <c r="G404" s="1"/>
      <c r="H404" s="1"/>
      <c r="I404" s="1" t="s">
        <v>13</v>
      </c>
      <c r="J404" s="1">
        <v>696</v>
      </c>
      <c r="K404" s="1"/>
      <c r="L404" s="1">
        <v>604</v>
      </c>
      <c r="M404" s="1">
        <v>0.36199999999999999</v>
      </c>
      <c r="N404" s="1">
        <v>6.2759999999999998</v>
      </c>
      <c r="O404" s="1">
        <v>6.1509999999999998</v>
      </c>
      <c r="P404" s="9"/>
    </row>
    <row r="405" spans="1:16" x14ac:dyDescent="0.25">
      <c r="A405" s="6">
        <v>7</v>
      </c>
      <c r="B405" s="2">
        <v>26</v>
      </c>
      <c r="C405" s="2" t="s">
        <v>68</v>
      </c>
      <c r="D405" s="2">
        <v>5740</v>
      </c>
      <c r="E405" s="2">
        <v>8140</v>
      </c>
      <c r="F405" s="2"/>
      <c r="G405" s="2"/>
      <c r="H405" s="2"/>
      <c r="I405" s="2" t="s">
        <v>10</v>
      </c>
      <c r="J405" s="2">
        <v>563</v>
      </c>
      <c r="K405" s="2"/>
      <c r="L405" s="2">
        <v>679</v>
      </c>
      <c r="M405" s="2">
        <v>0.36199999999999999</v>
      </c>
      <c r="N405" s="2">
        <v>6.2759999999999998</v>
      </c>
      <c r="O405" s="2">
        <v>6.1509999999999998</v>
      </c>
      <c r="P405" s="7"/>
    </row>
    <row r="406" spans="1:16" x14ac:dyDescent="0.25">
      <c r="A406" s="6">
        <v>7</v>
      </c>
      <c r="B406" s="2">
        <v>26</v>
      </c>
      <c r="C406" s="2" t="s">
        <v>68</v>
      </c>
      <c r="D406" s="2">
        <v>5740</v>
      </c>
      <c r="E406" s="2">
        <v>8140</v>
      </c>
      <c r="F406" s="2"/>
      <c r="G406" s="2"/>
      <c r="H406" s="2"/>
      <c r="I406" s="2" t="s">
        <v>13</v>
      </c>
      <c r="J406" s="2">
        <v>687</v>
      </c>
      <c r="K406" s="2"/>
      <c r="L406" s="2">
        <v>679</v>
      </c>
      <c r="M406" s="2">
        <v>0.36199999999999999</v>
      </c>
      <c r="N406" s="2">
        <v>6.2759999999999998</v>
      </c>
      <c r="O406" s="2">
        <v>6.1509999999999998</v>
      </c>
      <c r="P406" s="7"/>
    </row>
    <row r="407" spans="1:16" x14ac:dyDescent="0.25">
      <c r="A407" s="8">
        <v>7</v>
      </c>
      <c r="B407" s="1">
        <v>26</v>
      </c>
      <c r="C407" s="1" t="s">
        <v>75</v>
      </c>
      <c r="D407" s="1">
        <v>7800</v>
      </c>
      <c r="E407" s="1">
        <v>8150</v>
      </c>
      <c r="F407" s="1"/>
      <c r="G407" s="1"/>
      <c r="H407" s="1"/>
      <c r="I407" s="1" t="s">
        <v>10</v>
      </c>
      <c r="J407" s="1">
        <v>570</v>
      </c>
      <c r="K407" s="1"/>
      <c r="L407" s="1">
        <v>679</v>
      </c>
      <c r="M407" s="1">
        <v>0.36199999999999999</v>
      </c>
      <c r="N407" s="1">
        <v>6.2759999999999998</v>
      </c>
      <c r="O407" s="1">
        <v>6.1509999999999998</v>
      </c>
      <c r="P407" s="9"/>
    </row>
    <row r="408" spans="1:16" x14ac:dyDescent="0.25">
      <c r="A408" s="8">
        <v>7</v>
      </c>
      <c r="B408" s="1">
        <v>26</v>
      </c>
      <c r="C408" s="1" t="s">
        <v>75</v>
      </c>
      <c r="D408" s="1">
        <v>7800</v>
      </c>
      <c r="E408" s="1">
        <v>8150</v>
      </c>
      <c r="F408" s="1"/>
      <c r="G408" s="1"/>
      <c r="H408" s="1"/>
      <c r="I408" s="1" t="s">
        <v>13</v>
      </c>
      <c r="J408" s="1">
        <v>696</v>
      </c>
      <c r="K408" s="1"/>
      <c r="L408" s="1">
        <v>679</v>
      </c>
      <c r="M408" s="1">
        <v>0.36199999999999999</v>
      </c>
      <c r="N408" s="1">
        <v>6.2759999999999998</v>
      </c>
      <c r="O408" s="1">
        <v>6.1509999999999998</v>
      </c>
      <c r="P408" s="9"/>
    </row>
    <row r="409" spans="1:16" x14ac:dyDescent="0.25">
      <c r="A409" s="6">
        <v>7</v>
      </c>
      <c r="B409" s="2">
        <v>26</v>
      </c>
      <c r="C409" s="2" t="s">
        <v>115</v>
      </c>
      <c r="D409" s="2">
        <v>7800</v>
      </c>
      <c r="E409" s="2">
        <v>8600</v>
      </c>
      <c r="F409" s="2"/>
      <c r="G409" s="2"/>
      <c r="H409" s="2"/>
      <c r="I409" s="2" t="s">
        <v>10</v>
      </c>
      <c r="J409" s="2">
        <v>602</v>
      </c>
      <c r="K409" s="2"/>
      <c r="L409" s="2">
        <v>717</v>
      </c>
      <c r="M409" s="2">
        <v>0.36199999999999999</v>
      </c>
      <c r="N409" s="2">
        <v>6.2759999999999998</v>
      </c>
      <c r="O409" s="2">
        <v>6.1509999999999998</v>
      </c>
      <c r="P409" s="7"/>
    </row>
    <row r="410" spans="1:16" x14ac:dyDescent="0.25">
      <c r="A410" s="6">
        <v>7</v>
      </c>
      <c r="B410" s="2">
        <v>26</v>
      </c>
      <c r="C410" s="2" t="s">
        <v>115</v>
      </c>
      <c r="D410" s="2">
        <v>7800</v>
      </c>
      <c r="E410" s="2">
        <v>8600</v>
      </c>
      <c r="F410" s="2"/>
      <c r="G410" s="2"/>
      <c r="H410" s="2"/>
      <c r="I410" s="2" t="s">
        <v>13</v>
      </c>
      <c r="J410" s="2">
        <v>747</v>
      </c>
      <c r="K410" s="2"/>
      <c r="L410" s="2">
        <v>717</v>
      </c>
      <c r="M410" s="2">
        <v>0.36199999999999999</v>
      </c>
      <c r="N410" s="2">
        <v>6.2759999999999998</v>
      </c>
      <c r="O410" s="2">
        <v>6.1509999999999998</v>
      </c>
      <c r="P410" s="7"/>
    </row>
    <row r="411" spans="1:16" x14ac:dyDescent="0.25">
      <c r="A411" s="8">
        <v>7</v>
      </c>
      <c r="B411" s="1">
        <v>26</v>
      </c>
      <c r="C411" s="1" t="s">
        <v>116</v>
      </c>
      <c r="D411" s="1">
        <v>5880</v>
      </c>
      <c r="E411" s="1">
        <v>8600</v>
      </c>
      <c r="F411" s="1"/>
      <c r="G411" s="1"/>
      <c r="H411" s="1"/>
      <c r="I411" s="1" t="s">
        <v>10</v>
      </c>
      <c r="J411" s="1">
        <v>593</v>
      </c>
      <c r="K411" s="1"/>
      <c r="L411" s="1">
        <v>717</v>
      </c>
      <c r="M411" s="1">
        <v>0.36199999999999999</v>
      </c>
      <c r="N411" s="1">
        <v>6.2759999999999998</v>
      </c>
      <c r="O411" s="1">
        <v>6.1509999999999998</v>
      </c>
      <c r="P411" s="9"/>
    </row>
    <row r="412" spans="1:16" x14ac:dyDescent="0.25">
      <c r="A412" s="8">
        <v>7</v>
      </c>
      <c r="B412" s="1">
        <v>26</v>
      </c>
      <c r="C412" s="1" t="s">
        <v>116</v>
      </c>
      <c r="D412" s="1">
        <v>5880</v>
      </c>
      <c r="E412" s="1">
        <v>8600</v>
      </c>
      <c r="F412" s="1"/>
      <c r="G412" s="1"/>
      <c r="H412" s="1"/>
      <c r="I412" s="1" t="s">
        <v>13</v>
      </c>
      <c r="J412" s="1">
        <v>722</v>
      </c>
      <c r="K412" s="1"/>
      <c r="L412" s="1">
        <v>717</v>
      </c>
      <c r="M412" s="1">
        <v>0.36199999999999999</v>
      </c>
      <c r="N412" s="1">
        <v>6.2759999999999998</v>
      </c>
      <c r="O412" s="1">
        <v>6.1509999999999998</v>
      </c>
      <c r="P412" s="9"/>
    </row>
    <row r="413" spans="1:16" x14ac:dyDescent="0.25">
      <c r="A413" s="6">
        <v>7</v>
      </c>
      <c r="B413" s="2">
        <v>26</v>
      </c>
      <c r="C413" s="2" t="s">
        <v>80</v>
      </c>
      <c r="D413" s="2">
        <v>7800</v>
      </c>
      <c r="E413" s="2">
        <v>8600</v>
      </c>
      <c r="F413" s="2"/>
      <c r="G413" s="2"/>
      <c r="H413" s="2"/>
      <c r="I413" s="2" t="s">
        <v>10</v>
      </c>
      <c r="J413" s="2">
        <v>593</v>
      </c>
      <c r="K413" s="2"/>
      <c r="L413" s="2">
        <v>717</v>
      </c>
      <c r="M413" s="2">
        <v>0.36199999999999999</v>
      </c>
      <c r="N413" s="2">
        <v>6.2759999999999998</v>
      </c>
      <c r="O413" s="2">
        <v>6.1509999999999998</v>
      </c>
      <c r="P413" s="7"/>
    </row>
    <row r="414" spans="1:16" x14ac:dyDescent="0.25">
      <c r="A414" s="6">
        <v>7</v>
      </c>
      <c r="B414" s="2">
        <v>26</v>
      </c>
      <c r="C414" s="2" t="s">
        <v>80</v>
      </c>
      <c r="D414" s="2">
        <v>7800</v>
      </c>
      <c r="E414" s="2">
        <v>8600</v>
      </c>
      <c r="F414" s="2"/>
      <c r="G414" s="2"/>
      <c r="H414" s="2"/>
      <c r="I414" s="2" t="s">
        <v>13</v>
      </c>
      <c r="J414" s="2">
        <v>722</v>
      </c>
      <c r="K414" s="2"/>
      <c r="L414" s="2">
        <v>717</v>
      </c>
      <c r="M414" s="2">
        <v>0.36199999999999999</v>
      </c>
      <c r="N414" s="2">
        <v>6.2759999999999998</v>
      </c>
      <c r="O414" s="2">
        <v>6.1509999999999998</v>
      </c>
      <c r="P414" s="7"/>
    </row>
    <row r="415" spans="1:16" x14ac:dyDescent="0.25">
      <c r="A415" s="8">
        <v>7</v>
      </c>
      <c r="B415" s="1">
        <v>26</v>
      </c>
      <c r="C415" s="1" t="s">
        <v>74</v>
      </c>
      <c r="D415" s="1">
        <v>5880</v>
      </c>
      <c r="E415" s="1">
        <v>8600</v>
      </c>
      <c r="F415" s="1"/>
      <c r="G415" s="1"/>
      <c r="H415" s="1"/>
      <c r="I415" s="1" t="s">
        <v>10</v>
      </c>
      <c r="J415" s="1">
        <v>593</v>
      </c>
      <c r="K415" s="1"/>
      <c r="L415" s="1">
        <v>717</v>
      </c>
      <c r="M415" s="1">
        <v>0.36199999999999999</v>
      </c>
      <c r="N415" s="1">
        <v>6.2759999999999998</v>
      </c>
      <c r="O415" s="1">
        <v>6.1509999999999998</v>
      </c>
      <c r="P415" s="9"/>
    </row>
    <row r="416" spans="1:16" x14ac:dyDescent="0.25">
      <c r="A416" s="8">
        <v>7</v>
      </c>
      <c r="B416" s="1">
        <v>26</v>
      </c>
      <c r="C416" s="1" t="s">
        <v>74</v>
      </c>
      <c r="D416" s="1">
        <v>5880</v>
      </c>
      <c r="E416" s="1">
        <v>8600</v>
      </c>
      <c r="F416" s="1"/>
      <c r="G416" s="1"/>
      <c r="H416" s="1"/>
      <c r="I416" s="1" t="s">
        <v>13</v>
      </c>
      <c r="J416" s="1">
        <v>722</v>
      </c>
      <c r="K416" s="1"/>
      <c r="L416" s="1">
        <v>717</v>
      </c>
      <c r="M416" s="1">
        <v>0.36199999999999999</v>
      </c>
      <c r="N416" s="1">
        <v>6.2759999999999998</v>
      </c>
      <c r="O416" s="1">
        <v>6.1509999999999998</v>
      </c>
      <c r="P416" s="9"/>
    </row>
    <row r="417" spans="1:16" x14ac:dyDescent="0.25">
      <c r="A417" s="6">
        <v>7</v>
      </c>
      <c r="B417" s="2">
        <v>26</v>
      </c>
      <c r="C417" s="2" t="s">
        <v>97</v>
      </c>
      <c r="D417" s="2">
        <v>7800</v>
      </c>
      <c r="E417" s="2">
        <v>9950</v>
      </c>
      <c r="F417" s="2"/>
      <c r="G417" s="2"/>
      <c r="H417" s="2"/>
      <c r="I417" s="2" t="s">
        <v>10</v>
      </c>
      <c r="J417" s="2">
        <v>693</v>
      </c>
      <c r="K417" s="2"/>
      <c r="L417" s="2">
        <v>830</v>
      </c>
      <c r="M417" s="2">
        <v>0.36199999999999999</v>
      </c>
      <c r="N417" s="2">
        <v>6.2759999999999998</v>
      </c>
      <c r="O417" s="2">
        <v>6.1509999999999998</v>
      </c>
      <c r="P417" s="7"/>
    </row>
    <row r="418" spans="1:16" x14ac:dyDescent="0.25">
      <c r="A418" s="6">
        <v>7</v>
      </c>
      <c r="B418" s="2">
        <v>26</v>
      </c>
      <c r="C418" s="2" t="s">
        <v>97</v>
      </c>
      <c r="D418" s="2">
        <v>7800</v>
      </c>
      <c r="E418" s="2">
        <v>9950</v>
      </c>
      <c r="F418" s="2"/>
      <c r="G418" s="2"/>
      <c r="H418" s="2"/>
      <c r="I418" s="2" t="s">
        <v>13</v>
      </c>
      <c r="J418" s="2">
        <v>853</v>
      </c>
      <c r="K418" s="2"/>
      <c r="L418" s="2">
        <v>830</v>
      </c>
      <c r="M418" s="2">
        <v>0.36199999999999999</v>
      </c>
      <c r="N418" s="2">
        <v>6.2759999999999998</v>
      </c>
      <c r="O418" s="2">
        <v>6.1509999999999998</v>
      </c>
      <c r="P418" s="7"/>
    </row>
    <row r="419" spans="1:16" x14ac:dyDescent="0.25">
      <c r="A419" s="8">
        <v>7</v>
      </c>
      <c r="B419" s="1">
        <v>26</v>
      </c>
      <c r="C419" s="1" t="s">
        <v>113</v>
      </c>
      <c r="D419" s="1">
        <v>6230</v>
      </c>
      <c r="E419" s="1">
        <v>9950</v>
      </c>
      <c r="F419" s="1"/>
      <c r="G419" s="1"/>
      <c r="H419" s="1"/>
      <c r="I419" s="1" t="s">
        <v>10</v>
      </c>
      <c r="J419" s="1">
        <v>693</v>
      </c>
      <c r="K419" s="1"/>
      <c r="L419" s="1">
        <v>830</v>
      </c>
      <c r="M419" s="1">
        <v>0.36199999999999999</v>
      </c>
      <c r="N419" s="1">
        <v>6.2759999999999998</v>
      </c>
      <c r="O419" s="1">
        <v>6.1509999999999998</v>
      </c>
      <c r="P419" s="9"/>
    </row>
    <row r="420" spans="1:16" x14ac:dyDescent="0.25">
      <c r="A420" s="8">
        <v>7</v>
      </c>
      <c r="B420" s="1">
        <v>26</v>
      </c>
      <c r="C420" s="1" t="s">
        <v>113</v>
      </c>
      <c r="D420" s="1">
        <v>6230</v>
      </c>
      <c r="E420" s="1">
        <v>9950</v>
      </c>
      <c r="F420" s="1"/>
      <c r="G420" s="1"/>
      <c r="H420" s="1"/>
      <c r="I420" s="1" t="s">
        <v>13</v>
      </c>
      <c r="J420" s="1">
        <v>853</v>
      </c>
      <c r="K420" s="1"/>
      <c r="L420" s="1">
        <v>830</v>
      </c>
      <c r="M420" s="1">
        <v>0.36199999999999999</v>
      </c>
      <c r="N420" s="1">
        <v>6.2759999999999998</v>
      </c>
      <c r="O420" s="1">
        <v>6.1509999999999998</v>
      </c>
      <c r="P420" s="9"/>
    </row>
    <row r="421" spans="1:16" x14ac:dyDescent="0.25">
      <c r="A421" s="6">
        <v>7</v>
      </c>
      <c r="B421" s="2">
        <v>29</v>
      </c>
      <c r="C421" s="2" t="s">
        <v>111</v>
      </c>
      <c r="D421" s="2">
        <v>7020</v>
      </c>
      <c r="E421" s="2">
        <v>8160</v>
      </c>
      <c r="F421" s="2"/>
      <c r="G421" s="2"/>
      <c r="H421" s="2"/>
      <c r="I421" s="2" t="s">
        <v>10</v>
      </c>
      <c r="J421" s="2">
        <v>587</v>
      </c>
      <c r="K421" s="2"/>
      <c r="L421" s="2">
        <v>676</v>
      </c>
      <c r="M421" s="2">
        <v>0.40799999999999997</v>
      </c>
      <c r="N421" s="2">
        <v>6.1840000000000002</v>
      </c>
      <c r="O421" s="2">
        <v>6.0590000000000002</v>
      </c>
      <c r="P421" s="7"/>
    </row>
    <row r="422" spans="1:16" x14ac:dyDescent="0.25">
      <c r="A422" s="6">
        <v>7</v>
      </c>
      <c r="B422" s="2">
        <v>29</v>
      </c>
      <c r="C422" s="2" t="s">
        <v>111</v>
      </c>
      <c r="D422" s="2">
        <v>7020</v>
      </c>
      <c r="E422" s="2">
        <v>8160</v>
      </c>
      <c r="F422" s="2"/>
      <c r="G422" s="2"/>
      <c r="H422" s="2"/>
      <c r="I422" s="2" t="s">
        <v>13</v>
      </c>
      <c r="J422" s="2">
        <v>718</v>
      </c>
      <c r="K422" s="2"/>
      <c r="L422" s="2">
        <v>676</v>
      </c>
      <c r="M422" s="2">
        <v>0.40799999999999997</v>
      </c>
      <c r="N422" s="2">
        <v>6.1840000000000002</v>
      </c>
      <c r="O422" s="2">
        <v>6.0590000000000002</v>
      </c>
      <c r="P422" s="7"/>
    </row>
    <row r="423" spans="1:16" x14ac:dyDescent="0.25">
      <c r="A423" s="8">
        <v>7</v>
      </c>
      <c r="B423" s="1">
        <v>29</v>
      </c>
      <c r="C423" s="1" t="s">
        <v>88</v>
      </c>
      <c r="D423" s="1">
        <v>9200</v>
      </c>
      <c r="E423" s="1">
        <v>8160</v>
      </c>
      <c r="F423" s="1"/>
      <c r="G423" s="1"/>
      <c r="H423" s="1"/>
      <c r="I423" s="1" t="s">
        <v>10</v>
      </c>
      <c r="J423" s="1">
        <v>655</v>
      </c>
      <c r="K423" s="1"/>
      <c r="L423" s="1">
        <v>676</v>
      </c>
      <c r="M423" s="1">
        <v>0.40799999999999997</v>
      </c>
      <c r="N423" s="1">
        <v>6.1840000000000002</v>
      </c>
      <c r="O423" s="1">
        <v>6.0590000000000002</v>
      </c>
      <c r="P423" s="9"/>
    </row>
    <row r="424" spans="1:16" x14ac:dyDescent="0.25">
      <c r="A424" s="8">
        <v>7</v>
      </c>
      <c r="B424" s="1">
        <v>29</v>
      </c>
      <c r="C424" s="1" t="s">
        <v>88</v>
      </c>
      <c r="D424" s="1">
        <v>9200</v>
      </c>
      <c r="E424" s="1">
        <v>8160</v>
      </c>
      <c r="F424" s="1"/>
      <c r="G424" s="1"/>
      <c r="H424" s="1"/>
      <c r="I424" s="1" t="s">
        <v>13</v>
      </c>
      <c r="J424" s="1">
        <v>780</v>
      </c>
      <c r="K424" s="1"/>
      <c r="L424" s="1">
        <v>676</v>
      </c>
      <c r="M424" s="1">
        <v>0.40799999999999997</v>
      </c>
      <c r="N424" s="1">
        <v>6.1840000000000002</v>
      </c>
      <c r="O424" s="1">
        <v>6.0590000000000002</v>
      </c>
      <c r="P424" s="9"/>
    </row>
    <row r="425" spans="1:16" x14ac:dyDescent="0.25">
      <c r="A425" s="6">
        <v>7</v>
      </c>
      <c r="B425" s="2">
        <v>29</v>
      </c>
      <c r="C425" s="2" t="s">
        <v>112</v>
      </c>
      <c r="D425" s="2">
        <v>7020</v>
      </c>
      <c r="E425" s="2">
        <v>8160</v>
      </c>
      <c r="F425" s="2"/>
      <c r="G425" s="2"/>
      <c r="H425" s="2"/>
      <c r="I425" s="2" t="s">
        <v>10</v>
      </c>
      <c r="J425" s="2">
        <v>597</v>
      </c>
      <c r="K425" s="2"/>
      <c r="L425" s="2">
        <v>676</v>
      </c>
      <c r="M425" s="2">
        <v>0.40799999999999997</v>
      </c>
      <c r="N425" s="2">
        <v>6.1840000000000002</v>
      </c>
      <c r="O425" s="2">
        <v>6.0590000000000002</v>
      </c>
      <c r="P425" s="7"/>
    </row>
    <row r="426" spans="1:16" x14ac:dyDescent="0.25">
      <c r="A426" s="6">
        <v>7</v>
      </c>
      <c r="B426" s="2">
        <v>29</v>
      </c>
      <c r="C426" s="2" t="s">
        <v>112</v>
      </c>
      <c r="D426" s="2">
        <v>7020</v>
      </c>
      <c r="E426" s="2">
        <v>8160</v>
      </c>
      <c r="F426" s="2"/>
      <c r="G426" s="2"/>
      <c r="H426" s="2"/>
      <c r="I426" s="2" t="s">
        <v>13</v>
      </c>
      <c r="J426" s="2">
        <v>746</v>
      </c>
      <c r="K426" s="2"/>
      <c r="L426" s="2">
        <v>676</v>
      </c>
      <c r="M426" s="2">
        <v>0.40799999999999997</v>
      </c>
      <c r="N426" s="2">
        <v>6.1840000000000002</v>
      </c>
      <c r="O426" s="2">
        <v>6.0590000000000002</v>
      </c>
      <c r="P426" s="7"/>
    </row>
    <row r="427" spans="1:16" x14ac:dyDescent="0.25">
      <c r="A427" s="8">
        <v>7</v>
      </c>
      <c r="B427" s="1">
        <v>29</v>
      </c>
      <c r="C427" s="1" t="s">
        <v>93</v>
      </c>
      <c r="D427" s="1">
        <v>9200</v>
      </c>
      <c r="E427" s="1">
        <v>8160</v>
      </c>
      <c r="F427" s="1"/>
      <c r="G427" s="1"/>
      <c r="H427" s="1"/>
      <c r="I427" s="1" t="s">
        <v>10</v>
      </c>
      <c r="J427" s="1">
        <v>655</v>
      </c>
      <c r="K427" s="1"/>
      <c r="L427" s="1">
        <v>676</v>
      </c>
      <c r="M427" s="1">
        <v>0.40799999999999997</v>
      </c>
      <c r="N427" s="1">
        <v>6.1840000000000002</v>
      </c>
      <c r="O427" s="1">
        <v>6.0590000000000002</v>
      </c>
      <c r="P427" s="9"/>
    </row>
    <row r="428" spans="1:16" x14ac:dyDescent="0.25">
      <c r="A428" s="8">
        <v>7</v>
      </c>
      <c r="B428" s="1">
        <v>29</v>
      </c>
      <c r="C428" s="1" t="s">
        <v>93</v>
      </c>
      <c r="D428" s="1">
        <v>9200</v>
      </c>
      <c r="E428" s="1">
        <v>8160</v>
      </c>
      <c r="F428" s="1"/>
      <c r="G428" s="1"/>
      <c r="H428" s="1"/>
      <c r="I428" s="1" t="s">
        <v>13</v>
      </c>
      <c r="J428" s="1">
        <v>780</v>
      </c>
      <c r="K428" s="1"/>
      <c r="L428" s="1">
        <v>676</v>
      </c>
      <c r="M428" s="1">
        <v>0.40799999999999997</v>
      </c>
      <c r="N428" s="1">
        <v>6.1840000000000002</v>
      </c>
      <c r="O428" s="1">
        <v>6.0590000000000002</v>
      </c>
      <c r="P428" s="9"/>
    </row>
    <row r="429" spans="1:16" x14ac:dyDescent="0.25">
      <c r="A429" s="6">
        <v>7</v>
      </c>
      <c r="B429" s="2">
        <v>29</v>
      </c>
      <c r="C429" s="2" t="s">
        <v>68</v>
      </c>
      <c r="D429" s="2">
        <v>7580</v>
      </c>
      <c r="E429" s="2">
        <v>9180</v>
      </c>
      <c r="F429" s="2"/>
      <c r="G429" s="2"/>
      <c r="H429" s="2"/>
      <c r="I429" s="2" t="s">
        <v>10</v>
      </c>
      <c r="J429" s="2">
        <v>648</v>
      </c>
      <c r="K429" s="2"/>
      <c r="L429" s="2">
        <v>760</v>
      </c>
      <c r="M429" s="2">
        <v>0.40799999999999997</v>
      </c>
      <c r="N429" s="2">
        <v>6.1840000000000002</v>
      </c>
      <c r="O429" s="2">
        <v>6.0590000000000002</v>
      </c>
      <c r="P429" s="7"/>
    </row>
    <row r="430" spans="1:16" x14ac:dyDescent="0.25">
      <c r="A430" s="6">
        <v>7</v>
      </c>
      <c r="B430" s="2">
        <v>29</v>
      </c>
      <c r="C430" s="2" t="s">
        <v>68</v>
      </c>
      <c r="D430" s="2">
        <v>7580</v>
      </c>
      <c r="E430" s="2">
        <v>9180</v>
      </c>
      <c r="F430" s="2"/>
      <c r="G430" s="2"/>
      <c r="H430" s="2"/>
      <c r="I430" s="2" t="s">
        <v>13</v>
      </c>
      <c r="J430" s="2">
        <v>768</v>
      </c>
      <c r="K430" s="2"/>
      <c r="L430" s="2">
        <v>760</v>
      </c>
      <c r="M430" s="2">
        <v>0.40799999999999997</v>
      </c>
      <c r="N430" s="2">
        <v>6.1840000000000002</v>
      </c>
      <c r="O430" s="2">
        <v>6.0590000000000002</v>
      </c>
      <c r="P430" s="7"/>
    </row>
    <row r="431" spans="1:16" x14ac:dyDescent="0.25">
      <c r="A431" s="8">
        <v>7</v>
      </c>
      <c r="B431" s="1">
        <v>29</v>
      </c>
      <c r="C431" s="1" t="s">
        <v>75</v>
      </c>
      <c r="D431" s="1">
        <v>9200</v>
      </c>
      <c r="E431" s="1">
        <v>9180</v>
      </c>
      <c r="F431" s="1"/>
      <c r="G431" s="1"/>
      <c r="H431" s="1"/>
      <c r="I431" s="1" t="s">
        <v>10</v>
      </c>
      <c r="J431" s="1">
        <v>655</v>
      </c>
      <c r="K431" s="1"/>
      <c r="L431" s="1">
        <v>760</v>
      </c>
      <c r="M431" s="1">
        <v>0.40799999999999997</v>
      </c>
      <c r="N431" s="1">
        <v>6.1840000000000002</v>
      </c>
      <c r="O431" s="1">
        <v>6.0590000000000002</v>
      </c>
      <c r="P431" s="9"/>
    </row>
    <row r="432" spans="1:16" x14ac:dyDescent="0.25">
      <c r="A432" s="8">
        <v>7</v>
      </c>
      <c r="B432" s="1">
        <v>29</v>
      </c>
      <c r="C432" s="1" t="s">
        <v>75</v>
      </c>
      <c r="D432" s="1">
        <v>9200</v>
      </c>
      <c r="E432" s="1">
        <v>9180</v>
      </c>
      <c r="F432" s="1"/>
      <c r="G432" s="1"/>
      <c r="H432" s="1"/>
      <c r="I432" s="1" t="s">
        <v>13</v>
      </c>
      <c r="J432" s="1">
        <v>780</v>
      </c>
      <c r="K432" s="1"/>
      <c r="L432" s="1">
        <v>760</v>
      </c>
      <c r="M432" s="1">
        <v>0.40799999999999997</v>
      </c>
      <c r="N432" s="1">
        <v>6.1840000000000002</v>
      </c>
      <c r="O432" s="1">
        <v>6.0590000000000002</v>
      </c>
      <c r="P432" s="9"/>
    </row>
    <row r="433" spans="1:16" x14ac:dyDescent="0.25">
      <c r="A433" s="6">
        <v>7</v>
      </c>
      <c r="B433" s="2">
        <v>29</v>
      </c>
      <c r="C433" s="2" t="s">
        <v>115</v>
      </c>
      <c r="D433" s="2">
        <v>9200</v>
      </c>
      <c r="E433" s="2">
        <v>9690</v>
      </c>
      <c r="F433" s="2"/>
      <c r="G433" s="2"/>
      <c r="H433" s="2"/>
      <c r="I433" s="2" t="s">
        <v>10</v>
      </c>
      <c r="J433" s="2">
        <v>692</v>
      </c>
      <c r="K433" s="2"/>
      <c r="L433" s="2">
        <v>803</v>
      </c>
      <c r="M433" s="2">
        <v>0.40799999999999997</v>
      </c>
      <c r="N433" s="2">
        <v>6.1840000000000002</v>
      </c>
      <c r="O433" s="2">
        <v>6.0590000000000002</v>
      </c>
      <c r="P433" s="7"/>
    </row>
    <row r="434" spans="1:16" x14ac:dyDescent="0.25">
      <c r="A434" s="6">
        <v>7</v>
      </c>
      <c r="B434" s="2">
        <v>29</v>
      </c>
      <c r="C434" s="2" t="s">
        <v>115</v>
      </c>
      <c r="D434" s="2">
        <v>9200</v>
      </c>
      <c r="E434" s="2">
        <v>9690</v>
      </c>
      <c r="F434" s="2"/>
      <c r="G434" s="2"/>
      <c r="H434" s="2"/>
      <c r="I434" s="2" t="s">
        <v>13</v>
      </c>
      <c r="J434" s="2">
        <v>836</v>
      </c>
      <c r="K434" s="2"/>
      <c r="L434" s="2">
        <v>803</v>
      </c>
      <c r="M434" s="2">
        <v>0.40799999999999997</v>
      </c>
      <c r="N434" s="2">
        <v>6.1840000000000002</v>
      </c>
      <c r="O434" s="2">
        <v>6.0590000000000002</v>
      </c>
      <c r="P434" s="7"/>
    </row>
    <row r="435" spans="1:16" x14ac:dyDescent="0.25">
      <c r="A435" s="8">
        <v>7</v>
      </c>
      <c r="B435" s="1">
        <v>29</v>
      </c>
      <c r="C435" s="1" t="s">
        <v>116</v>
      </c>
      <c r="D435" s="1">
        <v>7830</v>
      </c>
      <c r="E435" s="1">
        <v>9690</v>
      </c>
      <c r="F435" s="1"/>
      <c r="G435" s="1"/>
      <c r="H435" s="1"/>
      <c r="I435" s="1" t="s">
        <v>10</v>
      </c>
      <c r="J435" s="1">
        <v>683</v>
      </c>
      <c r="K435" s="1"/>
      <c r="L435" s="1">
        <v>803</v>
      </c>
      <c r="M435" s="1">
        <v>0.40799999999999997</v>
      </c>
      <c r="N435" s="1">
        <v>6.1840000000000002</v>
      </c>
      <c r="O435" s="1">
        <v>6.0590000000000002</v>
      </c>
      <c r="P435" s="9"/>
    </row>
    <row r="436" spans="1:16" x14ac:dyDescent="0.25">
      <c r="A436" s="8">
        <v>7</v>
      </c>
      <c r="B436" s="1">
        <v>29</v>
      </c>
      <c r="C436" s="1" t="s">
        <v>116</v>
      </c>
      <c r="D436" s="1">
        <v>7830</v>
      </c>
      <c r="E436" s="1">
        <v>9690</v>
      </c>
      <c r="F436" s="1"/>
      <c r="G436" s="1"/>
      <c r="H436" s="1"/>
      <c r="I436" s="1" t="s">
        <v>13</v>
      </c>
      <c r="J436" s="1">
        <v>808</v>
      </c>
      <c r="K436" s="1"/>
      <c r="L436" s="1">
        <v>803</v>
      </c>
      <c r="M436" s="1">
        <v>0.40799999999999997</v>
      </c>
      <c r="N436" s="1">
        <v>6.1840000000000002</v>
      </c>
      <c r="O436" s="1">
        <v>6.0590000000000002</v>
      </c>
      <c r="P436" s="9"/>
    </row>
    <row r="437" spans="1:16" x14ac:dyDescent="0.25">
      <c r="A437" s="6">
        <v>7</v>
      </c>
      <c r="B437" s="2">
        <v>29</v>
      </c>
      <c r="C437" s="2" t="s">
        <v>80</v>
      </c>
      <c r="D437" s="2">
        <v>9200</v>
      </c>
      <c r="E437" s="2">
        <v>9690</v>
      </c>
      <c r="F437" s="2"/>
      <c r="G437" s="2"/>
      <c r="H437" s="2"/>
      <c r="I437" s="2" t="s">
        <v>10</v>
      </c>
      <c r="J437" s="2">
        <v>683</v>
      </c>
      <c r="K437" s="2"/>
      <c r="L437" s="2">
        <v>803</v>
      </c>
      <c r="M437" s="2">
        <v>0.40799999999999997</v>
      </c>
      <c r="N437" s="2">
        <v>6.1840000000000002</v>
      </c>
      <c r="O437" s="2">
        <v>6.0590000000000002</v>
      </c>
      <c r="P437" s="7"/>
    </row>
    <row r="438" spans="1:16" x14ac:dyDescent="0.25">
      <c r="A438" s="6">
        <v>7</v>
      </c>
      <c r="B438" s="2">
        <v>29</v>
      </c>
      <c r="C438" s="2" t="s">
        <v>80</v>
      </c>
      <c r="D438" s="2">
        <v>9200</v>
      </c>
      <c r="E438" s="2">
        <v>9690</v>
      </c>
      <c r="F438" s="2"/>
      <c r="G438" s="2"/>
      <c r="H438" s="2"/>
      <c r="I438" s="2" t="s">
        <v>13</v>
      </c>
      <c r="J438" s="2">
        <v>808</v>
      </c>
      <c r="K438" s="2"/>
      <c r="L438" s="2">
        <v>803</v>
      </c>
      <c r="M438" s="2">
        <v>0.40799999999999997</v>
      </c>
      <c r="N438" s="2">
        <v>6.1840000000000002</v>
      </c>
      <c r="O438" s="2">
        <v>6.0590000000000002</v>
      </c>
      <c r="P438" s="7"/>
    </row>
    <row r="439" spans="1:16" x14ac:dyDescent="0.25">
      <c r="A439" s="8">
        <v>7</v>
      </c>
      <c r="B439" s="1">
        <v>29</v>
      </c>
      <c r="C439" s="1" t="s">
        <v>74</v>
      </c>
      <c r="D439" s="1">
        <v>7830</v>
      </c>
      <c r="E439" s="1">
        <v>9690</v>
      </c>
      <c r="F439" s="1"/>
      <c r="G439" s="1"/>
      <c r="H439" s="1"/>
      <c r="I439" s="1" t="s">
        <v>10</v>
      </c>
      <c r="J439" s="1">
        <v>683</v>
      </c>
      <c r="K439" s="1"/>
      <c r="L439" s="1">
        <v>803</v>
      </c>
      <c r="M439" s="1">
        <v>0.40799999999999997</v>
      </c>
      <c r="N439" s="1">
        <v>6.1840000000000002</v>
      </c>
      <c r="O439" s="1">
        <v>6.0590000000000002</v>
      </c>
      <c r="P439" s="9"/>
    </row>
    <row r="440" spans="1:16" x14ac:dyDescent="0.25">
      <c r="A440" s="8">
        <v>7</v>
      </c>
      <c r="B440" s="1">
        <v>29</v>
      </c>
      <c r="C440" s="1" t="s">
        <v>74</v>
      </c>
      <c r="D440" s="1">
        <v>7830</v>
      </c>
      <c r="E440" s="1">
        <v>9690</v>
      </c>
      <c r="F440" s="1"/>
      <c r="G440" s="1"/>
      <c r="H440" s="1"/>
      <c r="I440" s="1" t="s">
        <v>13</v>
      </c>
      <c r="J440" s="1">
        <v>808</v>
      </c>
      <c r="K440" s="1"/>
      <c r="L440" s="1">
        <v>803</v>
      </c>
      <c r="M440" s="1">
        <v>0.40799999999999997</v>
      </c>
      <c r="N440" s="1">
        <v>6.1840000000000002</v>
      </c>
      <c r="O440" s="1">
        <v>6.0590000000000002</v>
      </c>
      <c r="P440" s="9"/>
    </row>
    <row r="441" spans="1:16" x14ac:dyDescent="0.25">
      <c r="A441" s="6">
        <v>7</v>
      </c>
      <c r="B441" s="2">
        <v>29</v>
      </c>
      <c r="C441" s="2" t="s">
        <v>97</v>
      </c>
      <c r="D441" s="2">
        <v>9200</v>
      </c>
      <c r="E441" s="2">
        <v>11220</v>
      </c>
      <c r="F441" s="2"/>
      <c r="G441" s="2"/>
      <c r="H441" s="2"/>
      <c r="I441" s="2" t="s">
        <v>10</v>
      </c>
      <c r="J441" s="2">
        <v>797</v>
      </c>
      <c r="K441" s="2"/>
      <c r="L441" s="2">
        <v>929</v>
      </c>
      <c r="M441" s="2">
        <v>0.40799999999999997</v>
      </c>
      <c r="N441" s="2">
        <v>6.1840000000000002</v>
      </c>
      <c r="O441" s="2">
        <v>6.0590000000000002</v>
      </c>
      <c r="P441" s="7"/>
    </row>
    <row r="442" spans="1:16" x14ac:dyDescent="0.25">
      <c r="A442" s="6">
        <v>7</v>
      </c>
      <c r="B442" s="2">
        <v>29</v>
      </c>
      <c r="C442" s="2" t="s">
        <v>97</v>
      </c>
      <c r="D442" s="2">
        <v>9200</v>
      </c>
      <c r="E442" s="2">
        <v>11220</v>
      </c>
      <c r="F442" s="2"/>
      <c r="G442" s="2"/>
      <c r="H442" s="2"/>
      <c r="I442" s="2" t="s">
        <v>13</v>
      </c>
      <c r="J442" s="2">
        <v>955</v>
      </c>
      <c r="K442" s="2"/>
      <c r="L442" s="2">
        <v>929</v>
      </c>
      <c r="M442" s="2">
        <v>0.40799999999999997</v>
      </c>
      <c r="N442" s="2">
        <v>6.1840000000000002</v>
      </c>
      <c r="O442" s="2">
        <v>6.0590000000000002</v>
      </c>
      <c r="P442" s="7"/>
    </row>
    <row r="443" spans="1:16" x14ac:dyDescent="0.25">
      <c r="A443" s="8">
        <v>7</v>
      </c>
      <c r="B443" s="1">
        <v>29</v>
      </c>
      <c r="C443" s="1" t="s">
        <v>113</v>
      </c>
      <c r="D443" s="1">
        <v>8530</v>
      </c>
      <c r="E443" s="1">
        <v>11220</v>
      </c>
      <c r="F443" s="1"/>
      <c r="G443" s="1"/>
      <c r="H443" s="1"/>
      <c r="I443" s="1" t="s">
        <v>10</v>
      </c>
      <c r="J443" s="1">
        <v>797</v>
      </c>
      <c r="K443" s="1"/>
      <c r="L443" s="1">
        <v>929</v>
      </c>
      <c r="M443" s="1">
        <v>0.40799999999999997</v>
      </c>
      <c r="N443" s="1">
        <v>6.1840000000000002</v>
      </c>
      <c r="O443" s="1">
        <v>6.0590000000000002</v>
      </c>
      <c r="P443" s="9"/>
    </row>
    <row r="444" spans="1:16" x14ac:dyDescent="0.25">
      <c r="A444" s="8">
        <v>7</v>
      </c>
      <c r="B444" s="1">
        <v>29</v>
      </c>
      <c r="C444" s="1" t="s">
        <v>113</v>
      </c>
      <c r="D444" s="1">
        <v>8530</v>
      </c>
      <c r="E444" s="1">
        <v>11220</v>
      </c>
      <c r="F444" s="1"/>
      <c r="G444" s="1"/>
      <c r="H444" s="1"/>
      <c r="I444" s="1" t="s">
        <v>13</v>
      </c>
      <c r="J444" s="1">
        <v>955</v>
      </c>
      <c r="K444" s="1"/>
      <c r="L444" s="1">
        <v>929</v>
      </c>
      <c r="M444" s="1">
        <v>0.40799999999999997</v>
      </c>
      <c r="N444" s="1">
        <v>6.1840000000000002</v>
      </c>
      <c r="O444" s="1">
        <v>6.0590000000000002</v>
      </c>
      <c r="P444" s="9"/>
    </row>
    <row r="445" spans="1:16" x14ac:dyDescent="0.25">
      <c r="A445" s="6">
        <v>7</v>
      </c>
      <c r="B445" s="2">
        <v>29</v>
      </c>
      <c r="C445" s="2" t="s">
        <v>99</v>
      </c>
      <c r="D445" s="2">
        <v>9200</v>
      </c>
      <c r="E445" s="2">
        <v>12750</v>
      </c>
      <c r="F445" s="2"/>
      <c r="G445" s="2"/>
      <c r="H445" s="2"/>
      <c r="I445" s="2" t="s">
        <v>10</v>
      </c>
      <c r="J445" s="2">
        <v>885</v>
      </c>
      <c r="K445" s="2"/>
      <c r="L445" s="2">
        <v>1056</v>
      </c>
      <c r="M445" s="2">
        <v>0.40799999999999997</v>
      </c>
      <c r="N445" s="2">
        <v>6.1840000000000002</v>
      </c>
      <c r="O445" s="2">
        <v>6.0590000000000002</v>
      </c>
      <c r="P445" s="7"/>
    </row>
    <row r="446" spans="1:16" x14ac:dyDescent="0.25">
      <c r="A446" s="6">
        <v>7</v>
      </c>
      <c r="B446" s="2">
        <v>29</v>
      </c>
      <c r="C446" s="2" t="s">
        <v>99</v>
      </c>
      <c r="D446" s="2">
        <v>9200</v>
      </c>
      <c r="E446" s="2">
        <v>12750</v>
      </c>
      <c r="F446" s="2"/>
      <c r="G446" s="2"/>
      <c r="H446" s="2"/>
      <c r="I446" s="2" t="s">
        <v>13</v>
      </c>
      <c r="J446" s="2">
        <v>1045</v>
      </c>
      <c r="K446" s="2"/>
      <c r="L446" s="2">
        <v>1056</v>
      </c>
      <c r="M446" s="2">
        <v>0.40799999999999997</v>
      </c>
      <c r="N446" s="2">
        <v>6.1840000000000002</v>
      </c>
      <c r="O446" s="2">
        <v>6.0590000000000002</v>
      </c>
      <c r="P446" s="7"/>
    </row>
    <row r="447" spans="1:16" x14ac:dyDescent="0.25">
      <c r="A447" s="8">
        <v>7</v>
      </c>
      <c r="B447" s="1">
        <v>29</v>
      </c>
      <c r="C447" s="1" t="s">
        <v>114</v>
      </c>
      <c r="D447" s="1">
        <v>9100</v>
      </c>
      <c r="E447" s="1">
        <v>12750</v>
      </c>
      <c r="F447" s="1"/>
      <c r="G447" s="1"/>
      <c r="H447" s="1"/>
      <c r="I447" s="1" t="s">
        <v>10</v>
      </c>
      <c r="J447" s="1">
        <v>885</v>
      </c>
      <c r="K447" s="1"/>
      <c r="L447" s="1">
        <v>1056</v>
      </c>
      <c r="M447" s="1">
        <v>0.40799999999999997</v>
      </c>
      <c r="N447" s="1">
        <v>6.1840000000000002</v>
      </c>
      <c r="O447" s="1">
        <v>6.0590000000000002</v>
      </c>
      <c r="P447" s="9"/>
    </row>
    <row r="448" spans="1:16" x14ac:dyDescent="0.25">
      <c r="A448" s="8">
        <v>7</v>
      </c>
      <c r="B448" s="1">
        <v>29</v>
      </c>
      <c r="C448" s="1" t="s">
        <v>114</v>
      </c>
      <c r="D448" s="1">
        <v>9100</v>
      </c>
      <c r="E448" s="1">
        <v>12750</v>
      </c>
      <c r="F448" s="1"/>
      <c r="G448" s="1"/>
      <c r="H448" s="1"/>
      <c r="I448" s="1" t="s">
        <v>13</v>
      </c>
      <c r="J448" s="1">
        <v>1045</v>
      </c>
      <c r="K448" s="1"/>
      <c r="L448" s="1">
        <v>1056</v>
      </c>
      <c r="M448" s="1">
        <v>0.40799999999999997</v>
      </c>
      <c r="N448" s="1">
        <v>6.1840000000000002</v>
      </c>
      <c r="O448" s="1">
        <v>6.0590000000000002</v>
      </c>
      <c r="P448" s="9"/>
    </row>
    <row r="449" spans="1:16" x14ac:dyDescent="0.25">
      <c r="A449" s="6">
        <v>7</v>
      </c>
      <c r="B449" s="2">
        <v>29</v>
      </c>
      <c r="C449" s="2" t="s">
        <v>117</v>
      </c>
      <c r="D449" s="2">
        <v>9790</v>
      </c>
      <c r="E449" s="2">
        <v>15300</v>
      </c>
      <c r="F449" s="2"/>
      <c r="G449" s="2"/>
      <c r="H449" s="2"/>
      <c r="I449" s="2" t="s">
        <v>10</v>
      </c>
      <c r="J449" s="2">
        <v>1049</v>
      </c>
      <c r="K449" s="2"/>
      <c r="L449" s="2">
        <v>1267</v>
      </c>
      <c r="M449" s="2">
        <v>0.40799999999999997</v>
      </c>
      <c r="N449" s="2">
        <v>6.1840000000000002</v>
      </c>
      <c r="O449" s="2">
        <v>6.0590000000000002</v>
      </c>
      <c r="P449" s="7"/>
    </row>
    <row r="450" spans="1:16" x14ac:dyDescent="0.25">
      <c r="A450" s="6">
        <v>7</v>
      </c>
      <c r="B450" s="2">
        <v>29</v>
      </c>
      <c r="C450" s="2" t="s">
        <v>117</v>
      </c>
      <c r="D450" s="2">
        <v>9790</v>
      </c>
      <c r="E450" s="2">
        <v>15300</v>
      </c>
      <c r="F450" s="2"/>
      <c r="G450" s="2"/>
      <c r="H450" s="2"/>
      <c r="I450" s="2" t="s">
        <v>13</v>
      </c>
      <c r="J450" s="2">
        <v>1243</v>
      </c>
      <c r="K450" s="2"/>
      <c r="L450" s="2">
        <v>1267</v>
      </c>
      <c r="M450" s="2">
        <v>0.40799999999999997</v>
      </c>
      <c r="N450" s="2">
        <v>6.1840000000000002</v>
      </c>
      <c r="O450" s="2">
        <v>6.0590000000000002</v>
      </c>
      <c r="P450" s="7"/>
    </row>
    <row r="451" spans="1:16" x14ac:dyDescent="0.25">
      <c r="A451" s="8">
        <v>7</v>
      </c>
      <c r="B451" s="1">
        <v>32</v>
      </c>
      <c r="C451" s="1" t="s">
        <v>111</v>
      </c>
      <c r="D451" s="1">
        <v>8610</v>
      </c>
      <c r="E451" s="1">
        <v>9060</v>
      </c>
      <c r="F451" s="1"/>
      <c r="G451" s="1"/>
      <c r="H451" s="1"/>
      <c r="I451" s="1" t="s">
        <v>10</v>
      </c>
      <c r="J451" s="1">
        <v>661</v>
      </c>
      <c r="K451" s="1"/>
      <c r="L451" s="1">
        <v>745</v>
      </c>
      <c r="M451" s="1">
        <v>0.45300000000000001</v>
      </c>
      <c r="N451" s="1">
        <v>6.0940000000000003</v>
      </c>
      <c r="O451" s="1">
        <v>5.9690000000000003</v>
      </c>
      <c r="P451" s="9">
        <v>6</v>
      </c>
    </row>
    <row r="452" spans="1:16" x14ac:dyDescent="0.25">
      <c r="A452" s="8">
        <v>7</v>
      </c>
      <c r="B452" s="1">
        <v>32</v>
      </c>
      <c r="C452" s="1" t="s">
        <v>111</v>
      </c>
      <c r="D452" s="1">
        <v>8610</v>
      </c>
      <c r="E452" s="1">
        <v>8460</v>
      </c>
      <c r="F452" s="1"/>
      <c r="G452" s="1"/>
      <c r="H452" s="1"/>
      <c r="I452" s="1" t="s">
        <v>13</v>
      </c>
      <c r="J452" s="1">
        <v>791</v>
      </c>
      <c r="K452" s="1"/>
      <c r="L452" s="1">
        <v>745</v>
      </c>
      <c r="M452" s="1">
        <v>0.45300000000000001</v>
      </c>
      <c r="N452" s="1">
        <v>6.0940000000000003</v>
      </c>
      <c r="O452" s="1">
        <v>5.9690000000000003</v>
      </c>
      <c r="P452" s="9">
        <v>6</v>
      </c>
    </row>
    <row r="453" spans="1:16" x14ac:dyDescent="0.25">
      <c r="A453" s="6">
        <v>7</v>
      </c>
      <c r="B453" s="2">
        <v>32</v>
      </c>
      <c r="C453" s="2" t="s">
        <v>88</v>
      </c>
      <c r="D453" s="2">
        <v>10400</v>
      </c>
      <c r="E453" s="2">
        <v>9060</v>
      </c>
      <c r="F453" s="2"/>
      <c r="G453" s="2"/>
      <c r="H453" s="2"/>
      <c r="I453" s="2" t="s">
        <v>10</v>
      </c>
      <c r="J453" s="2">
        <v>738</v>
      </c>
      <c r="K453" s="2"/>
      <c r="L453" s="2">
        <v>745</v>
      </c>
      <c r="M453" s="2">
        <v>0.45300000000000001</v>
      </c>
      <c r="N453" s="2">
        <v>6.0940000000000003</v>
      </c>
      <c r="O453" s="2">
        <v>5.9690000000000003</v>
      </c>
      <c r="P453" s="7">
        <v>6</v>
      </c>
    </row>
    <row r="454" spans="1:16" x14ac:dyDescent="0.25">
      <c r="A454" s="6">
        <v>7</v>
      </c>
      <c r="B454" s="2">
        <v>32</v>
      </c>
      <c r="C454" s="2" t="s">
        <v>88</v>
      </c>
      <c r="D454" s="2">
        <v>10400</v>
      </c>
      <c r="E454" s="2">
        <v>8460</v>
      </c>
      <c r="F454" s="2"/>
      <c r="G454" s="2"/>
      <c r="H454" s="2"/>
      <c r="I454" s="2" t="s">
        <v>13</v>
      </c>
      <c r="J454" s="2">
        <v>832</v>
      </c>
      <c r="K454" s="2"/>
      <c r="L454" s="2">
        <v>745</v>
      </c>
      <c r="M454" s="2">
        <v>0.45300000000000001</v>
      </c>
      <c r="N454" s="2">
        <v>6.0940000000000003</v>
      </c>
      <c r="O454" s="2">
        <v>5.9690000000000003</v>
      </c>
      <c r="P454" s="7">
        <v>6</v>
      </c>
    </row>
    <row r="455" spans="1:16" x14ac:dyDescent="0.25">
      <c r="A455" s="8">
        <v>7</v>
      </c>
      <c r="B455" s="1">
        <v>32</v>
      </c>
      <c r="C455" s="1" t="s">
        <v>112</v>
      </c>
      <c r="D455" s="1">
        <v>8610</v>
      </c>
      <c r="E455" s="1">
        <v>9060</v>
      </c>
      <c r="F455" s="1"/>
      <c r="G455" s="1"/>
      <c r="H455" s="1"/>
      <c r="I455" s="1" t="s">
        <v>10</v>
      </c>
      <c r="J455" s="1">
        <v>672</v>
      </c>
      <c r="K455" s="1"/>
      <c r="L455" s="1">
        <v>745</v>
      </c>
      <c r="M455" s="1">
        <v>0.45300000000000001</v>
      </c>
      <c r="N455" s="1">
        <v>6.0940000000000003</v>
      </c>
      <c r="O455" s="1">
        <v>5.9690000000000003</v>
      </c>
      <c r="P455" s="9">
        <v>6</v>
      </c>
    </row>
    <row r="456" spans="1:16" x14ac:dyDescent="0.25">
      <c r="A456" s="8">
        <v>7</v>
      </c>
      <c r="B456" s="1">
        <v>32</v>
      </c>
      <c r="C456" s="1" t="s">
        <v>112</v>
      </c>
      <c r="D456" s="1">
        <v>8610</v>
      </c>
      <c r="E456" s="1">
        <v>8460</v>
      </c>
      <c r="F456" s="1"/>
      <c r="G456" s="1"/>
      <c r="H456" s="1"/>
      <c r="I456" s="1" t="s">
        <v>13</v>
      </c>
      <c r="J456" s="1">
        <v>823</v>
      </c>
      <c r="K456" s="1"/>
      <c r="L456" s="1">
        <v>745</v>
      </c>
      <c r="M456" s="1">
        <v>0.45300000000000001</v>
      </c>
      <c r="N456" s="1">
        <v>6.0940000000000003</v>
      </c>
      <c r="O456" s="1">
        <v>5.9690000000000003</v>
      </c>
      <c r="P456" s="9">
        <v>6</v>
      </c>
    </row>
    <row r="457" spans="1:16" x14ac:dyDescent="0.25">
      <c r="A457" s="6">
        <v>7</v>
      </c>
      <c r="B457" s="2">
        <v>32</v>
      </c>
      <c r="C457" s="2" t="s">
        <v>93</v>
      </c>
      <c r="D457" s="2">
        <v>10400</v>
      </c>
      <c r="E457" s="2">
        <v>9060</v>
      </c>
      <c r="F457" s="2"/>
      <c r="G457" s="2"/>
      <c r="H457" s="2"/>
      <c r="I457" s="2" t="s">
        <v>10</v>
      </c>
      <c r="J457" s="2">
        <v>738</v>
      </c>
      <c r="K457" s="2"/>
      <c r="L457" s="2">
        <v>745</v>
      </c>
      <c r="M457" s="2">
        <v>0.45300000000000001</v>
      </c>
      <c r="N457" s="2">
        <v>6.0940000000000003</v>
      </c>
      <c r="O457" s="2">
        <v>5.9690000000000003</v>
      </c>
      <c r="P457" s="7">
        <v>6</v>
      </c>
    </row>
    <row r="458" spans="1:16" x14ac:dyDescent="0.25">
      <c r="A458" s="6">
        <v>7</v>
      </c>
      <c r="B458" s="2">
        <v>32</v>
      </c>
      <c r="C458" s="2" t="s">
        <v>93</v>
      </c>
      <c r="D458" s="2">
        <v>10400</v>
      </c>
      <c r="E458" s="2">
        <v>8460</v>
      </c>
      <c r="F458" s="2"/>
      <c r="G458" s="2"/>
      <c r="H458" s="2"/>
      <c r="I458" s="2" t="s">
        <v>13</v>
      </c>
      <c r="J458" s="2">
        <v>860</v>
      </c>
      <c r="K458" s="2"/>
      <c r="L458" s="2">
        <v>745</v>
      </c>
      <c r="M458" s="2">
        <v>0.45300000000000001</v>
      </c>
      <c r="N458" s="2">
        <v>6.0940000000000003</v>
      </c>
      <c r="O458" s="2">
        <v>5.9690000000000003</v>
      </c>
      <c r="P458" s="7">
        <v>6</v>
      </c>
    </row>
    <row r="459" spans="1:16" x14ac:dyDescent="0.25">
      <c r="A459" s="8">
        <v>7</v>
      </c>
      <c r="B459" s="1">
        <v>32</v>
      </c>
      <c r="C459" s="1" t="s">
        <v>68</v>
      </c>
      <c r="D459" s="1">
        <v>9380</v>
      </c>
      <c r="E459" s="1">
        <v>10190</v>
      </c>
      <c r="F459" s="1"/>
      <c r="G459" s="1"/>
      <c r="H459" s="1"/>
      <c r="I459" s="1" t="s">
        <v>10</v>
      </c>
      <c r="J459" s="1">
        <v>729</v>
      </c>
      <c r="K459" s="1"/>
      <c r="L459" s="1">
        <v>839</v>
      </c>
      <c r="M459" s="1">
        <v>0.45300000000000001</v>
      </c>
      <c r="N459" s="1">
        <v>6.0940000000000003</v>
      </c>
      <c r="O459" s="1">
        <v>5.9690000000000003</v>
      </c>
      <c r="P459" s="9">
        <v>6</v>
      </c>
    </row>
    <row r="460" spans="1:16" x14ac:dyDescent="0.25">
      <c r="A460" s="8">
        <v>7</v>
      </c>
      <c r="B460" s="1">
        <v>32</v>
      </c>
      <c r="C460" s="1" t="s">
        <v>68</v>
      </c>
      <c r="D460" s="1">
        <v>9380</v>
      </c>
      <c r="E460" s="1">
        <v>9520</v>
      </c>
      <c r="F460" s="1"/>
      <c r="G460" s="1"/>
      <c r="H460" s="1"/>
      <c r="I460" s="1" t="s">
        <v>13</v>
      </c>
      <c r="J460" s="1">
        <v>847</v>
      </c>
      <c r="K460" s="1"/>
      <c r="L460" s="1">
        <v>839</v>
      </c>
      <c r="M460" s="1">
        <v>0.45300000000000001</v>
      </c>
      <c r="N460" s="1">
        <v>6.0940000000000003</v>
      </c>
      <c r="O460" s="1">
        <v>5.9690000000000003</v>
      </c>
      <c r="P460" s="9">
        <v>6</v>
      </c>
    </row>
    <row r="461" spans="1:16" x14ac:dyDescent="0.25">
      <c r="A461" s="6">
        <v>7</v>
      </c>
      <c r="B461" s="2">
        <v>32</v>
      </c>
      <c r="C461" s="2" t="s">
        <v>75</v>
      </c>
      <c r="D461" s="2">
        <v>10400</v>
      </c>
      <c r="E461" s="2">
        <v>10190</v>
      </c>
      <c r="F461" s="2"/>
      <c r="G461" s="2"/>
      <c r="H461" s="2"/>
      <c r="I461" s="2" t="s">
        <v>10</v>
      </c>
      <c r="J461" s="2">
        <v>738</v>
      </c>
      <c r="K461" s="2"/>
      <c r="L461" s="2">
        <v>839</v>
      </c>
      <c r="M461" s="2">
        <v>0.45300000000000001</v>
      </c>
      <c r="N461" s="2">
        <v>6.0940000000000003</v>
      </c>
      <c r="O461" s="2">
        <v>5.9690000000000003</v>
      </c>
      <c r="P461" s="7">
        <v>6</v>
      </c>
    </row>
    <row r="462" spans="1:16" x14ac:dyDescent="0.25">
      <c r="A462" s="6">
        <v>7</v>
      </c>
      <c r="B462" s="2">
        <v>32</v>
      </c>
      <c r="C462" s="2" t="s">
        <v>75</v>
      </c>
      <c r="D462" s="2">
        <v>10400</v>
      </c>
      <c r="E462" s="2">
        <v>9520</v>
      </c>
      <c r="F462" s="2"/>
      <c r="G462" s="2"/>
      <c r="H462" s="2"/>
      <c r="I462" s="2" t="s">
        <v>13</v>
      </c>
      <c r="J462" s="2">
        <v>860</v>
      </c>
      <c r="K462" s="2"/>
      <c r="L462" s="2">
        <v>839</v>
      </c>
      <c r="M462" s="2">
        <v>0.45300000000000001</v>
      </c>
      <c r="N462" s="2">
        <v>6.0940000000000003</v>
      </c>
      <c r="O462" s="2">
        <v>5.9690000000000003</v>
      </c>
      <c r="P462" s="7">
        <v>6</v>
      </c>
    </row>
    <row r="463" spans="1:16" x14ac:dyDescent="0.25">
      <c r="A463" s="8">
        <v>7</v>
      </c>
      <c r="B463" s="1">
        <v>32</v>
      </c>
      <c r="C463" s="1" t="s">
        <v>115</v>
      </c>
      <c r="D463" s="1">
        <v>10400</v>
      </c>
      <c r="E463" s="1">
        <v>10760</v>
      </c>
      <c r="F463" s="1"/>
      <c r="G463" s="1"/>
      <c r="H463" s="1"/>
      <c r="I463" s="1" t="s">
        <v>10</v>
      </c>
      <c r="J463" s="1">
        <v>779</v>
      </c>
      <c r="K463" s="1"/>
      <c r="L463" s="1">
        <v>885</v>
      </c>
      <c r="M463" s="1">
        <v>0.45300000000000001</v>
      </c>
      <c r="N463" s="1">
        <v>6.0940000000000003</v>
      </c>
      <c r="O463" s="1">
        <v>5.9690000000000003</v>
      </c>
      <c r="P463" s="9">
        <v>6</v>
      </c>
    </row>
    <row r="464" spans="1:16" x14ac:dyDescent="0.25">
      <c r="A464" s="8">
        <v>7</v>
      </c>
      <c r="B464" s="1">
        <v>32</v>
      </c>
      <c r="C464" s="1" t="s">
        <v>115</v>
      </c>
      <c r="D464" s="1">
        <v>10400</v>
      </c>
      <c r="E464" s="1">
        <v>10050</v>
      </c>
      <c r="F464" s="1"/>
      <c r="G464" s="1"/>
      <c r="H464" s="1"/>
      <c r="I464" s="1" t="s">
        <v>13</v>
      </c>
      <c r="J464" s="1">
        <v>922</v>
      </c>
      <c r="K464" s="1"/>
      <c r="L464" s="1">
        <v>885</v>
      </c>
      <c r="M464" s="1">
        <v>0.45300000000000001</v>
      </c>
      <c r="N464" s="1">
        <v>6.0940000000000003</v>
      </c>
      <c r="O464" s="1">
        <v>5.9690000000000003</v>
      </c>
      <c r="P464" s="9">
        <v>6</v>
      </c>
    </row>
    <row r="465" spans="1:16" x14ac:dyDescent="0.25">
      <c r="A465" s="6">
        <v>7</v>
      </c>
      <c r="B465" s="2">
        <v>32</v>
      </c>
      <c r="C465" s="2" t="s">
        <v>116</v>
      </c>
      <c r="D465" s="2">
        <v>9750</v>
      </c>
      <c r="E465" s="2">
        <v>10760</v>
      </c>
      <c r="F465" s="2"/>
      <c r="G465" s="2"/>
      <c r="H465" s="2"/>
      <c r="I465" s="2" t="s">
        <v>10</v>
      </c>
      <c r="J465" s="2">
        <v>768</v>
      </c>
      <c r="K465" s="2"/>
      <c r="L465" s="2">
        <v>885</v>
      </c>
      <c r="M465" s="2">
        <v>0.45300000000000001</v>
      </c>
      <c r="N465" s="2">
        <v>6.0940000000000003</v>
      </c>
      <c r="O465" s="2">
        <v>5.9690000000000003</v>
      </c>
      <c r="P465" s="7">
        <v>6</v>
      </c>
    </row>
    <row r="466" spans="1:16" x14ac:dyDescent="0.25">
      <c r="A466" s="6">
        <v>7</v>
      </c>
      <c r="B466" s="2">
        <v>32</v>
      </c>
      <c r="C466" s="2" t="s">
        <v>116</v>
      </c>
      <c r="D466" s="2">
        <v>9750</v>
      </c>
      <c r="E466" s="2">
        <v>10050</v>
      </c>
      <c r="F466" s="2"/>
      <c r="G466" s="2"/>
      <c r="H466" s="2"/>
      <c r="I466" s="2" t="s">
        <v>13</v>
      </c>
      <c r="J466" s="2">
        <v>891</v>
      </c>
      <c r="K466" s="2"/>
      <c r="L466" s="2">
        <v>885</v>
      </c>
      <c r="M466" s="2">
        <v>0.45300000000000001</v>
      </c>
      <c r="N466" s="2">
        <v>6.0940000000000003</v>
      </c>
      <c r="O466" s="2">
        <v>5.9690000000000003</v>
      </c>
      <c r="P466" s="7">
        <v>6</v>
      </c>
    </row>
    <row r="467" spans="1:16" x14ac:dyDescent="0.25">
      <c r="A467" s="8">
        <v>7</v>
      </c>
      <c r="B467" s="1">
        <v>32</v>
      </c>
      <c r="C467" s="1" t="s">
        <v>80</v>
      </c>
      <c r="D467" s="1">
        <v>10400</v>
      </c>
      <c r="E467" s="1">
        <v>10760</v>
      </c>
      <c r="F467" s="1"/>
      <c r="G467" s="1"/>
      <c r="H467" s="1"/>
      <c r="I467" s="1" t="s">
        <v>10</v>
      </c>
      <c r="J467" s="1">
        <v>768</v>
      </c>
      <c r="K467" s="1"/>
      <c r="L467" s="1">
        <v>885</v>
      </c>
      <c r="M467" s="1">
        <v>0.45300000000000001</v>
      </c>
      <c r="N467" s="1">
        <v>6.0940000000000003</v>
      </c>
      <c r="O467" s="1">
        <v>5.9690000000000003</v>
      </c>
      <c r="P467" s="9">
        <v>6</v>
      </c>
    </row>
    <row r="468" spans="1:16" x14ac:dyDescent="0.25">
      <c r="A468" s="8">
        <v>7</v>
      </c>
      <c r="B468" s="1">
        <v>32</v>
      </c>
      <c r="C468" s="1" t="s">
        <v>80</v>
      </c>
      <c r="D468" s="1">
        <v>10400</v>
      </c>
      <c r="E468" s="1">
        <v>10050</v>
      </c>
      <c r="F468" s="1"/>
      <c r="G468" s="1"/>
      <c r="H468" s="1"/>
      <c r="I468" s="1" t="s">
        <v>13</v>
      </c>
      <c r="J468" s="1">
        <v>891</v>
      </c>
      <c r="K468" s="1"/>
      <c r="L468" s="1">
        <v>885</v>
      </c>
      <c r="M468" s="1">
        <v>0.45300000000000001</v>
      </c>
      <c r="N468" s="1">
        <v>6.0940000000000003</v>
      </c>
      <c r="O468" s="1">
        <v>5.9690000000000003</v>
      </c>
      <c r="P468" s="9">
        <v>6</v>
      </c>
    </row>
    <row r="469" spans="1:16" x14ac:dyDescent="0.25">
      <c r="A469" s="6">
        <v>7</v>
      </c>
      <c r="B469" s="2">
        <v>32</v>
      </c>
      <c r="C469" s="2" t="s">
        <v>74</v>
      </c>
      <c r="D469" s="2">
        <v>9750</v>
      </c>
      <c r="E469" s="2">
        <v>10760</v>
      </c>
      <c r="F469" s="2"/>
      <c r="G469" s="2"/>
      <c r="H469" s="2"/>
      <c r="I469" s="2" t="s">
        <v>10</v>
      </c>
      <c r="J469" s="2">
        <v>768</v>
      </c>
      <c r="K469" s="2"/>
      <c r="L469" s="2">
        <v>885</v>
      </c>
      <c r="M469" s="2">
        <v>0.45300000000000001</v>
      </c>
      <c r="N469" s="2">
        <v>6.0940000000000003</v>
      </c>
      <c r="O469" s="2">
        <v>5.9690000000000003</v>
      </c>
      <c r="P469" s="7">
        <v>6</v>
      </c>
    </row>
    <row r="470" spans="1:16" x14ac:dyDescent="0.25">
      <c r="A470" s="6">
        <v>7</v>
      </c>
      <c r="B470" s="2">
        <v>32</v>
      </c>
      <c r="C470" s="2" t="s">
        <v>74</v>
      </c>
      <c r="D470" s="2">
        <v>9750</v>
      </c>
      <c r="E470" s="2">
        <v>10050</v>
      </c>
      <c r="F470" s="2"/>
      <c r="G470" s="2"/>
      <c r="H470" s="2"/>
      <c r="I470" s="2" t="s">
        <v>13</v>
      </c>
      <c r="J470" s="2">
        <v>891</v>
      </c>
      <c r="K470" s="2"/>
      <c r="L470" s="2">
        <v>885</v>
      </c>
      <c r="M470" s="2">
        <v>0.45300000000000001</v>
      </c>
      <c r="N470" s="2">
        <v>6.0940000000000003</v>
      </c>
      <c r="O470" s="2">
        <v>5.9690000000000003</v>
      </c>
      <c r="P470" s="7">
        <v>6</v>
      </c>
    </row>
    <row r="471" spans="1:16" x14ac:dyDescent="0.25">
      <c r="A471" s="8">
        <v>7</v>
      </c>
      <c r="B471" s="1">
        <v>32</v>
      </c>
      <c r="C471" s="1" t="s">
        <v>113</v>
      </c>
      <c r="D471" s="1">
        <v>10780</v>
      </c>
      <c r="E471" s="1">
        <v>12460</v>
      </c>
      <c r="F471" s="1"/>
      <c r="G471" s="1"/>
      <c r="H471" s="1"/>
      <c r="I471" s="1" t="s">
        <v>10</v>
      </c>
      <c r="J471" s="1">
        <v>897</v>
      </c>
      <c r="K471" s="1"/>
      <c r="L471" s="1">
        <v>1025</v>
      </c>
      <c r="M471" s="1">
        <v>0.45300000000000001</v>
      </c>
      <c r="N471" s="1">
        <v>6.0940000000000003</v>
      </c>
      <c r="O471" s="1">
        <v>5.9690000000000003</v>
      </c>
      <c r="P471" s="9">
        <v>6</v>
      </c>
    </row>
    <row r="472" spans="1:16" x14ac:dyDescent="0.25">
      <c r="A472" s="8">
        <v>7</v>
      </c>
      <c r="B472" s="1">
        <v>32</v>
      </c>
      <c r="C472" s="1" t="s">
        <v>113</v>
      </c>
      <c r="D472" s="1">
        <v>10780</v>
      </c>
      <c r="E472" s="1">
        <v>11640</v>
      </c>
      <c r="F472" s="1"/>
      <c r="G472" s="1"/>
      <c r="H472" s="1"/>
      <c r="I472" s="1" t="s">
        <v>13</v>
      </c>
      <c r="J472" s="1">
        <v>1053</v>
      </c>
      <c r="K472" s="1"/>
      <c r="L472" s="1">
        <v>1025</v>
      </c>
      <c r="M472" s="1">
        <v>0.45300000000000001</v>
      </c>
      <c r="N472" s="1">
        <v>6.0940000000000003</v>
      </c>
      <c r="O472" s="1">
        <v>5.9690000000000003</v>
      </c>
      <c r="P472" s="9">
        <v>6</v>
      </c>
    </row>
    <row r="473" spans="1:16" x14ac:dyDescent="0.25">
      <c r="A473" s="6">
        <v>7</v>
      </c>
      <c r="B473" s="2">
        <v>32</v>
      </c>
      <c r="C473" s="2" t="s">
        <v>114</v>
      </c>
      <c r="D473" s="2">
        <v>11720</v>
      </c>
      <c r="E473" s="2">
        <v>14160</v>
      </c>
      <c r="F473" s="2"/>
      <c r="G473" s="2"/>
      <c r="H473" s="2"/>
      <c r="I473" s="2" t="s">
        <v>10</v>
      </c>
      <c r="J473" s="2">
        <v>996</v>
      </c>
      <c r="K473" s="2"/>
      <c r="L473" s="2">
        <v>1165</v>
      </c>
      <c r="M473" s="2">
        <v>0.45300000000000001</v>
      </c>
      <c r="N473" s="2">
        <v>6.0940000000000003</v>
      </c>
      <c r="O473" s="2">
        <v>5.9690000000000003</v>
      </c>
      <c r="P473" s="7">
        <v>6</v>
      </c>
    </row>
    <row r="474" spans="1:16" x14ac:dyDescent="0.25">
      <c r="A474" s="6">
        <v>7</v>
      </c>
      <c r="B474" s="2">
        <v>32</v>
      </c>
      <c r="C474" s="2" t="s">
        <v>114</v>
      </c>
      <c r="D474" s="2">
        <v>11720</v>
      </c>
      <c r="E474" s="2">
        <v>13220</v>
      </c>
      <c r="F474" s="2"/>
      <c r="G474" s="2"/>
      <c r="H474" s="2"/>
      <c r="I474" s="2" t="s">
        <v>13</v>
      </c>
      <c r="J474" s="2">
        <v>1152</v>
      </c>
      <c r="K474" s="2"/>
      <c r="L474" s="2">
        <v>1165</v>
      </c>
      <c r="M474" s="2">
        <v>0.45300000000000001</v>
      </c>
      <c r="N474" s="2">
        <v>6.0940000000000003</v>
      </c>
      <c r="O474" s="2">
        <v>5.9690000000000003</v>
      </c>
      <c r="P474" s="7">
        <v>6</v>
      </c>
    </row>
    <row r="475" spans="1:16" x14ac:dyDescent="0.25">
      <c r="A475" s="8">
        <v>7</v>
      </c>
      <c r="B475" s="1">
        <v>32</v>
      </c>
      <c r="C475" s="1" t="s">
        <v>117</v>
      </c>
      <c r="D475" s="1">
        <v>13020</v>
      </c>
      <c r="E475" s="1">
        <v>16990</v>
      </c>
      <c r="F475" s="1"/>
      <c r="G475" s="1"/>
      <c r="H475" s="1"/>
      <c r="I475" s="1" t="s">
        <v>10</v>
      </c>
      <c r="J475" s="1">
        <v>1180</v>
      </c>
      <c r="K475" s="1"/>
      <c r="L475" s="1">
        <v>1398</v>
      </c>
      <c r="M475" s="1">
        <v>0.45300000000000001</v>
      </c>
      <c r="N475" s="1">
        <v>6.0940000000000003</v>
      </c>
      <c r="O475" s="1">
        <v>5.9690000000000003</v>
      </c>
      <c r="P475" s="9">
        <v>6</v>
      </c>
    </row>
    <row r="476" spans="1:16" x14ac:dyDescent="0.25">
      <c r="A476" s="8">
        <v>7</v>
      </c>
      <c r="B476" s="1">
        <v>32</v>
      </c>
      <c r="C476" s="1" t="s">
        <v>117</v>
      </c>
      <c r="D476" s="1">
        <v>13020</v>
      </c>
      <c r="E476" s="1">
        <v>15870</v>
      </c>
      <c r="F476" s="1"/>
      <c r="G476" s="1"/>
      <c r="H476" s="1"/>
      <c r="I476" s="1" t="s">
        <v>13</v>
      </c>
      <c r="J476" s="1">
        <v>1370</v>
      </c>
      <c r="K476" s="1"/>
      <c r="L476" s="1">
        <v>1398</v>
      </c>
      <c r="M476" s="1">
        <v>0.45300000000000001</v>
      </c>
      <c r="N476" s="1">
        <v>6.0940000000000003</v>
      </c>
      <c r="O476" s="1">
        <v>5.9690000000000003</v>
      </c>
      <c r="P476" s="9">
        <v>6</v>
      </c>
    </row>
    <row r="477" spans="1:16" x14ac:dyDescent="0.25">
      <c r="A477" s="6">
        <v>7</v>
      </c>
      <c r="B477" s="2">
        <v>35</v>
      </c>
      <c r="C477" s="2" t="s">
        <v>111</v>
      </c>
      <c r="D477" s="2">
        <v>10180</v>
      </c>
      <c r="E477" s="2">
        <v>9240</v>
      </c>
      <c r="F477" s="2"/>
      <c r="G477" s="2"/>
      <c r="H477" s="2"/>
      <c r="I477" s="2" t="s">
        <v>10</v>
      </c>
      <c r="J477" s="2">
        <v>734</v>
      </c>
      <c r="K477" s="2"/>
      <c r="L477" s="2">
        <v>814</v>
      </c>
      <c r="M477" s="2">
        <v>0.498</v>
      </c>
      <c r="N477" s="2">
        <v>6.0039999999999996</v>
      </c>
      <c r="O477" s="2">
        <v>5.8789999999999996</v>
      </c>
      <c r="P477" s="7"/>
    </row>
    <row r="478" spans="1:16" x14ac:dyDescent="0.25">
      <c r="A478" s="6">
        <v>7</v>
      </c>
      <c r="B478" s="2">
        <v>35</v>
      </c>
      <c r="C478" s="2" t="s">
        <v>111</v>
      </c>
      <c r="D478" s="2">
        <v>10180</v>
      </c>
      <c r="E478" s="2">
        <v>8460</v>
      </c>
      <c r="F478" s="2"/>
      <c r="G478" s="2"/>
      <c r="H478" s="2"/>
      <c r="I478" s="2" t="s">
        <v>13</v>
      </c>
      <c r="J478" s="2">
        <v>833</v>
      </c>
      <c r="K478" s="2"/>
      <c r="L478" s="2">
        <v>814</v>
      </c>
      <c r="M478" s="2">
        <v>0.498</v>
      </c>
      <c r="N478" s="2">
        <v>6.0039999999999996</v>
      </c>
      <c r="O478" s="2">
        <v>5.8789999999999996</v>
      </c>
      <c r="P478" s="7"/>
    </row>
    <row r="479" spans="1:16" x14ac:dyDescent="0.25">
      <c r="A479" s="8">
        <v>7</v>
      </c>
      <c r="B479" s="1">
        <v>35</v>
      </c>
      <c r="C479" s="1" t="s">
        <v>88</v>
      </c>
      <c r="D479" s="1">
        <v>11600</v>
      </c>
      <c r="E479" s="1">
        <v>9240</v>
      </c>
      <c r="F479" s="1"/>
      <c r="G479" s="1"/>
      <c r="H479" s="1"/>
      <c r="I479" s="1" t="s">
        <v>10</v>
      </c>
      <c r="J479" s="1">
        <v>819</v>
      </c>
      <c r="K479" s="1"/>
      <c r="L479" s="1">
        <v>814</v>
      </c>
      <c r="M479" s="1">
        <v>0.498</v>
      </c>
      <c r="N479" s="1">
        <v>6.0039999999999996</v>
      </c>
      <c r="O479" s="1">
        <v>5.8789999999999996</v>
      </c>
      <c r="P479" s="9"/>
    </row>
    <row r="480" spans="1:16" x14ac:dyDescent="0.25">
      <c r="A480" s="8">
        <v>7</v>
      </c>
      <c r="B480" s="1">
        <v>35</v>
      </c>
      <c r="C480" s="1" t="s">
        <v>88</v>
      </c>
      <c r="D480" s="1">
        <v>11600</v>
      </c>
      <c r="E480" s="1">
        <v>8460</v>
      </c>
      <c r="F480" s="1"/>
      <c r="G480" s="1"/>
      <c r="H480" s="1"/>
      <c r="I480" s="1" t="s">
        <v>13</v>
      </c>
      <c r="J480" s="1">
        <v>832</v>
      </c>
      <c r="K480" s="1"/>
      <c r="L480" s="1">
        <v>814</v>
      </c>
      <c r="M480" s="1">
        <v>0.498</v>
      </c>
      <c r="N480" s="1">
        <v>6.0039999999999996</v>
      </c>
      <c r="O480" s="1">
        <v>5.8789999999999996</v>
      </c>
      <c r="P480" s="9"/>
    </row>
    <row r="481" spans="1:16" x14ac:dyDescent="0.25">
      <c r="A481" s="6">
        <v>7</v>
      </c>
      <c r="B481" s="2">
        <v>35</v>
      </c>
      <c r="C481" s="2" t="s">
        <v>112</v>
      </c>
      <c r="D481" s="2">
        <v>10180</v>
      </c>
      <c r="E481" s="2">
        <v>9240</v>
      </c>
      <c r="F481" s="2"/>
      <c r="G481" s="2"/>
      <c r="H481" s="2"/>
      <c r="I481" s="2" t="s">
        <v>10</v>
      </c>
      <c r="J481" s="2">
        <v>746</v>
      </c>
      <c r="K481" s="2"/>
      <c r="L481" s="2">
        <v>814</v>
      </c>
      <c r="M481" s="2">
        <v>0.498</v>
      </c>
      <c r="N481" s="2">
        <v>6.0039999999999996</v>
      </c>
      <c r="O481" s="2">
        <v>5.8789999999999996</v>
      </c>
      <c r="P481" s="7"/>
    </row>
    <row r="482" spans="1:16" x14ac:dyDescent="0.25">
      <c r="A482" s="6">
        <v>7</v>
      </c>
      <c r="B482" s="2">
        <v>35</v>
      </c>
      <c r="C482" s="2" t="s">
        <v>112</v>
      </c>
      <c r="D482" s="2">
        <v>10180</v>
      </c>
      <c r="E482" s="2">
        <v>8460</v>
      </c>
      <c r="F482" s="2"/>
      <c r="G482" s="2"/>
      <c r="H482" s="2"/>
      <c r="I482" s="2" t="s">
        <v>13</v>
      </c>
      <c r="J482" s="2">
        <v>876</v>
      </c>
      <c r="K482" s="2"/>
      <c r="L482" s="2">
        <v>814</v>
      </c>
      <c r="M482" s="2">
        <v>0.498</v>
      </c>
      <c r="N482" s="2">
        <v>6.0039999999999996</v>
      </c>
      <c r="O482" s="2">
        <v>5.8789999999999996</v>
      </c>
      <c r="P482" s="7"/>
    </row>
    <row r="483" spans="1:16" x14ac:dyDescent="0.25">
      <c r="A483" s="8">
        <v>7</v>
      </c>
      <c r="B483" s="1">
        <v>35</v>
      </c>
      <c r="C483" s="1" t="s">
        <v>93</v>
      </c>
      <c r="D483" s="1">
        <v>11600</v>
      </c>
      <c r="E483" s="1">
        <v>9240</v>
      </c>
      <c r="F483" s="1"/>
      <c r="G483" s="1"/>
      <c r="H483" s="1"/>
      <c r="I483" s="1" t="s">
        <v>10</v>
      </c>
      <c r="J483" s="1">
        <v>819</v>
      </c>
      <c r="K483" s="1"/>
      <c r="L483" s="1">
        <v>814</v>
      </c>
      <c r="M483" s="1">
        <v>0.498</v>
      </c>
      <c r="N483" s="1">
        <v>6.0039999999999996</v>
      </c>
      <c r="O483" s="1">
        <v>5.8789999999999996</v>
      </c>
      <c r="P483" s="9"/>
    </row>
    <row r="484" spans="1:16" x14ac:dyDescent="0.25">
      <c r="A484" s="8">
        <v>7</v>
      </c>
      <c r="B484" s="1">
        <v>35</v>
      </c>
      <c r="C484" s="1" t="s">
        <v>93</v>
      </c>
      <c r="D484" s="1">
        <v>11600</v>
      </c>
      <c r="E484" s="1">
        <v>8460</v>
      </c>
      <c r="F484" s="1"/>
      <c r="G484" s="1"/>
      <c r="H484" s="1"/>
      <c r="I484" s="1" t="s">
        <v>13</v>
      </c>
      <c r="J484" s="1">
        <v>876</v>
      </c>
      <c r="K484" s="1"/>
      <c r="L484" s="1">
        <v>814</v>
      </c>
      <c r="M484" s="1">
        <v>0.498</v>
      </c>
      <c r="N484" s="1">
        <v>6.0039999999999996</v>
      </c>
      <c r="O484" s="1">
        <v>5.8789999999999996</v>
      </c>
      <c r="P484" s="9"/>
    </row>
    <row r="485" spans="1:16" x14ac:dyDescent="0.25">
      <c r="A485" s="6">
        <v>7</v>
      </c>
      <c r="B485" s="2">
        <v>35</v>
      </c>
      <c r="C485" s="2" t="s">
        <v>68</v>
      </c>
      <c r="D485" s="2">
        <v>11170</v>
      </c>
      <c r="E485" s="2">
        <v>10390</v>
      </c>
      <c r="F485" s="2"/>
      <c r="G485" s="2"/>
      <c r="H485" s="2"/>
      <c r="I485" s="2" t="s">
        <v>10</v>
      </c>
      <c r="J485" s="2">
        <v>809</v>
      </c>
      <c r="K485" s="2"/>
      <c r="L485" s="2">
        <v>915</v>
      </c>
      <c r="M485" s="2">
        <v>0.498</v>
      </c>
      <c r="N485" s="2">
        <v>6.0039999999999996</v>
      </c>
      <c r="O485" s="2">
        <v>5.8789999999999996</v>
      </c>
      <c r="P485" s="7"/>
    </row>
    <row r="486" spans="1:16" x14ac:dyDescent="0.25">
      <c r="A486" s="6">
        <v>7</v>
      </c>
      <c r="B486" s="2">
        <v>35</v>
      </c>
      <c r="C486" s="2" t="s">
        <v>68</v>
      </c>
      <c r="D486" s="2">
        <v>11170</v>
      </c>
      <c r="E486" s="2">
        <v>9520</v>
      </c>
      <c r="F486" s="2"/>
      <c r="G486" s="2"/>
      <c r="H486" s="2"/>
      <c r="I486" s="2" t="s">
        <v>13</v>
      </c>
      <c r="J486" s="2">
        <v>876</v>
      </c>
      <c r="K486" s="2"/>
      <c r="L486" s="2">
        <v>915</v>
      </c>
      <c r="M486" s="2">
        <v>0.498</v>
      </c>
      <c r="N486" s="2">
        <v>6.0039999999999996</v>
      </c>
      <c r="O486" s="2">
        <v>5.8789999999999996</v>
      </c>
      <c r="P486" s="7"/>
    </row>
    <row r="487" spans="1:16" x14ac:dyDescent="0.25">
      <c r="A487" s="8">
        <v>7</v>
      </c>
      <c r="B487" s="1">
        <v>35</v>
      </c>
      <c r="C487" s="1" t="s">
        <v>75</v>
      </c>
      <c r="D487" s="1">
        <v>11600</v>
      </c>
      <c r="E487" s="1">
        <v>10390</v>
      </c>
      <c r="F487" s="1"/>
      <c r="G487" s="1"/>
      <c r="H487" s="1"/>
      <c r="I487" s="1" t="s">
        <v>10</v>
      </c>
      <c r="J487" s="1">
        <v>819</v>
      </c>
      <c r="K487" s="1"/>
      <c r="L487" s="1">
        <v>915</v>
      </c>
      <c r="M487" s="1">
        <v>0.498</v>
      </c>
      <c r="N487" s="1">
        <v>6.0039999999999996</v>
      </c>
      <c r="O487" s="1">
        <v>5.8789999999999996</v>
      </c>
      <c r="P487" s="9"/>
    </row>
    <row r="488" spans="1:16" x14ac:dyDescent="0.25">
      <c r="A488" s="8">
        <v>7</v>
      </c>
      <c r="B488" s="1">
        <v>35</v>
      </c>
      <c r="C488" s="1" t="s">
        <v>75</v>
      </c>
      <c r="D488" s="1">
        <v>11600</v>
      </c>
      <c r="E488" s="1">
        <v>9520</v>
      </c>
      <c r="F488" s="1"/>
      <c r="G488" s="1"/>
      <c r="H488" s="1"/>
      <c r="I488" s="1" t="s">
        <v>13</v>
      </c>
      <c r="J488" s="1">
        <v>876</v>
      </c>
      <c r="K488" s="1"/>
      <c r="L488" s="1">
        <v>915</v>
      </c>
      <c r="M488" s="1">
        <v>0.498</v>
      </c>
      <c r="N488" s="1">
        <v>6.0039999999999996</v>
      </c>
      <c r="O488" s="1">
        <v>5.8789999999999996</v>
      </c>
      <c r="P488" s="9"/>
    </row>
    <row r="489" spans="1:16" x14ac:dyDescent="0.25">
      <c r="A489" s="6">
        <v>7</v>
      </c>
      <c r="B489" s="2">
        <v>35</v>
      </c>
      <c r="C489" s="2" t="s">
        <v>115</v>
      </c>
      <c r="D489" s="2">
        <v>11650</v>
      </c>
      <c r="E489" s="2">
        <v>10970</v>
      </c>
      <c r="F489" s="2"/>
      <c r="G489" s="2"/>
      <c r="H489" s="2"/>
      <c r="I489" s="2" t="s">
        <v>10</v>
      </c>
      <c r="J489" s="2">
        <v>865</v>
      </c>
      <c r="K489" s="2"/>
      <c r="L489" s="2">
        <v>966</v>
      </c>
      <c r="M489" s="2">
        <v>0.498</v>
      </c>
      <c r="N489" s="2">
        <v>6.0039999999999996</v>
      </c>
      <c r="O489" s="2">
        <v>5.8789999999999996</v>
      </c>
      <c r="P489" s="7"/>
    </row>
    <row r="490" spans="1:16" x14ac:dyDescent="0.25">
      <c r="A490" s="6">
        <v>7</v>
      </c>
      <c r="B490" s="2">
        <v>35</v>
      </c>
      <c r="C490" s="2" t="s">
        <v>115</v>
      </c>
      <c r="D490" s="2">
        <v>11650</v>
      </c>
      <c r="E490" s="2">
        <v>10050</v>
      </c>
      <c r="F490" s="2"/>
      <c r="G490" s="2"/>
      <c r="H490" s="2"/>
      <c r="I490" s="2" t="s">
        <v>13</v>
      </c>
      <c r="J490" s="2">
        <v>964</v>
      </c>
      <c r="K490" s="2"/>
      <c r="L490" s="2">
        <v>966</v>
      </c>
      <c r="M490" s="2">
        <v>0.498</v>
      </c>
      <c r="N490" s="2">
        <v>6.0039999999999996</v>
      </c>
      <c r="O490" s="2">
        <v>5.8789999999999996</v>
      </c>
      <c r="P490" s="7"/>
    </row>
    <row r="491" spans="1:16" x14ac:dyDescent="0.25">
      <c r="A491" s="8">
        <v>7</v>
      </c>
      <c r="B491" s="1">
        <v>35</v>
      </c>
      <c r="C491" s="1" t="s">
        <v>116</v>
      </c>
      <c r="D491" s="1">
        <v>11650</v>
      </c>
      <c r="E491" s="1">
        <v>10970</v>
      </c>
      <c r="F491" s="1"/>
      <c r="G491" s="1"/>
      <c r="H491" s="1"/>
      <c r="I491" s="1" t="s">
        <v>10</v>
      </c>
      <c r="J491" s="1">
        <v>853</v>
      </c>
      <c r="K491" s="1"/>
      <c r="L491" s="1">
        <v>966</v>
      </c>
      <c r="M491" s="1">
        <v>0.498</v>
      </c>
      <c r="N491" s="1">
        <v>6.0039999999999996</v>
      </c>
      <c r="O491" s="1">
        <v>5.8789999999999996</v>
      </c>
      <c r="P491" s="9"/>
    </row>
    <row r="492" spans="1:16" x14ac:dyDescent="0.25">
      <c r="A492" s="8">
        <v>7</v>
      </c>
      <c r="B492" s="1">
        <v>35</v>
      </c>
      <c r="C492" s="1" t="s">
        <v>116</v>
      </c>
      <c r="D492" s="1">
        <v>11650</v>
      </c>
      <c r="E492" s="1">
        <v>10050</v>
      </c>
      <c r="F492" s="1"/>
      <c r="G492" s="1"/>
      <c r="H492" s="1"/>
      <c r="I492" s="1" t="s">
        <v>13</v>
      </c>
      <c r="J492" s="1">
        <v>920</v>
      </c>
      <c r="K492" s="1"/>
      <c r="L492" s="1">
        <v>966</v>
      </c>
      <c r="M492" s="1">
        <v>0.498</v>
      </c>
      <c r="N492" s="1">
        <v>6.0039999999999996</v>
      </c>
      <c r="O492" s="1">
        <v>5.8789999999999996</v>
      </c>
      <c r="P492" s="9"/>
    </row>
    <row r="493" spans="1:16" x14ac:dyDescent="0.25">
      <c r="A493" s="6">
        <v>7</v>
      </c>
      <c r="B493" s="2">
        <v>35</v>
      </c>
      <c r="C493" s="2" t="s">
        <v>80</v>
      </c>
      <c r="D493" s="2">
        <v>11650</v>
      </c>
      <c r="E493" s="2">
        <v>10970</v>
      </c>
      <c r="F493" s="2"/>
      <c r="G493" s="2"/>
      <c r="H493" s="2"/>
      <c r="I493" s="2" t="s">
        <v>10</v>
      </c>
      <c r="J493" s="2">
        <v>853</v>
      </c>
      <c r="K493" s="2"/>
      <c r="L493" s="2">
        <v>966</v>
      </c>
      <c r="M493" s="2">
        <v>0.498</v>
      </c>
      <c r="N493" s="2">
        <v>6.0039999999999996</v>
      </c>
      <c r="O493" s="2">
        <v>5.8789999999999996</v>
      </c>
      <c r="P493" s="7"/>
    </row>
    <row r="494" spans="1:16" x14ac:dyDescent="0.25">
      <c r="A494" s="6">
        <v>7</v>
      </c>
      <c r="B494" s="2">
        <v>35</v>
      </c>
      <c r="C494" s="2" t="s">
        <v>80</v>
      </c>
      <c r="D494" s="2">
        <v>11650</v>
      </c>
      <c r="E494" s="2">
        <v>10050</v>
      </c>
      <c r="F494" s="2"/>
      <c r="G494" s="2"/>
      <c r="H494" s="2"/>
      <c r="I494" s="2" t="s">
        <v>13</v>
      </c>
      <c r="J494" s="2">
        <v>920</v>
      </c>
      <c r="K494" s="2"/>
      <c r="L494" s="2">
        <v>966</v>
      </c>
      <c r="M494" s="2">
        <v>0.498</v>
      </c>
      <c r="N494" s="2">
        <v>6.0039999999999996</v>
      </c>
      <c r="O494" s="2">
        <v>5.8789999999999996</v>
      </c>
      <c r="P494" s="7"/>
    </row>
    <row r="495" spans="1:16" x14ac:dyDescent="0.25">
      <c r="A495" s="8">
        <v>7</v>
      </c>
      <c r="B495" s="1">
        <v>35</v>
      </c>
      <c r="C495" s="1" t="s">
        <v>74</v>
      </c>
      <c r="D495" s="1">
        <v>11650</v>
      </c>
      <c r="E495" s="1">
        <v>10970</v>
      </c>
      <c r="F495" s="1"/>
      <c r="G495" s="1"/>
      <c r="H495" s="1"/>
      <c r="I495" s="1" t="s">
        <v>10</v>
      </c>
      <c r="J495" s="1">
        <v>853</v>
      </c>
      <c r="K495" s="1"/>
      <c r="L495" s="1">
        <v>966</v>
      </c>
      <c r="M495" s="1">
        <v>0.498</v>
      </c>
      <c r="N495" s="1">
        <v>6.0039999999999996</v>
      </c>
      <c r="O495" s="1">
        <v>5.8789999999999996</v>
      </c>
      <c r="P495" s="9"/>
    </row>
    <row r="496" spans="1:16" x14ac:dyDescent="0.25">
      <c r="A496" s="8">
        <v>7</v>
      </c>
      <c r="B496" s="1">
        <v>35</v>
      </c>
      <c r="C496" s="1" t="s">
        <v>74</v>
      </c>
      <c r="D496" s="1">
        <v>11650</v>
      </c>
      <c r="E496" s="1">
        <v>10050</v>
      </c>
      <c r="F496" s="1"/>
      <c r="G496" s="1"/>
      <c r="H496" s="1"/>
      <c r="I496" s="1" t="s">
        <v>13</v>
      </c>
      <c r="J496" s="1">
        <v>920</v>
      </c>
      <c r="K496" s="1"/>
      <c r="L496" s="1">
        <v>966</v>
      </c>
      <c r="M496" s="1">
        <v>0.498</v>
      </c>
      <c r="N496" s="1">
        <v>6.0039999999999996</v>
      </c>
      <c r="O496" s="1">
        <v>5.8789999999999996</v>
      </c>
      <c r="P496" s="9"/>
    </row>
    <row r="497" spans="1:16" x14ac:dyDescent="0.25">
      <c r="A497" s="6">
        <v>7</v>
      </c>
      <c r="B497" s="2">
        <v>35</v>
      </c>
      <c r="C497" s="2" t="s">
        <v>113</v>
      </c>
      <c r="D497" s="2">
        <v>13020</v>
      </c>
      <c r="E497" s="2">
        <v>12700</v>
      </c>
      <c r="F497" s="2"/>
      <c r="G497" s="2"/>
      <c r="H497" s="2"/>
      <c r="I497" s="2" t="s">
        <v>10</v>
      </c>
      <c r="J497" s="2">
        <v>996</v>
      </c>
      <c r="K497" s="2"/>
      <c r="L497" s="2">
        <v>1119</v>
      </c>
      <c r="M497" s="2">
        <v>0.498</v>
      </c>
      <c r="N497" s="2">
        <v>6.0039999999999996</v>
      </c>
      <c r="O497" s="2">
        <v>5.8789999999999996</v>
      </c>
      <c r="P497" s="7"/>
    </row>
    <row r="498" spans="1:16" x14ac:dyDescent="0.25">
      <c r="A498" s="6">
        <v>7</v>
      </c>
      <c r="B498" s="2">
        <v>35</v>
      </c>
      <c r="C498" s="2" t="s">
        <v>113</v>
      </c>
      <c r="D498" s="2">
        <v>13020</v>
      </c>
      <c r="E498" s="2">
        <v>11640</v>
      </c>
      <c r="F498" s="2"/>
      <c r="G498" s="2"/>
      <c r="H498" s="2"/>
      <c r="I498" s="2" t="s">
        <v>13</v>
      </c>
      <c r="J498" s="2">
        <v>1096</v>
      </c>
      <c r="K498" s="2"/>
      <c r="L498" s="2">
        <v>1119</v>
      </c>
      <c r="M498" s="2">
        <v>0.498</v>
      </c>
      <c r="N498" s="2">
        <v>6.0039999999999996</v>
      </c>
      <c r="O498" s="2">
        <v>5.8789999999999996</v>
      </c>
      <c r="P498" s="7"/>
    </row>
    <row r="499" spans="1:16" x14ac:dyDescent="0.25">
      <c r="A499" s="8">
        <v>7</v>
      </c>
      <c r="B499" s="1">
        <v>35</v>
      </c>
      <c r="C499" s="1" t="s">
        <v>114</v>
      </c>
      <c r="D499" s="1">
        <v>14310</v>
      </c>
      <c r="E499" s="1">
        <v>14430</v>
      </c>
      <c r="F499" s="1"/>
      <c r="G499" s="1"/>
      <c r="H499" s="1"/>
      <c r="I499" s="1" t="s">
        <v>10</v>
      </c>
      <c r="J499" s="1">
        <v>1106</v>
      </c>
      <c r="K499" s="1"/>
      <c r="L499" s="1">
        <v>1272</v>
      </c>
      <c r="M499" s="1">
        <v>0.498</v>
      </c>
      <c r="N499" s="1">
        <v>6.0039999999999996</v>
      </c>
      <c r="O499" s="1">
        <v>5.8789999999999996</v>
      </c>
      <c r="P499" s="9"/>
    </row>
    <row r="500" spans="1:16" x14ac:dyDescent="0.25">
      <c r="A500" s="8">
        <v>7</v>
      </c>
      <c r="B500" s="1">
        <v>35</v>
      </c>
      <c r="C500" s="1" t="s">
        <v>114</v>
      </c>
      <c r="D500" s="1">
        <v>14310</v>
      </c>
      <c r="E500" s="1">
        <v>13220</v>
      </c>
      <c r="F500" s="1"/>
      <c r="G500" s="1"/>
      <c r="H500" s="1"/>
      <c r="I500" s="1" t="s">
        <v>13</v>
      </c>
      <c r="J500" s="1">
        <v>1183</v>
      </c>
      <c r="K500" s="1"/>
      <c r="L500" s="1">
        <v>1272</v>
      </c>
      <c r="M500" s="1">
        <v>0.498</v>
      </c>
      <c r="N500" s="1">
        <v>6.0039999999999996</v>
      </c>
      <c r="O500" s="1">
        <v>5.8789999999999996</v>
      </c>
      <c r="P500" s="9"/>
    </row>
    <row r="501" spans="1:16" x14ac:dyDescent="0.25">
      <c r="A501" s="6">
        <v>7</v>
      </c>
      <c r="B501" s="2">
        <v>35</v>
      </c>
      <c r="C501" s="2" t="s">
        <v>117</v>
      </c>
      <c r="D501" s="2">
        <v>16220</v>
      </c>
      <c r="E501" s="2">
        <v>17320</v>
      </c>
      <c r="F501" s="2"/>
      <c r="G501" s="2"/>
      <c r="H501" s="2"/>
      <c r="I501" s="2" t="s">
        <v>10</v>
      </c>
      <c r="J501" s="2">
        <v>1311</v>
      </c>
      <c r="K501" s="2"/>
      <c r="L501" s="2">
        <v>1526</v>
      </c>
      <c r="M501" s="2">
        <v>0.498</v>
      </c>
      <c r="N501" s="2">
        <v>6.0039999999999996</v>
      </c>
      <c r="O501" s="2">
        <v>5.8789999999999996</v>
      </c>
      <c r="P501" s="7"/>
    </row>
    <row r="502" spans="1:16" x14ac:dyDescent="0.25">
      <c r="A502" s="6">
        <v>7</v>
      </c>
      <c r="B502" s="2">
        <v>35</v>
      </c>
      <c r="C502" s="2" t="s">
        <v>117</v>
      </c>
      <c r="D502" s="2">
        <v>16220</v>
      </c>
      <c r="E502" s="2">
        <v>15870</v>
      </c>
      <c r="F502" s="2"/>
      <c r="G502" s="2"/>
      <c r="H502" s="2"/>
      <c r="I502" s="2" t="s">
        <v>13</v>
      </c>
      <c r="J502" s="2">
        <v>1402</v>
      </c>
      <c r="K502" s="2"/>
      <c r="L502" s="2">
        <v>1526</v>
      </c>
      <c r="M502" s="2">
        <v>0.498</v>
      </c>
      <c r="N502" s="2">
        <v>6.0039999999999996</v>
      </c>
      <c r="O502" s="2">
        <v>5.8789999999999996</v>
      </c>
      <c r="P502" s="7"/>
    </row>
    <row r="503" spans="1:16" x14ac:dyDescent="0.25">
      <c r="A503" s="8">
        <v>7</v>
      </c>
      <c r="B503" s="1">
        <v>38</v>
      </c>
      <c r="C503" s="1" t="s">
        <v>111</v>
      </c>
      <c r="D503" s="1">
        <v>11390</v>
      </c>
      <c r="E503" s="1">
        <v>9240</v>
      </c>
      <c r="F503" s="1"/>
      <c r="G503" s="1"/>
      <c r="H503" s="1"/>
      <c r="I503" s="1" t="s">
        <v>10</v>
      </c>
      <c r="J503" s="1">
        <v>801</v>
      </c>
      <c r="K503" s="1"/>
      <c r="L503" s="1">
        <v>877</v>
      </c>
      <c r="M503" s="1">
        <v>0.54</v>
      </c>
      <c r="N503" s="1">
        <v>5.92</v>
      </c>
      <c r="O503" s="1">
        <v>5.7949999999999999</v>
      </c>
      <c r="P503" s="9"/>
    </row>
    <row r="504" spans="1:16" x14ac:dyDescent="0.25">
      <c r="A504" s="8">
        <v>7</v>
      </c>
      <c r="B504" s="1">
        <v>38</v>
      </c>
      <c r="C504" s="1" t="s">
        <v>111</v>
      </c>
      <c r="D504" s="1">
        <v>11390</v>
      </c>
      <c r="E504" s="1">
        <v>8460</v>
      </c>
      <c r="F504" s="1"/>
      <c r="G504" s="1"/>
      <c r="H504" s="1"/>
      <c r="I504" s="1" t="s">
        <v>13</v>
      </c>
      <c r="J504" s="1">
        <v>832</v>
      </c>
      <c r="K504" s="1"/>
      <c r="L504" s="1">
        <v>877</v>
      </c>
      <c r="M504" s="1">
        <v>0.54</v>
      </c>
      <c r="N504" s="1">
        <v>5.92</v>
      </c>
      <c r="O504" s="1">
        <v>5.7949999999999999</v>
      </c>
      <c r="P504" s="9"/>
    </row>
    <row r="505" spans="1:16" x14ac:dyDescent="0.25">
      <c r="A505" s="6">
        <v>7</v>
      </c>
      <c r="B505" s="2">
        <v>38</v>
      </c>
      <c r="C505" s="2" t="s">
        <v>88</v>
      </c>
      <c r="D505" s="2">
        <v>12700</v>
      </c>
      <c r="E505" s="2">
        <v>9240</v>
      </c>
      <c r="F505" s="2"/>
      <c r="G505" s="2"/>
      <c r="H505" s="2"/>
      <c r="I505" s="2" t="s">
        <v>10</v>
      </c>
      <c r="J505" s="2">
        <v>831</v>
      </c>
      <c r="K505" s="2"/>
      <c r="L505" s="2">
        <v>877</v>
      </c>
      <c r="M505" s="2">
        <v>0.54</v>
      </c>
      <c r="N505" s="2">
        <v>5.92</v>
      </c>
      <c r="O505" s="2">
        <v>5.7949999999999999</v>
      </c>
      <c r="P505" s="7"/>
    </row>
    <row r="506" spans="1:16" x14ac:dyDescent="0.25">
      <c r="A506" s="6">
        <v>7</v>
      </c>
      <c r="B506" s="2">
        <v>38</v>
      </c>
      <c r="C506" s="2" t="s">
        <v>88</v>
      </c>
      <c r="D506" s="2">
        <v>12700</v>
      </c>
      <c r="E506" s="2">
        <v>8460</v>
      </c>
      <c r="F506" s="2"/>
      <c r="G506" s="2"/>
      <c r="H506" s="2"/>
      <c r="I506" s="2" t="s">
        <v>13</v>
      </c>
      <c r="J506" s="2">
        <v>832</v>
      </c>
      <c r="K506" s="2"/>
      <c r="L506" s="2">
        <v>877</v>
      </c>
      <c r="M506" s="2">
        <v>0.54</v>
      </c>
      <c r="N506" s="2">
        <v>5.92</v>
      </c>
      <c r="O506" s="2">
        <v>5.7949999999999999</v>
      </c>
      <c r="P506" s="7"/>
    </row>
    <row r="507" spans="1:16" x14ac:dyDescent="0.25">
      <c r="A507" s="8">
        <v>7</v>
      </c>
      <c r="B507" s="1">
        <v>38</v>
      </c>
      <c r="C507" s="1" t="s">
        <v>112</v>
      </c>
      <c r="D507" s="1">
        <v>11390</v>
      </c>
      <c r="E507" s="1">
        <v>9240</v>
      </c>
      <c r="F507" s="1"/>
      <c r="G507" s="1"/>
      <c r="H507" s="1"/>
      <c r="I507" s="1" t="s">
        <v>10</v>
      </c>
      <c r="J507" s="1">
        <v>814</v>
      </c>
      <c r="K507" s="1"/>
      <c r="L507" s="1">
        <v>877</v>
      </c>
      <c r="M507" s="1">
        <v>0.54</v>
      </c>
      <c r="N507" s="1">
        <v>5.92</v>
      </c>
      <c r="O507" s="1">
        <v>5.7949999999999999</v>
      </c>
      <c r="P507" s="9"/>
    </row>
    <row r="508" spans="1:16" x14ac:dyDescent="0.25">
      <c r="A508" s="8">
        <v>7</v>
      </c>
      <c r="B508" s="1">
        <v>38</v>
      </c>
      <c r="C508" s="1" t="s">
        <v>112</v>
      </c>
      <c r="D508" s="1">
        <v>11390</v>
      </c>
      <c r="E508" s="1">
        <v>8460</v>
      </c>
      <c r="F508" s="1"/>
      <c r="G508" s="1"/>
      <c r="H508" s="1"/>
      <c r="I508" s="1" t="s">
        <v>13</v>
      </c>
      <c r="J508" s="1">
        <v>876</v>
      </c>
      <c r="K508" s="1"/>
      <c r="L508" s="1">
        <v>877</v>
      </c>
      <c r="M508" s="1">
        <v>0.54</v>
      </c>
      <c r="N508" s="1">
        <v>5.92</v>
      </c>
      <c r="O508" s="1">
        <v>5.7949999999999999</v>
      </c>
      <c r="P508" s="9"/>
    </row>
    <row r="509" spans="1:16" x14ac:dyDescent="0.25">
      <c r="A509" s="6">
        <v>7</v>
      </c>
      <c r="B509" s="2">
        <v>38</v>
      </c>
      <c r="C509" s="2" t="s">
        <v>93</v>
      </c>
      <c r="D509" s="2">
        <v>12700</v>
      </c>
      <c r="E509" s="2">
        <v>9240</v>
      </c>
      <c r="F509" s="2"/>
      <c r="G509" s="2"/>
      <c r="H509" s="2"/>
      <c r="I509" s="2" t="s">
        <v>10</v>
      </c>
      <c r="J509" s="2">
        <v>831</v>
      </c>
      <c r="K509" s="2"/>
      <c r="L509" s="2">
        <v>877</v>
      </c>
      <c r="M509" s="2">
        <v>0.54</v>
      </c>
      <c r="N509" s="2">
        <v>5.92</v>
      </c>
      <c r="O509" s="2">
        <v>5.7949999999999999</v>
      </c>
      <c r="P509" s="7"/>
    </row>
    <row r="510" spans="1:16" x14ac:dyDescent="0.25">
      <c r="A510" s="6">
        <v>7</v>
      </c>
      <c r="B510" s="2">
        <v>38</v>
      </c>
      <c r="C510" s="2" t="s">
        <v>93</v>
      </c>
      <c r="D510" s="2">
        <v>12700</v>
      </c>
      <c r="E510" s="2">
        <v>8460</v>
      </c>
      <c r="F510" s="2"/>
      <c r="G510" s="2"/>
      <c r="H510" s="2"/>
      <c r="I510" s="2" t="s">
        <v>13</v>
      </c>
      <c r="J510" s="2">
        <v>876</v>
      </c>
      <c r="K510" s="2"/>
      <c r="L510" s="2">
        <v>877</v>
      </c>
      <c r="M510" s="2">
        <v>0.54</v>
      </c>
      <c r="N510" s="2">
        <v>5.92</v>
      </c>
      <c r="O510" s="2">
        <v>5.7949999999999999</v>
      </c>
      <c r="P510" s="7"/>
    </row>
    <row r="511" spans="1:16" x14ac:dyDescent="0.25">
      <c r="A511" s="8">
        <v>7</v>
      </c>
      <c r="B511" s="1">
        <v>38</v>
      </c>
      <c r="C511" s="1" t="s">
        <v>68</v>
      </c>
      <c r="D511" s="1">
        <v>12820</v>
      </c>
      <c r="E511" s="1">
        <v>10390</v>
      </c>
      <c r="F511" s="1"/>
      <c r="G511" s="1"/>
      <c r="H511" s="1"/>
      <c r="I511" s="1" t="s">
        <v>10</v>
      </c>
      <c r="J511" s="1">
        <v>883</v>
      </c>
      <c r="K511" s="1"/>
      <c r="L511" s="1">
        <v>986</v>
      </c>
      <c r="M511" s="1">
        <v>0.54</v>
      </c>
      <c r="N511" s="1">
        <v>5.92</v>
      </c>
      <c r="O511" s="1">
        <v>5.7949999999999999</v>
      </c>
      <c r="P511" s="9"/>
    </row>
    <row r="512" spans="1:16" x14ac:dyDescent="0.25">
      <c r="A512" s="8">
        <v>7</v>
      </c>
      <c r="B512" s="1">
        <v>38</v>
      </c>
      <c r="C512" s="1" t="s">
        <v>68</v>
      </c>
      <c r="D512" s="1">
        <v>12820</v>
      </c>
      <c r="E512" s="1">
        <v>9520</v>
      </c>
      <c r="F512" s="1"/>
      <c r="G512" s="1"/>
      <c r="H512" s="1"/>
      <c r="I512" s="1" t="s">
        <v>13</v>
      </c>
      <c r="J512" s="1">
        <v>876</v>
      </c>
      <c r="K512" s="1"/>
      <c r="L512" s="1">
        <v>986</v>
      </c>
      <c r="M512" s="1">
        <v>0.54</v>
      </c>
      <c r="N512" s="1">
        <v>5.92</v>
      </c>
      <c r="O512" s="1">
        <v>5.7949999999999999</v>
      </c>
      <c r="P512" s="9"/>
    </row>
    <row r="513" spans="1:16" x14ac:dyDescent="0.25">
      <c r="A513" s="6">
        <v>7</v>
      </c>
      <c r="B513" s="2">
        <v>38</v>
      </c>
      <c r="C513" s="2" t="s">
        <v>75</v>
      </c>
      <c r="D513" s="2">
        <v>12820</v>
      </c>
      <c r="E513" s="2">
        <v>10390</v>
      </c>
      <c r="F513" s="2"/>
      <c r="G513" s="2"/>
      <c r="H513" s="2"/>
      <c r="I513" s="2" t="s">
        <v>10</v>
      </c>
      <c r="J513" s="2">
        <v>883</v>
      </c>
      <c r="K513" s="2"/>
      <c r="L513" s="2">
        <v>986</v>
      </c>
      <c r="M513" s="2">
        <v>0.54</v>
      </c>
      <c r="N513" s="2">
        <v>5.92</v>
      </c>
      <c r="O513" s="2">
        <v>5.7949999999999999</v>
      </c>
      <c r="P513" s="7"/>
    </row>
    <row r="514" spans="1:16" x14ac:dyDescent="0.25">
      <c r="A514" s="6">
        <v>7</v>
      </c>
      <c r="B514" s="2">
        <v>38</v>
      </c>
      <c r="C514" s="2" t="s">
        <v>75</v>
      </c>
      <c r="D514" s="2">
        <v>12820</v>
      </c>
      <c r="E514" s="2">
        <v>9520</v>
      </c>
      <c r="F514" s="2"/>
      <c r="G514" s="2"/>
      <c r="H514" s="2"/>
      <c r="I514" s="2" t="s">
        <v>13</v>
      </c>
      <c r="J514" s="2">
        <v>876</v>
      </c>
      <c r="K514" s="2"/>
      <c r="L514" s="2">
        <v>986</v>
      </c>
      <c r="M514" s="2">
        <v>0.54</v>
      </c>
      <c r="N514" s="2">
        <v>5.92</v>
      </c>
      <c r="O514" s="2">
        <v>5.7949999999999999</v>
      </c>
      <c r="P514" s="7"/>
    </row>
    <row r="515" spans="1:16" x14ac:dyDescent="0.25">
      <c r="A515" s="8">
        <v>7</v>
      </c>
      <c r="B515" s="1">
        <v>38</v>
      </c>
      <c r="C515" s="1" t="s">
        <v>115</v>
      </c>
      <c r="D515" s="1">
        <v>13440</v>
      </c>
      <c r="E515" s="1">
        <v>10970</v>
      </c>
      <c r="F515" s="1"/>
      <c r="G515" s="1"/>
      <c r="H515" s="1"/>
      <c r="I515" s="1" t="s">
        <v>10</v>
      </c>
      <c r="J515" s="1">
        <v>944</v>
      </c>
      <c r="K515" s="1"/>
      <c r="L515" s="1">
        <v>1041</v>
      </c>
      <c r="M515" s="1">
        <v>0.54</v>
      </c>
      <c r="N515" s="1">
        <v>5.92</v>
      </c>
      <c r="O515" s="1">
        <v>5.7949999999999999</v>
      </c>
      <c r="P515" s="9"/>
    </row>
    <row r="516" spans="1:16" x14ac:dyDescent="0.25">
      <c r="A516" s="8">
        <v>7</v>
      </c>
      <c r="B516" s="1">
        <v>38</v>
      </c>
      <c r="C516" s="1" t="s">
        <v>115</v>
      </c>
      <c r="D516" s="1">
        <v>13440</v>
      </c>
      <c r="E516" s="1">
        <v>10050</v>
      </c>
      <c r="F516" s="1"/>
      <c r="G516" s="1"/>
      <c r="H516" s="1"/>
      <c r="I516" s="1" t="s">
        <v>13</v>
      </c>
      <c r="J516" s="1">
        <v>964</v>
      </c>
      <c r="K516" s="1"/>
      <c r="L516" s="1">
        <v>1041</v>
      </c>
      <c r="M516" s="1">
        <v>0.54</v>
      </c>
      <c r="N516" s="1">
        <v>5.92</v>
      </c>
      <c r="O516" s="1">
        <v>5.7949999999999999</v>
      </c>
      <c r="P516" s="9"/>
    </row>
    <row r="517" spans="1:16" x14ac:dyDescent="0.25">
      <c r="A517" s="6">
        <v>7</v>
      </c>
      <c r="B517" s="2">
        <v>38</v>
      </c>
      <c r="C517" s="2" t="s">
        <v>116</v>
      </c>
      <c r="D517" s="2">
        <v>13440</v>
      </c>
      <c r="E517" s="2">
        <v>10970</v>
      </c>
      <c r="F517" s="2"/>
      <c r="G517" s="2"/>
      <c r="H517" s="2"/>
      <c r="I517" s="2" t="s">
        <v>10</v>
      </c>
      <c r="J517" s="2">
        <v>931</v>
      </c>
      <c r="K517" s="2"/>
      <c r="L517" s="2">
        <v>1041</v>
      </c>
      <c r="M517" s="2">
        <v>0.54</v>
      </c>
      <c r="N517" s="2">
        <v>5.92</v>
      </c>
      <c r="O517" s="2">
        <v>5.7949999999999999</v>
      </c>
      <c r="P517" s="7"/>
    </row>
    <row r="518" spans="1:16" x14ac:dyDescent="0.25">
      <c r="A518" s="6">
        <v>7</v>
      </c>
      <c r="B518" s="2">
        <v>38</v>
      </c>
      <c r="C518" s="2" t="s">
        <v>116</v>
      </c>
      <c r="D518" s="2">
        <v>13440</v>
      </c>
      <c r="E518" s="2">
        <v>10050</v>
      </c>
      <c r="F518" s="2"/>
      <c r="G518" s="2"/>
      <c r="H518" s="2"/>
      <c r="I518" s="2" t="s">
        <v>13</v>
      </c>
      <c r="J518" s="2">
        <v>920</v>
      </c>
      <c r="K518" s="2"/>
      <c r="L518" s="2">
        <v>1041</v>
      </c>
      <c r="M518" s="2">
        <v>0.54</v>
      </c>
      <c r="N518" s="2">
        <v>5.92</v>
      </c>
      <c r="O518" s="2">
        <v>5.7949999999999999</v>
      </c>
      <c r="P518" s="7"/>
    </row>
    <row r="519" spans="1:16" x14ac:dyDescent="0.25">
      <c r="A519" s="8">
        <v>7</v>
      </c>
      <c r="B519" s="1">
        <v>38</v>
      </c>
      <c r="C519" s="1" t="s">
        <v>80</v>
      </c>
      <c r="D519" s="1">
        <v>13440</v>
      </c>
      <c r="E519" s="1">
        <v>10970</v>
      </c>
      <c r="F519" s="1"/>
      <c r="G519" s="1"/>
      <c r="H519" s="1"/>
      <c r="I519" s="1" t="s">
        <v>10</v>
      </c>
      <c r="J519" s="1">
        <v>931</v>
      </c>
      <c r="K519" s="1"/>
      <c r="L519" s="1">
        <v>1041</v>
      </c>
      <c r="M519" s="1">
        <v>0.54</v>
      </c>
      <c r="N519" s="1">
        <v>5.92</v>
      </c>
      <c r="O519" s="1">
        <v>5.7949999999999999</v>
      </c>
      <c r="P519" s="9"/>
    </row>
    <row r="520" spans="1:16" x14ac:dyDescent="0.25">
      <c r="A520" s="8">
        <v>7</v>
      </c>
      <c r="B520" s="1">
        <v>38</v>
      </c>
      <c r="C520" s="1" t="s">
        <v>80</v>
      </c>
      <c r="D520" s="1">
        <v>13440</v>
      </c>
      <c r="E520" s="1">
        <v>10050</v>
      </c>
      <c r="F520" s="1"/>
      <c r="G520" s="1"/>
      <c r="H520" s="1"/>
      <c r="I520" s="1" t="s">
        <v>13</v>
      </c>
      <c r="J520" s="1">
        <v>920</v>
      </c>
      <c r="K520" s="1"/>
      <c r="L520" s="1">
        <v>1041</v>
      </c>
      <c r="M520" s="1">
        <v>0.54</v>
      </c>
      <c r="N520" s="1">
        <v>5.92</v>
      </c>
      <c r="O520" s="1">
        <v>5.7949999999999999</v>
      </c>
      <c r="P520" s="9"/>
    </row>
    <row r="521" spans="1:16" x14ac:dyDescent="0.25">
      <c r="A521" s="6">
        <v>7</v>
      </c>
      <c r="B521" s="2">
        <v>38</v>
      </c>
      <c r="C521" s="2" t="s">
        <v>74</v>
      </c>
      <c r="D521" s="2">
        <v>13440</v>
      </c>
      <c r="E521" s="2">
        <v>10970</v>
      </c>
      <c r="F521" s="2"/>
      <c r="G521" s="2"/>
      <c r="H521" s="2"/>
      <c r="I521" s="2" t="s">
        <v>10</v>
      </c>
      <c r="J521" s="2">
        <v>931</v>
      </c>
      <c r="K521" s="2"/>
      <c r="L521" s="2">
        <v>1041</v>
      </c>
      <c r="M521" s="2">
        <v>0.54</v>
      </c>
      <c r="N521" s="2">
        <v>5.92</v>
      </c>
      <c r="O521" s="2">
        <v>5.7949999999999999</v>
      </c>
      <c r="P521" s="7"/>
    </row>
    <row r="522" spans="1:16" x14ac:dyDescent="0.25">
      <c r="A522" s="6">
        <v>7</v>
      </c>
      <c r="B522" s="2">
        <v>38</v>
      </c>
      <c r="C522" s="2" t="s">
        <v>74</v>
      </c>
      <c r="D522" s="2">
        <v>13440</v>
      </c>
      <c r="E522" s="2">
        <v>10050</v>
      </c>
      <c r="F522" s="2"/>
      <c r="G522" s="2"/>
      <c r="H522" s="2"/>
      <c r="I522" s="2" t="s">
        <v>13</v>
      </c>
      <c r="J522" s="2">
        <v>920</v>
      </c>
      <c r="K522" s="2"/>
      <c r="L522" s="2">
        <v>1041</v>
      </c>
      <c r="M522" s="2">
        <v>0.54</v>
      </c>
      <c r="N522" s="2">
        <v>5.92</v>
      </c>
      <c r="O522" s="2">
        <v>5.7949999999999999</v>
      </c>
      <c r="P522" s="7"/>
    </row>
    <row r="523" spans="1:16" x14ac:dyDescent="0.25">
      <c r="A523" s="8">
        <v>7</v>
      </c>
      <c r="B523" s="1">
        <v>38</v>
      </c>
      <c r="C523" s="1" t="s">
        <v>113</v>
      </c>
      <c r="D523" s="1">
        <v>15140</v>
      </c>
      <c r="E523" s="1">
        <v>12700</v>
      </c>
      <c r="F523" s="1"/>
      <c r="G523" s="1"/>
      <c r="H523" s="1"/>
      <c r="I523" s="1" t="s">
        <v>10</v>
      </c>
      <c r="J523" s="1">
        <v>1087</v>
      </c>
      <c r="K523" s="1"/>
      <c r="L523" s="1">
        <v>1205</v>
      </c>
      <c r="M523" s="1">
        <v>0.54</v>
      </c>
      <c r="N523" s="1">
        <v>5.92</v>
      </c>
      <c r="O523" s="1">
        <v>5.7949999999999999</v>
      </c>
      <c r="P523" s="9"/>
    </row>
    <row r="524" spans="1:16" x14ac:dyDescent="0.25">
      <c r="A524" s="8">
        <v>7</v>
      </c>
      <c r="B524" s="1">
        <v>38</v>
      </c>
      <c r="C524" s="1" t="s">
        <v>113</v>
      </c>
      <c r="D524" s="1">
        <v>15140</v>
      </c>
      <c r="E524" s="1">
        <v>11640</v>
      </c>
      <c r="F524" s="1"/>
      <c r="G524" s="1"/>
      <c r="H524" s="1"/>
      <c r="I524" s="1" t="s">
        <v>13</v>
      </c>
      <c r="J524" s="1">
        <v>1096</v>
      </c>
      <c r="K524" s="1"/>
      <c r="L524" s="1">
        <v>1205</v>
      </c>
      <c r="M524" s="1">
        <v>0.54</v>
      </c>
      <c r="N524" s="1">
        <v>5.92</v>
      </c>
      <c r="O524" s="1">
        <v>5.7949999999999999</v>
      </c>
      <c r="P524" s="9"/>
    </row>
    <row r="525" spans="1:16" x14ac:dyDescent="0.25">
      <c r="A525" s="6">
        <v>7</v>
      </c>
      <c r="B525" s="2">
        <v>38</v>
      </c>
      <c r="C525" s="2" t="s">
        <v>114</v>
      </c>
      <c r="D525" s="2">
        <v>16750</v>
      </c>
      <c r="E525" s="2">
        <v>14430</v>
      </c>
      <c r="F525" s="2"/>
      <c r="G525" s="2"/>
      <c r="H525" s="2"/>
      <c r="I525" s="2" t="s">
        <v>10</v>
      </c>
      <c r="J525" s="2">
        <v>1207</v>
      </c>
      <c r="K525" s="2"/>
      <c r="L525" s="2">
        <v>1370</v>
      </c>
      <c r="M525" s="2">
        <v>0.54</v>
      </c>
      <c r="N525" s="2">
        <v>5.92</v>
      </c>
      <c r="O525" s="2">
        <v>5.7949999999999999</v>
      </c>
      <c r="P525" s="7"/>
    </row>
    <row r="526" spans="1:16" x14ac:dyDescent="0.25">
      <c r="A526" s="6">
        <v>7</v>
      </c>
      <c r="B526" s="2">
        <v>38</v>
      </c>
      <c r="C526" s="2" t="s">
        <v>114</v>
      </c>
      <c r="D526" s="2">
        <v>16750</v>
      </c>
      <c r="E526" s="2">
        <v>13220</v>
      </c>
      <c r="F526" s="2"/>
      <c r="G526" s="2"/>
      <c r="H526" s="2"/>
      <c r="I526" s="2" t="s">
        <v>13</v>
      </c>
      <c r="J526" s="2">
        <v>1183</v>
      </c>
      <c r="K526" s="2"/>
      <c r="L526" s="2">
        <v>1370</v>
      </c>
      <c r="M526" s="2">
        <v>0.54</v>
      </c>
      <c r="N526" s="2">
        <v>5.92</v>
      </c>
      <c r="O526" s="2">
        <v>5.7949999999999999</v>
      </c>
      <c r="P526" s="7"/>
    </row>
    <row r="527" spans="1:16" x14ac:dyDescent="0.25">
      <c r="A527" s="8">
        <v>7</v>
      </c>
      <c r="B527" s="1">
        <v>38</v>
      </c>
      <c r="C527" s="1" t="s">
        <v>117</v>
      </c>
      <c r="D527" s="1">
        <v>19240</v>
      </c>
      <c r="E527" s="1">
        <v>17320</v>
      </c>
      <c r="F527" s="1"/>
      <c r="G527" s="1"/>
      <c r="H527" s="1"/>
      <c r="I527" s="1" t="s">
        <v>10</v>
      </c>
      <c r="J527" s="1">
        <v>1430</v>
      </c>
      <c r="K527" s="1"/>
      <c r="L527" s="1">
        <v>1644</v>
      </c>
      <c r="M527" s="1">
        <v>0.54</v>
      </c>
      <c r="N527" s="1">
        <v>5.92</v>
      </c>
      <c r="O527" s="1">
        <v>5.7949999999999999</v>
      </c>
      <c r="P527" s="9"/>
    </row>
    <row r="528" spans="1:16" x14ac:dyDescent="0.25">
      <c r="A528" s="8">
        <v>7</v>
      </c>
      <c r="B528" s="1">
        <v>38</v>
      </c>
      <c r="C528" s="1" t="s">
        <v>117</v>
      </c>
      <c r="D528" s="1">
        <v>19240</v>
      </c>
      <c r="E528" s="1">
        <v>15870</v>
      </c>
      <c r="F528" s="1"/>
      <c r="G528" s="1"/>
      <c r="H528" s="1"/>
      <c r="I528" s="1" t="s">
        <v>13</v>
      </c>
      <c r="J528" s="1">
        <v>1402</v>
      </c>
      <c r="K528" s="1"/>
      <c r="L528" s="1">
        <v>1644</v>
      </c>
      <c r="M528" s="1">
        <v>0.54</v>
      </c>
      <c r="N528" s="1">
        <v>5.92</v>
      </c>
      <c r="O528" s="1">
        <v>5.7949999999999999</v>
      </c>
      <c r="P528" s="9"/>
    </row>
    <row r="529" spans="1:16" x14ac:dyDescent="0.25">
      <c r="A529" s="6">
        <v>7</v>
      </c>
      <c r="B529" s="2">
        <v>41</v>
      </c>
      <c r="C529" s="2" t="s">
        <v>68</v>
      </c>
      <c r="D529" s="2">
        <v>13900</v>
      </c>
      <c r="E529" s="2">
        <v>10390</v>
      </c>
      <c r="F529" s="2"/>
      <c r="G529" s="2"/>
      <c r="H529" s="2"/>
      <c r="I529" s="2" t="s">
        <v>10</v>
      </c>
      <c r="J529" s="2">
        <v>903</v>
      </c>
      <c r="K529" s="2"/>
      <c r="L529" s="2">
        <v>1069</v>
      </c>
      <c r="M529" s="2">
        <v>0.59</v>
      </c>
      <c r="N529" s="2">
        <v>5.82</v>
      </c>
      <c r="O529" s="2">
        <v>5.6950000000000003</v>
      </c>
      <c r="P529" s="7"/>
    </row>
    <row r="530" spans="1:16" x14ac:dyDescent="0.25">
      <c r="A530" s="6">
        <v>7</v>
      </c>
      <c r="B530" s="2">
        <v>41</v>
      </c>
      <c r="C530" s="2" t="s">
        <v>68</v>
      </c>
      <c r="D530" s="2">
        <v>13900</v>
      </c>
      <c r="E530" s="2">
        <v>9520</v>
      </c>
      <c r="F530" s="2"/>
      <c r="G530" s="2"/>
      <c r="H530" s="2"/>
      <c r="I530" s="2" t="s">
        <v>13</v>
      </c>
      <c r="J530" s="2">
        <v>876</v>
      </c>
      <c r="K530" s="2"/>
      <c r="L530" s="2">
        <v>1069</v>
      </c>
      <c r="M530" s="2">
        <v>0.59</v>
      </c>
      <c r="N530" s="2">
        <v>5.82</v>
      </c>
      <c r="O530" s="2">
        <v>5.6950000000000003</v>
      </c>
      <c r="P530" s="7"/>
    </row>
    <row r="531" spans="1:16" x14ac:dyDescent="0.25">
      <c r="A531" s="8">
        <v>7</v>
      </c>
      <c r="B531" s="1">
        <v>41</v>
      </c>
      <c r="C531" s="1" t="s">
        <v>75</v>
      </c>
      <c r="D531" s="1">
        <v>13900</v>
      </c>
      <c r="E531" s="1">
        <v>10390</v>
      </c>
      <c r="F531" s="1"/>
      <c r="G531" s="1"/>
      <c r="H531" s="1"/>
      <c r="I531" s="1" t="s">
        <v>10</v>
      </c>
      <c r="J531" s="1">
        <v>903</v>
      </c>
      <c r="K531" s="1"/>
      <c r="L531" s="1">
        <v>1069</v>
      </c>
      <c r="M531" s="1">
        <v>0.59</v>
      </c>
      <c r="N531" s="1">
        <v>5.82</v>
      </c>
      <c r="O531" s="1">
        <v>5.6950000000000003</v>
      </c>
      <c r="P531" s="9"/>
    </row>
    <row r="532" spans="1:16" x14ac:dyDescent="0.25">
      <c r="A532" s="8">
        <v>7</v>
      </c>
      <c r="B532" s="1">
        <v>41</v>
      </c>
      <c r="C532" s="1" t="s">
        <v>75</v>
      </c>
      <c r="D532" s="1">
        <v>13900</v>
      </c>
      <c r="E532" s="1">
        <v>9520</v>
      </c>
      <c r="F532" s="1"/>
      <c r="G532" s="1"/>
      <c r="H532" s="1"/>
      <c r="I532" s="1" t="s">
        <v>13</v>
      </c>
      <c r="J532" s="1">
        <v>876</v>
      </c>
      <c r="K532" s="1"/>
      <c r="L532" s="1">
        <v>1069</v>
      </c>
      <c r="M532" s="1">
        <v>0.59</v>
      </c>
      <c r="N532" s="1">
        <v>5.82</v>
      </c>
      <c r="O532" s="1">
        <v>5.6950000000000003</v>
      </c>
      <c r="P532" s="9"/>
    </row>
    <row r="533" spans="1:16" x14ac:dyDescent="0.25">
      <c r="A533" s="6">
        <v>7</v>
      </c>
      <c r="B533" s="2">
        <v>41</v>
      </c>
      <c r="C533" s="2" t="s">
        <v>116</v>
      </c>
      <c r="D533" s="2">
        <v>14670</v>
      </c>
      <c r="E533" s="2">
        <v>10970</v>
      </c>
      <c r="F533" s="2"/>
      <c r="G533" s="2"/>
      <c r="H533" s="2"/>
      <c r="I533" s="2" t="s">
        <v>10</v>
      </c>
      <c r="J533" s="2">
        <v>952</v>
      </c>
      <c r="K533" s="2"/>
      <c r="L533" s="2">
        <v>1129</v>
      </c>
      <c r="M533" s="2">
        <v>0.59</v>
      </c>
      <c r="N533" s="2">
        <v>5.82</v>
      </c>
      <c r="O533" s="2">
        <v>5.6950000000000003</v>
      </c>
      <c r="P533" s="7"/>
    </row>
    <row r="534" spans="1:16" x14ac:dyDescent="0.25">
      <c r="A534" s="6">
        <v>7</v>
      </c>
      <c r="B534" s="2">
        <v>41</v>
      </c>
      <c r="C534" s="2" t="s">
        <v>116</v>
      </c>
      <c r="D534" s="2">
        <v>14670</v>
      </c>
      <c r="E534" s="2">
        <v>10050</v>
      </c>
      <c r="F534" s="2"/>
      <c r="G534" s="2"/>
      <c r="H534" s="2"/>
      <c r="I534" s="2" t="s">
        <v>13</v>
      </c>
      <c r="J534" s="2">
        <v>920</v>
      </c>
      <c r="K534" s="2"/>
      <c r="L534" s="2">
        <v>1129</v>
      </c>
      <c r="M534" s="2">
        <v>0.59</v>
      </c>
      <c r="N534" s="2">
        <v>5.82</v>
      </c>
      <c r="O534" s="2">
        <v>5.6950000000000003</v>
      </c>
      <c r="P534" s="7"/>
    </row>
    <row r="535" spans="1:16" x14ac:dyDescent="0.25">
      <c r="A535" s="8">
        <v>7</v>
      </c>
      <c r="B535" s="1">
        <v>41</v>
      </c>
      <c r="C535" s="1" t="s">
        <v>80</v>
      </c>
      <c r="D535" s="1">
        <v>14670</v>
      </c>
      <c r="E535" s="1">
        <v>10970</v>
      </c>
      <c r="F535" s="1"/>
      <c r="G535" s="1"/>
      <c r="H535" s="1"/>
      <c r="I535" s="1" t="s">
        <v>10</v>
      </c>
      <c r="J535" s="1">
        <v>950</v>
      </c>
      <c r="K535" s="1"/>
      <c r="L535" s="1">
        <v>1129</v>
      </c>
      <c r="M535" s="1">
        <v>0.59</v>
      </c>
      <c r="N535" s="1">
        <v>5.82</v>
      </c>
      <c r="O535" s="1">
        <v>5.6950000000000003</v>
      </c>
      <c r="P535" s="9"/>
    </row>
    <row r="536" spans="1:16" x14ac:dyDescent="0.25">
      <c r="A536" s="8">
        <v>7</v>
      </c>
      <c r="B536" s="1">
        <v>41</v>
      </c>
      <c r="C536" s="1" t="s">
        <v>80</v>
      </c>
      <c r="D536" s="1">
        <v>14670</v>
      </c>
      <c r="E536" s="1">
        <v>10050</v>
      </c>
      <c r="F536" s="1"/>
      <c r="G536" s="1"/>
      <c r="H536" s="1"/>
      <c r="I536" s="1" t="s">
        <v>13</v>
      </c>
      <c r="J536" s="1">
        <v>920</v>
      </c>
      <c r="K536" s="1"/>
      <c r="L536" s="1">
        <v>1129</v>
      </c>
      <c r="M536" s="1">
        <v>0.59</v>
      </c>
      <c r="N536" s="1">
        <v>5.82</v>
      </c>
      <c r="O536" s="1">
        <v>5.6950000000000003</v>
      </c>
      <c r="P536" s="9"/>
    </row>
    <row r="537" spans="1:16" x14ac:dyDescent="0.25">
      <c r="A537" s="6">
        <v>7</v>
      </c>
      <c r="B537" s="2">
        <v>41</v>
      </c>
      <c r="C537" s="2" t="s">
        <v>113</v>
      </c>
      <c r="D537" s="2">
        <v>16990</v>
      </c>
      <c r="E537" s="2">
        <v>12700</v>
      </c>
      <c r="F537" s="2"/>
      <c r="G537" s="2"/>
      <c r="H537" s="2"/>
      <c r="I537" s="2" t="s">
        <v>10</v>
      </c>
      <c r="J537" s="2">
        <v>1111</v>
      </c>
      <c r="K537" s="2"/>
      <c r="L537" s="2">
        <v>1307</v>
      </c>
      <c r="M537" s="2">
        <v>0.59</v>
      </c>
      <c r="N537" s="2">
        <v>5.82</v>
      </c>
      <c r="O537" s="2">
        <v>5.6950000000000003</v>
      </c>
      <c r="P537" s="7"/>
    </row>
    <row r="538" spans="1:16" x14ac:dyDescent="0.25">
      <c r="A538" s="6">
        <v>7</v>
      </c>
      <c r="B538" s="2">
        <v>41</v>
      </c>
      <c r="C538" s="2" t="s">
        <v>113</v>
      </c>
      <c r="D538" s="2">
        <v>16990</v>
      </c>
      <c r="E538" s="2">
        <v>11640</v>
      </c>
      <c r="F538" s="2"/>
      <c r="G538" s="2"/>
      <c r="H538" s="2"/>
      <c r="I538" s="2" t="s">
        <v>13</v>
      </c>
      <c r="J538" s="2">
        <v>1096</v>
      </c>
      <c r="K538" s="2"/>
      <c r="L538" s="2">
        <v>1307</v>
      </c>
      <c r="M538" s="2">
        <v>0.59</v>
      </c>
      <c r="N538" s="2">
        <v>5.82</v>
      </c>
      <c r="O538" s="2">
        <v>5.6950000000000003</v>
      </c>
      <c r="P538" s="7"/>
    </row>
    <row r="539" spans="1:16" x14ac:dyDescent="0.25">
      <c r="A539" s="8">
        <v>7</v>
      </c>
      <c r="B539" s="1">
        <v>41</v>
      </c>
      <c r="C539" s="1" t="s">
        <v>114</v>
      </c>
      <c r="D539" s="1">
        <v>19300</v>
      </c>
      <c r="E539" s="1">
        <v>14430</v>
      </c>
      <c r="F539" s="1"/>
      <c r="G539" s="1"/>
      <c r="H539" s="1"/>
      <c r="I539" s="1" t="s">
        <v>10</v>
      </c>
      <c r="J539" s="1">
        <v>1244</v>
      </c>
      <c r="K539" s="1"/>
      <c r="L539" s="1">
        <v>1485</v>
      </c>
      <c r="M539" s="1">
        <v>0.59</v>
      </c>
      <c r="N539" s="1">
        <v>5.82</v>
      </c>
      <c r="O539" s="1">
        <v>5.6950000000000003</v>
      </c>
      <c r="P539" s="9"/>
    </row>
    <row r="540" spans="1:16" x14ac:dyDescent="0.25">
      <c r="A540" s="8">
        <v>7</v>
      </c>
      <c r="B540" s="1">
        <v>41</v>
      </c>
      <c r="C540" s="1" t="s">
        <v>114</v>
      </c>
      <c r="D540" s="1">
        <v>19300</v>
      </c>
      <c r="E540" s="1">
        <v>13220</v>
      </c>
      <c r="F540" s="1"/>
      <c r="G540" s="1"/>
      <c r="H540" s="1"/>
      <c r="I540" s="1" t="s">
        <v>13</v>
      </c>
      <c r="J540" s="1">
        <v>1183</v>
      </c>
      <c r="K540" s="1"/>
      <c r="L540" s="1">
        <v>1485</v>
      </c>
      <c r="M540" s="1">
        <v>0.59</v>
      </c>
      <c r="N540" s="1">
        <v>5.82</v>
      </c>
      <c r="O540" s="1">
        <v>5.6950000000000003</v>
      </c>
      <c r="P540" s="9"/>
    </row>
    <row r="541" spans="1:16" x14ac:dyDescent="0.25">
      <c r="A541" s="6">
        <v>7</v>
      </c>
      <c r="B541" s="2">
        <v>41</v>
      </c>
      <c r="C541" s="2" t="s">
        <v>117</v>
      </c>
      <c r="D541" s="2">
        <v>22820</v>
      </c>
      <c r="E541" s="2">
        <v>17320</v>
      </c>
      <c r="F541" s="2"/>
      <c r="G541" s="2"/>
      <c r="H541" s="2"/>
      <c r="I541" s="2" t="s">
        <v>10</v>
      </c>
      <c r="J541" s="2">
        <v>1488</v>
      </c>
      <c r="K541" s="2"/>
      <c r="L541" s="2">
        <v>1782</v>
      </c>
      <c r="M541" s="2">
        <v>0.59</v>
      </c>
      <c r="N541" s="2">
        <v>5.82</v>
      </c>
      <c r="O541" s="2">
        <v>5.6950000000000003</v>
      </c>
      <c r="P541" s="7"/>
    </row>
    <row r="542" spans="1:16" x14ac:dyDescent="0.25">
      <c r="A542" s="6">
        <v>7</v>
      </c>
      <c r="B542" s="2">
        <v>41</v>
      </c>
      <c r="C542" s="2" t="s">
        <v>117</v>
      </c>
      <c r="D542" s="2">
        <v>22820</v>
      </c>
      <c r="E542" s="2">
        <v>15870</v>
      </c>
      <c r="F542" s="2"/>
      <c r="G542" s="2"/>
      <c r="H542" s="2"/>
      <c r="I542" s="2" t="s">
        <v>13</v>
      </c>
      <c r="J542" s="2">
        <v>1402</v>
      </c>
      <c r="K542" s="2"/>
      <c r="L542" s="2">
        <v>1782</v>
      </c>
      <c r="M542" s="2">
        <v>0.59</v>
      </c>
      <c r="N542" s="2">
        <v>5.82</v>
      </c>
      <c r="O542" s="2">
        <v>5.6950000000000003</v>
      </c>
      <c r="P542" s="7"/>
    </row>
    <row r="543" spans="1:16" x14ac:dyDescent="0.25">
      <c r="A543" s="8">
        <v>7</v>
      </c>
      <c r="B543" s="1">
        <v>42.7</v>
      </c>
      <c r="C543" s="1" t="s">
        <v>68</v>
      </c>
      <c r="D543" s="1">
        <v>14640</v>
      </c>
      <c r="E543" s="1">
        <v>14060</v>
      </c>
      <c r="F543" s="1"/>
      <c r="G543" s="1"/>
      <c r="H543" s="1"/>
      <c r="I543" s="1" t="s">
        <v>79</v>
      </c>
      <c r="J543" s="1">
        <v>1127</v>
      </c>
      <c r="K543" s="1"/>
      <c r="L543" s="1">
        <v>1127</v>
      </c>
      <c r="M543" s="1">
        <v>0.625</v>
      </c>
      <c r="N543" s="1">
        <v>5.75</v>
      </c>
      <c r="O543" s="1">
        <v>5.625</v>
      </c>
      <c r="P543" s="9"/>
    </row>
    <row r="544" spans="1:16" x14ac:dyDescent="0.25">
      <c r="A544" s="6">
        <v>7</v>
      </c>
      <c r="B544" s="2">
        <v>42.7</v>
      </c>
      <c r="C544" s="2" t="s">
        <v>116</v>
      </c>
      <c r="D544" s="2">
        <v>15450</v>
      </c>
      <c r="E544" s="2">
        <v>14840</v>
      </c>
      <c r="F544" s="2"/>
      <c r="G544" s="2"/>
      <c r="H544" s="2"/>
      <c r="I544" s="2" t="s">
        <v>79</v>
      </c>
      <c r="J544" s="2">
        <v>1189</v>
      </c>
      <c r="K544" s="2"/>
      <c r="L544" s="2">
        <v>1189</v>
      </c>
      <c r="M544" s="2">
        <v>0.625</v>
      </c>
      <c r="N544" s="2">
        <v>5.75</v>
      </c>
      <c r="O544" s="2">
        <v>5.625</v>
      </c>
      <c r="P544" s="7"/>
    </row>
    <row r="545" spans="1:16" x14ac:dyDescent="0.25">
      <c r="A545" s="8">
        <v>7</v>
      </c>
      <c r="B545" s="1">
        <v>46.4</v>
      </c>
      <c r="C545" s="1" t="s">
        <v>68</v>
      </c>
      <c r="D545" s="1">
        <v>15930</v>
      </c>
      <c r="E545" s="1">
        <v>15460</v>
      </c>
      <c r="F545" s="1"/>
      <c r="G545" s="1"/>
      <c r="H545" s="1"/>
      <c r="I545" s="1" t="s">
        <v>79</v>
      </c>
      <c r="J545" s="1">
        <v>1226</v>
      </c>
      <c r="K545" s="1"/>
      <c r="L545" s="1">
        <v>1226</v>
      </c>
      <c r="M545" s="1">
        <v>0.68700000000000006</v>
      </c>
      <c r="N545" s="1">
        <v>5.6260000000000003</v>
      </c>
      <c r="O545" s="1">
        <v>5.5</v>
      </c>
      <c r="P545" s="9"/>
    </row>
    <row r="546" spans="1:16" x14ac:dyDescent="0.25">
      <c r="A546" s="6">
        <v>7</v>
      </c>
      <c r="B546" s="2">
        <v>46.4</v>
      </c>
      <c r="C546" s="2" t="s">
        <v>116</v>
      </c>
      <c r="D546" s="2">
        <v>16820</v>
      </c>
      <c r="E546" s="2">
        <v>16320</v>
      </c>
      <c r="F546" s="2"/>
      <c r="G546" s="2"/>
      <c r="H546" s="2"/>
      <c r="I546" s="2" t="s">
        <v>79</v>
      </c>
      <c r="J546" s="2">
        <v>1294</v>
      </c>
      <c r="K546" s="2"/>
      <c r="L546" s="2">
        <v>1294</v>
      </c>
      <c r="M546" s="2">
        <v>0.68700000000000006</v>
      </c>
      <c r="N546" s="2">
        <v>5.6260000000000003</v>
      </c>
      <c r="O546" s="2">
        <v>5.5</v>
      </c>
      <c r="P546" s="7"/>
    </row>
    <row r="547" spans="1:16" x14ac:dyDescent="0.25">
      <c r="A547" s="8">
        <v>7</v>
      </c>
      <c r="B547" s="1">
        <v>50.1</v>
      </c>
      <c r="C547" s="1" t="s">
        <v>68</v>
      </c>
      <c r="D547" s="1">
        <v>17220</v>
      </c>
      <c r="E547" s="1">
        <v>16880</v>
      </c>
      <c r="F547" s="1"/>
      <c r="G547" s="1"/>
      <c r="H547" s="1"/>
      <c r="I547" s="1" t="s">
        <v>79</v>
      </c>
      <c r="J547" s="1">
        <v>1325</v>
      </c>
      <c r="K547" s="1"/>
      <c r="L547" s="1">
        <v>1325</v>
      </c>
      <c r="M547" s="1">
        <v>0.75</v>
      </c>
      <c r="N547" s="1">
        <v>5.5</v>
      </c>
      <c r="O547" s="1">
        <v>5.375</v>
      </c>
      <c r="P547" s="9"/>
    </row>
    <row r="548" spans="1:16" x14ac:dyDescent="0.25">
      <c r="A548" s="6">
        <v>7</v>
      </c>
      <c r="B548" s="2">
        <v>50.1</v>
      </c>
      <c r="C548" s="2" t="s">
        <v>116</v>
      </c>
      <c r="D548" s="2">
        <v>18810</v>
      </c>
      <c r="E548" s="2">
        <v>17810</v>
      </c>
      <c r="F548" s="2"/>
      <c r="G548" s="2"/>
      <c r="H548" s="2"/>
      <c r="I548" s="2" t="s">
        <v>79</v>
      </c>
      <c r="J548" s="2">
        <v>1399</v>
      </c>
      <c r="K548" s="2"/>
      <c r="L548" s="2">
        <v>1399</v>
      </c>
      <c r="M548" s="2">
        <v>0.75</v>
      </c>
      <c r="N548" s="2">
        <v>5.5</v>
      </c>
      <c r="O548" s="2">
        <v>5.375</v>
      </c>
      <c r="P548" s="7"/>
    </row>
    <row r="549" spans="1:16" x14ac:dyDescent="0.25">
      <c r="A549" s="8">
        <v>7</v>
      </c>
      <c r="B549" s="1">
        <v>53.6</v>
      </c>
      <c r="C549" s="1" t="s">
        <v>68</v>
      </c>
      <c r="D549" s="1">
        <v>18460</v>
      </c>
      <c r="E549" s="1">
        <v>18270</v>
      </c>
      <c r="F549" s="1"/>
      <c r="G549" s="1"/>
      <c r="H549" s="1"/>
      <c r="I549" s="1" t="s">
        <v>79</v>
      </c>
      <c r="J549" s="1">
        <v>1421</v>
      </c>
      <c r="K549" s="1"/>
      <c r="L549" s="1">
        <v>1421</v>
      </c>
      <c r="M549" s="1">
        <v>0.81200000000000006</v>
      </c>
      <c r="N549" s="1">
        <v>5.3760000000000003</v>
      </c>
      <c r="O549" s="1">
        <v>5.2510000000000003</v>
      </c>
      <c r="P549" s="9"/>
    </row>
    <row r="550" spans="1:16" x14ac:dyDescent="0.25">
      <c r="A550" s="6">
        <v>7</v>
      </c>
      <c r="B550" s="2">
        <v>53.6</v>
      </c>
      <c r="C550" s="2" t="s">
        <v>116</v>
      </c>
      <c r="D550" s="2">
        <v>19480</v>
      </c>
      <c r="E550" s="2">
        <v>19290</v>
      </c>
      <c r="F550" s="2"/>
      <c r="G550" s="2"/>
      <c r="H550" s="2"/>
      <c r="I550" s="2" t="s">
        <v>79</v>
      </c>
      <c r="J550" s="2">
        <v>1500</v>
      </c>
      <c r="K550" s="2"/>
      <c r="L550" s="2">
        <v>1500</v>
      </c>
      <c r="M550" s="2">
        <v>0.81200000000000006</v>
      </c>
      <c r="N550" s="2">
        <v>5.3760000000000003</v>
      </c>
      <c r="O550" s="2">
        <v>5.2510000000000003</v>
      </c>
      <c r="P550" s="7"/>
    </row>
    <row r="551" spans="1:16" x14ac:dyDescent="0.25">
      <c r="A551" s="8">
        <v>7</v>
      </c>
      <c r="B551" s="1">
        <v>57.1</v>
      </c>
      <c r="C551" s="1" t="s">
        <v>68</v>
      </c>
      <c r="D551" s="1">
        <v>19690</v>
      </c>
      <c r="E551" s="1">
        <v>19690</v>
      </c>
      <c r="F551" s="1"/>
      <c r="G551" s="1"/>
      <c r="H551" s="1"/>
      <c r="I551" s="1" t="s">
        <v>79</v>
      </c>
      <c r="J551" s="1">
        <v>1515</v>
      </c>
      <c r="K551" s="1"/>
      <c r="L551" s="1">
        <v>1515</v>
      </c>
      <c r="M551" s="1">
        <v>0.875</v>
      </c>
      <c r="N551" s="1">
        <v>5.25</v>
      </c>
      <c r="O551" s="1">
        <v>5.125</v>
      </c>
      <c r="P551" s="9"/>
    </row>
    <row r="552" spans="1:16" ht="15.75" customHeight="1" thickBot="1" x14ac:dyDescent="0.3">
      <c r="A552" s="13">
        <v>7</v>
      </c>
      <c r="B552" s="14">
        <v>57.1</v>
      </c>
      <c r="C552" s="14" t="s">
        <v>116</v>
      </c>
      <c r="D552" s="14">
        <v>20780</v>
      </c>
      <c r="E552" s="14">
        <v>20780</v>
      </c>
      <c r="F552" s="14"/>
      <c r="G552" s="14"/>
      <c r="H552" s="14"/>
      <c r="I552" s="2" t="s">
        <v>79</v>
      </c>
      <c r="J552" s="14">
        <v>1600</v>
      </c>
      <c r="K552" s="14"/>
      <c r="L552" s="14">
        <v>1600</v>
      </c>
      <c r="M552" s="14">
        <v>0.875</v>
      </c>
      <c r="N552" s="14">
        <v>5.25</v>
      </c>
      <c r="O552" s="14">
        <v>5.125</v>
      </c>
      <c r="P552" s="15"/>
    </row>
    <row r="553" spans="1:16" x14ac:dyDescent="0.25">
      <c r="A553" s="3">
        <v>7.625</v>
      </c>
      <c r="B553" s="4">
        <v>24</v>
      </c>
      <c r="C553" s="4" t="s">
        <v>81</v>
      </c>
      <c r="D553" s="4">
        <v>2030</v>
      </c>
      <c r="E553" s="4">
        <v>2750</v>
      </c>
      <c r="F553" s="4"/>
      <c r="G553" s="4"/>
      <c r="H553" s="4"/>
      <c r="I553" s="4" t="s">
        <v>8</v>
      </c>
      <c r="J553" s="4">
        <v>212</v>
      </c>
      <c r="K553" s="4"/>
      <c r="L553" s="4">
        <v>276</v>
      </c>
      <c r="M553" s="4">
        <v>0.3</v>
      </c>
      <c r="N553" s="4">
        <v>7.0250000000000004</v>
      </c>
      <c r="O553" s="4">
        <v>6.9</v>
      </c>
      <c r="P553" s="5"/>
    </row>
    <row r="554" spans="1:16" x14ac:dyDescent="0.25">
      <c r="A554" s="6">
        <v>7.625</v>
      </c>
      <c r="B554" s="2">
        <v>26.4</v>
      </c>
      <c r="C554" s="2" t="s">
        <v>66</v>
      </c>
      <c r="D554" s="2">
        <v>2890</v>
      </c>
      <c r="E554" s="2">
        <v>4140</v>
      </c>
      <c r="F554" s="2"/>
      <c r="G554" s="2"/>
      <c r="H554" s="2"/>
      <c r="I554" s="2" t="s">
        <v>8</v>
      </c>
      <c r="J554" s="2">
        <v>315</v>
      </c>
      <c r="K554" s="2"/>
      <c r="L554" s="2">
        <v>414</v>
      </c>
      <c r="M554" s="2">
        <v>0.32800000000000001</v>
      </c>
      <c r="N554" s="2">
        <v>6.9690000000000003</v>
      </c>
      <c r="O554" s="2">
        <v>6.8440000000000003</v>
      </c>
      <c r="P554" s="7"/>
    </row>
    <row r="555" spans="1:16" x14ac:dyDescent="0.25">
      <c r="A555" s="6">
        <v>7.625</v>
      </c>
      <c r="B555" s="2">
        <v>26.4</v>
      </c>
      <c r="C555" s="2" t="s">
        <v>66</v>
      </c>
      <c r="D555" s="2">
        <v>2890</v>
      </c>
      <c r="E555" s="2">
        <v>4140</v>
      </c>
      <c r="F555" s="2"/>
      <c r="G555" s="2"/>
      <c r="H555" s="2"/>
      <c r="I555" s="2" t="s">
        <v>10</v>
      </c>
      <c r="J555" s="2">
        <v>346</v>
      </c>
      <c r="K555" s="2"/>
      <c r="L555" s="2">
        <v>414</v>
      </c>
      <c r="M555" s="2">
        <v>0.32800000000000001</v>
      </c>
      <c r="N555" s="2">
        <v>6.9690000000000003</v>
      </c>
      <c r="O555" s="2">
        <v>6.8440000000000003</v>
      </c>
      <c r="P555" s="7"/>
    </row>
    <row r="556" spans="1:16" x14ac:dyDescent="0.25">
      <c r="A556" s="6">
        <v>7.625</v>
      </c>
      <c r="B556" s="2">
        <v>26.4</v>
      </c>
      <c r="C556" s="2" t="s">
        <v>66</v>
      </c>
      <c r="D556" s="2">
        <v>2890</v>
      </c>
      <c r="E556" s="2">
        <v>4140</v>
      </c>
      <c r="F556" s="2"/>
      <c r="G556" s="2"/>
      <c r="H556" s="2"/>
      <c r="I556" s="2" t="s">
        <v>13</v>
      </c>
      <c r="J556" s="2">
        <v>483</v>
      </c>
      <c r="K556" s="2"/>
      <c r="L556" s="2">
        <v>414</v>
      </c>
      <c r="M556" s="2">
        <v>0.32800000000000001</v>
      </c>
      <c r="N556" s="2">
        <v>6.9690000000000003</v>
      </c>
      <c r="O556" s="2">
        <v>6.8440000000000003</v>
      </c>
      <c r="P556" s="7"/>
    </row>
    <row r="557" spans="1:16" x14ac:dyDescent="0.25">
      <c r="A557" s="8">
        <v>7.625</v>
      </c>
      <c r="B557" s="1">
        <v>26.4</v>
      </c>
      <c r="C557" s="1" t="s">
        <v>110</v>
      </c>
      <c r="D557" s="1">
        <v>2890</v>
      </c>
      <c r="E557" s="1">
        <v>4140</v>
      </c>
      <c r="F557" s="1"/>
      <c r="G557" s="1"/>
      <c r="H557" s="1"/>
      <c r="I557" s="1" t="s">
        <v>8</v>
      </c>
      <c r="J557" s="1">
        <v>342</v>
      </c>
      <c r="K557" s="1"/>
      <c r="L557" s="1">
        <v>414</v>
      </c>
      <c r="M557" s="1">
        <v>0.32800000000000001</v>
      </c>
      <c r="N557" s="1">
        <v>6.9690000000000003</v>
      </c>
      <c r="O557" s="1">
        <v>6.8440000000000003</v>
      </c>
      <c r="P557" s="9"/>
    </row>
    <row r="558" spans="1:16" x14ac:dyDescent="0.25">
      <c r="A558" s="8">
        <v>7.625</v>
      </c>
      <c r="B558" s="1">
        <v>26.4</v>
      </c>
      <c r="C558" s="1" t="s">
        <v>110</v>
      </c>
      <c r="D558" s="1">
        <v>2890</v>
      </c>
      <c r="E558" s="1">
        <v>4140</v>
      </c>
      <c r="F558" s="1"/>
      <c r="G558" s="1"/>
      <c r="H558" s="1"/>
      <c r="I558" s="1" t="s">
        <v>10</v>
      </c>
      <c r="J558" s="1">
        <v>377</v>
      </c>
      <c r="K558" s="1"/>
      <c r="L558" s="1">
        <v>414</v>
      </c>
      <c r="M558" s="1">
        <v>0.32800000000000001</v>
      </c>
      <c r="N558" s="1">
        <v>6.9690000000000003</v>
      </c>
      <c r="O558" s="1">
        <v>6.8440000000000003</v>
      </c>
      <c r="P558" s="9"/>
    </row>
    <row r="559" spans="1:16" x14ac:dyDescent="0.25">
      <c r="A559" s="8">
        <v>7.625</v>
      </c>
      <c r="B559" s="1">
        <v>26.4</v>
      </c>
      <c r="C559" s="1" t="s">
        <v>110</v>
      </c>
      <c r="D559" s="1">
        <v>2890</v>
      </c>
      <c r="E559" s="1">
        <v>4140</v>
      </c>
      <c r="F559" s="1"/>
      <c r="G559" s="1"/>
      <c r="H559" s="1"/>
      <c r="I559" s="1" t="s">
        <v>13</v>
      </c>
      <c r="J559" s="1">
        <v>581</v>
      </c>
      <c r="K559" s="1"/>
      <c r="L559" s="1">
        <v>414</v>
      </c>
      <c r="M559" s="1">
        <v>0.32800000000000001</v>
      </c>
      <c r="N559" s="1">
        <v>6.9690000000000003</v>
      </c>
      <c r="O559" s="1">
        <v>6.8440000000000003</v>
      </c>
      <c r="P559" s="9"/>
    </row>
    <row r="560" spans="1:16" x14ac:dyDescent="0.25">
      <c r="A560" s="6">
        <v>7.625</v>
      </c>
      <c r="B560" s="2">
        <v>26.4</v>
      </c>
      <c r="C560" s="2" t="s">
        <v>111</v>
      </c>
      <c r="D560" s="2">
        <v>3400</v>
      </c>
      <c r="E560" s="2">
        <v>6020</v>
      </c>
      <c r="F560" s="2"/>
      <c r="G560" s="2"/>
      <c r="H560" s="2"/>
      <c r="I560" s="2" t="s">
        <v>10</v>
      </c>
      <c r="J560" s="2">
        <v>482</v>
      </c>
      <c r="K560" s="2"/>
      <c r="L560" s="2">
        <v>602</v>
      </c>
      <c r="M560" s="2">
        <v>0.32800000000000001</v>
      </c>
      <c r="N560" s="2">
        <v>6.9690000000000003</v>
      </c>
      <c r="O560" s="2">
        <v>6.8440000000000003</v>
      </c>
      <c r="P560" s="7"/>
    </row>
    <row r="561" spans="1:16" x14ac:dyDescent="0.25">
      <c r="A561" s="6">
        <v>7.625</v>
      </c>
      <c r="B561" s="2">
        <v>26.4</v>
      </c>
      <c r="C561" s="2" t="s">
        <v>111</v>
      </c>
      <c r="D561" s="2">
        <v>3400</v>
      </c>
      <c r="E561" s="2">
        <v>6020</v>
      </c>
      <c r="F561" s="2"/>
      <c r="G561" s="2"/>
      <c r="H561" s="2"/>
      <c r="I561" s="2" t="s">
        <v>13</v>
      </c>
      <c r="J561" s="2">
        <v>635</v>
      </c>
      <c r="K561" s="2"/>
      <c r="L561" s="2">
        <v>602</v>
      </c>
      <c r="M561" s="2">
        <v>0.32800000000000001</v>
      </c>
      <c r="N561" s="2">
        <v>6.9690000000000003</v>
      </c>
      <c r="O561" s="2">
        <v>6.8440000000000003</v>
      </c>
      <c r="P561" s="7"/>
    </row>
    <row r="562" spans="1:16" x14ac:dyDescent="0.25">
      <c r="A562" s="8">
        <v>7.625</v>
      </c>
      <c r="B562" s="1">
        <v>26.4</v>
      </c>
      <c r="C562" s="1" t="s">
        <v>88</v>
      </c>
      <c r="D562" s="1">
        <v>4850</v>
      </c>
      <c r="E562" s="1">
        <v>6020</v>
      </c>
      <c r="F562" s="1"/>
      <c r="G562" s="1"/>
      <c r="H562" s="1"/>
      <c r="I562" s="1" t="s">
        <v>10</v>
      </c>
      <c r="J562" s="1">
        <v>533</v>
      </c>
      <c r="K562" s="1"/>
      <c r="L562" s="1">
        <v>602</v>
      </c>
      <c r="M562" s="1">
        <v>0.32800000000000001</v>
      </c>
      <c r="N562" s="1">
        <v>6.9690000000000003</v>
      </c>
      <c r="O562" s="1">
        <v>6.8440000000000003</v>
      </c>
      <c r="P562" s="9"/>
    </row>
    <row r="563" spans="1:16" x14ac:dyDescent="0.25">
      <c r="A563" s="8">
        <v>7.625</v>
      </c>
      <c r="B563" s="1">
        <v>26.4</v>
      </c>
      <c r="C563" s="1" t="s">
        <v>88</v>
      </c>
      <c r="D563" s="1">
        <v>4850</v>
      </c>
      <c r="E563" s="1">
        <v>6020</v>
      </c>
      <c r="F563" s="1"/>
      <c r="G563" s="1"/>
      <c r="H563" s="1"/>
      <c r="I563" s="1" t="s">
        <v>13</v>
      </c>
      <c r="J563" s="1">
        <v>691</v>
      </c>
      <c r="K563" s="1"/>
      <c r="L563" s="1">
        <v>602</v>
      </c>
      <c r="M563" s="1">
        <v>0.32800000000000001</v>
      </c>
      <c r="N563" s="1">
        <v>6.9690000000000003</v>
      </c>
      <c r="O563" s="1">
        <v>6.8440000000000003</v>
      </c>
      <c r="P563" s="9"/>
    </row>
    <row r="564" spans="1:16" x14ac:dyDescent="0.25">
      <c r="A564" s="6">
        <v>7.625</v>
      </c>
      <c r="B564" s="2">
        <v>26.4</v>
      </c>
      <c r="C564" s="2" t="s">
        <v>112</v>
      </c>
      <c r="D564" s="2">
        <v>3400</v>
      </c>
      <c r="E564" s="2">
        <v>6020</v>
      </c>
      <c r="F564" s="2"/>
      <c r="G564" s="2"/>
      <c r="H564" s="2"/>
      <c r="I564" s="2" t="s">
        <v>10</v>
      </c>
      <c r="J564" s="2">
        <v>490</v>
      </c>
      <c r="K564" s="2"/>
      <c r="L564" s="2">
        <v>602</v>
      </c>
      <c r="M564" s="2">
        <v>0.32800000000000001</v>
      </c>
      <c r="N564" s="2">
        <v>6.9690000000000003</v>
      </c>
      <c r="O564" s="2">
        <v>6.8440000000000003</v>
      </c>
      <c r="P564" s="7"/>
    </row>
    <row r="565" spans="1:16" x14ac:dyDescent="0.25">
      <c r="A565" s="6">
        <v>7.625</v>
      </c>
      <c r="B565" s="2">
        <v>26.4</v>
      </c>
      <c r="C565" s="2" t="s">
        <v>112</v>
      </c>
      <c r="D565" s="2">
        <v>3400</v>
      </c>
      <c r="E565" s="2">
        <v>6020</v>
      </c>
      <c r="F565" s="2"/>
      <c r="G565" s="2"/>
      <c r="H565" s="2"/>
      <c r="I565" s="2" t="s">
        <v>13</v>
      </c>
      <c r="J565" s="2">
        <v>659</v>
      </c>
      <c r="K565" s="2"/>
      <c r="L565" s="2">
        <v>602</v>
      </c>
      <c r="M565" s="2">
        <v>0.32800000000000001</v>
      </c>
      <c r="N565" s="2">
        <v>6.9690000000000003</v>
      </c>
      <c r="O565" s="2">
        <v>6.8440000000000003</v>
      </c>
      <c r="P565" s="7"/>
    </row>
    <row r="566" spans="1:16" x14ac:dyDescent="0.25">
      <c r="A566" s="8">
        <v>7.625</v>
      </c>
      <c r="B566" s="1">
        <v>26.4</v>
      </c>
      <c r="C566" s="1" t="s">
        <v>93</v>
      </c>
      <c r="D566" s="1">
        <v>4850</v>
      </c>
      <c r="E566" s="1">
        <v>6020</v>
      </c>
      <c r="F566" s="1"/>
      <c r="G566" s="1"/>
      <c r="H566" s="1"/>
      <c r="I566" s="1" t="s">
        <v>10</v>
      </c>
      <c r="J566" s="1">
        <v>553</v>
      </c>
      <c r="K566" s="1"/>
      <c r="L566" s="1">
        <v>602</v>
      </c>
      <c r="M566" s="1">
        <v>0.32800000000000001</v>
      </c>
      <c r="N566" s="1">
        <v>6.9690000000000003</v>
      </c>
      <c r="O566" s="1">
        <v>6.8440000000000003</v>
      </c>
      <c r="P566" s="9"/>
    </row>
    <row r="567" spans="1:16" x14ac:dyDescent="0.25">
      <c r="A567" s="8">
        <v>7.625</v>
      </c>
      <c r="B567" s="1">
        <v>26.4</v>
      </c>
      <c r="C567" s="1" t="s">
        <v>93</v>
      </c>
      <c r="D567" s="1">
        <v>4850</v>
      </c>
      <c r="E567" s="1">
        <v>6020</v>
      </c>
      <c r="F567" s="1"/>
      <c r="G567" s="1"/>
      <c r="H567" s="1"/>
      <c r="I567" s="1" t="s">
        <v>13</v>
      </c>
      <c r="J567" s="1">
        <v>691</v>
      </c>
      <c r="K567" s="1"/>
      <c r="L567" s="1">
        <v>602</v>
      </c>
      <c r="M567" s="1">
        <v>0.32800000000000001</v>
      </c>
      <c r="N567" s="1">
        <v>6.9690000000000003</v>
      </c>
      <c r="O567" s="1">
        <v>6.8440000000000003</v>
      </c>
      <c r="P567" s="9"/>
    </row>
    <row r="568" spans="1:16" x14ac:dyDescent="0.25">
      <c r="A568" s="6">
        <v>7.625</v>
      </c>
      <c r="B568" s="2">
        <v>26.4</v>
      </c>
      <c r="C568" s="2" t="s">
        <v>68</v>
      </c>
      <c r="D568" s="2">
        <v>3610</v>
      </c>
      <c r="E568" s="2">
        <v>6780</v>
      </c>
      <c r="F568" s="2"/>
      <c r="G568" s="2"/>
      <c r="H568" s="2"/>
      <c r="I568" s="2" t="s">
        <v>10</v>
      </c>
      <c r="J568" s="2">
        <v>532</v>
      </c>
      <c r="K568" s="2"/>
      <c r="L568" s="2">
        <v>677</v>
      </c>
      <c r="M568" s="2">
        <v>0.32800000000000001</v>
      </c>
      <c r="N568" s="2">
        <v>6.9690000000000003</v>
      </c>
      <c r="O568" s="2">
        <v>6.8440000000000003</v>
      </c>
      <c r="P568" s="7"/>
    </row>
    <row r="569" spans="1:16" x14ac:dyDescent="0.25">
      <c r="A569" s="6">
        <v>7.625</v>
      </c>
      <c r="B569" s="2">
        <v>26.4</v>
      </c>
      <c r="C569" s="2" t="s">
        <v>68</v>
      </c>
      <c r="D569" s="2">
        <v>3610</v>
      </c>
      <c r="E569" s="2">
        <v>6780</v>
      </c>
      <c r="F569" s="2"/>
      <c r="G569" s="2"/>
      <c r="H569" s="2"/>
      <c r="I569" s="2" t="s">
        <v>13</v>
      </c>
      <c r="J569" s="2">
        <v>681</v>
      </c>
      <c r="K569" s="2"/>
      <c r="L569" s="2">
        <v>677</v>
      </c>
      <c r="M569" s="2">
        <v>0.32800000000000001</v>
      </c>
      <c r="N569" s="2">
        <v>6.9690000000000003</v>
      </c>
      <c r="O569" s="2">
        <v>6.8440000000000003</v>
      </c>
      <c r="P569" s="7"/>
    </row>
    <row r="570" spans="1:16" x14ac:dyDescent="0.25">
      <c r="A570" s="8">
        <v>7.625</v>
      </c>
      <c r="B570" s="1">
        <v>26.4</v>
      </c>
      <c r="C570" s="1" t="s">
        <v>75</v>
      </c>
      <c r="D570" s="1">
        <v>4850</v>
      </c>
      <c r="E570" s="1">
        <v>6780</v>
      </c>
      <c r="F570" s="1"/>
      <c r="G570" s="1"/>
      <c r="H570" s="1"/>
      <c r="I570" s="1" t="s">
        <v>10</v>
      </c>
      <c r="J570" s="1">
        <v>553</v>
      </c>
      <c r="K570" s="1"/>
      <c r="L570" s="1">
        <v>677</v>
      </c>
      <c r="M570" s="1">
        <v>0.32800000000000001</v>
      </c>
      <c r="N570" s="1">
        <v>6.9690000000000003</v>
      </c>
      <c r="O570" s="1">
        <v>6.8440000000000003</v>
      </c>
      <c r="P570" s="9"/>
    </row>
    <row r="571" spans="1:16" x14ac:dyDescent="0.25">
      <c r="A571" s="8">
        <v>7.625</v>
      </c>
      <c r="B571" s="1">
        <v>26.4</v>
      </c>
      <c r="C571" s="1" t="s">
        <v>75</v>
      </c>
      <c r="D571" s="1">
        <v>4850</v>
      </c>
      <c r="E571" s="1">
        <v>6780</v>
      </c>
      <c r="F571" s="1"/>
      <c r="G571" s="1"/>
      <c r="H571" s="1"/>
      <c r="I571" s="1" t="s">
        <v>13</v>
      </c>
      <c r="J571" s="1">
        <v>691</v>
      </c>
      <c r="K571" s="1"/>
      <c r="L571" s="1">
        <v>677</v>
      </c>
      <c r="M571" s="1">
        <v>0.32800000000000001</v>
      </c>
      <c r="N571" s="1">
        <v>6.9690000000000003</v>
      </c>
      <c r="O571" s="1">
        <v>6.8440000000000003</v>
      </c>
      <c r="P571" s="9"/>
    </row>
    <row r="572" spans="1:16" x14ac:dyDescent="0.25">
      <c r="A572" s="6">
        <v>7.625</v>
      </c>
      <c r="B572" s="2">
        <v>26.4</v>
      </c>
      <c r="C572" s="2" t="s">
        <v>115</v>
      </c>
      <c r="D572" s="2">
        <v>4850</v>
      </c>
      <c r="E572" s="2">
        <v>7150</v>
      </c>
      <c r="F572" s="2"/>
      <c r="G572" s="2"/>
      <c r="H572" s="2"/>
      <c r="I572" s="2" t="s">
        <v>10</v>
      </c>
      <c r="J572" s="2">
        <v>568</v>
      </c>
      <c r="K572" s="2"/>
      <c r="L572" s="2">
        <v>714</v>
      </c>
      <c r="M572" s="2">
        <v>0.32800000000000001</v>
      </c>
      <c r="N572" s="2">
        <v>6.9690000000000003</v>
      </c>
      <c r="O572" s="2">
        <v>6.8440000000000003</v>
      </c>
      <c r="P572" s="7"/>
    </row>
    <row r="573" spans="1:16" x14ac:dyDescent="0.25">
      <c r="A573" s="6">
        <v>7.625</v>
      </c>
      <c r="B573" s="2">
        <v>26.4</v>
      </c>
      <c r="C573" s="2" t="s">
        <v>115</v>
      </c>
      <c r="D573" s="2">
        <v>4850</v>
      </c>
      <c r="E573" s="2">
        <v>7150</v>
      </c>
      <c r="F573" s="2"/>
      <c r="G573" s="2"/>
      <c r="H573" s="2"/>
      <c r="I573" s="2" t="s">
        <v>13</v>
      </c>
      <c r="J573" s="2">
        <v>740</v>
      </c>
      <c r="K573" s="2"/>
      <c r="L573" s="2">
        <v>714</v>
      </c>
      <c r="M573" s="2">
        <v>0.32800000000000001</v>
      </c>
      <c r="N573" s="2">
        <v>6.9690000000000003</v>
      </c>
      <c r="O573" s="2">
        <v>6.8440000000000003</v>
      </c>
      <c r="P573" s="7"/>
    </row>
    <row r="574" spans="1:16" x14ac:dyDescent="0.25">
      <c r="A574" s="8">
        <v>7.625</v>
      </c>
      <c r="B574" s="1">
        <v>26.4</v>
      </c>
      <c r="C574" s="1" t="s">
        <v>116</v>
      </c>
      <c r="D574" s="1">
        <v>3710</v>
      </c>
      <c r="E574" s="1">
        <v>7150</v>
      </c>
      <c r="F574" s="1"/>
      <c r="G574" s="1"/>
      <c r="H574" s="1"/>
      <c r="I574" s="1" t="s">
        <v>10</v>
      </c>
      <c r="J574" s="1">
        <v>560</v>
      </c>
      <c r="K574" s="1"/>
      <c r="L574" s="1">
        <v>714</v>
      </c>
      <c r="M574" s="1">
        <v>0.32800000000000001</v>
      </c>
      <c r="N574" s="1">
        <v>6.9690000000000003</v>
      </c>
      <c r="O574" s="1">
        <v>6.8440000000000003</v>
      </c>
      <c r="P574" s="9"/>
    </row>
    <row r="575" spans="1:16" x14ac:dyDescent="0.25">
      <c r="A575" s="8">
        <v>7.625</v>
      </c>
      <c r="B575" s="1">
        <v>26.4</v>
      </c>
      <c r="C575" s="1" t="s">
        <v>116</v>
      </c>
      <c r="D575" s="1">
        <v>3710</v>
      </c>
      <c r="E575" s="1">
        <v>7150</v>
      </c>
      <c r="F575" s="1"/>
      <c r="G575" s="1"/>
      <c r="H575" s="1"/>
      <c r="I575" s="1" t="s">
        <v>13</v>
      </c>
      <c r="J575" s="1">
        <v>716</v>
      </c>
      <c r="K575" s="1"/>
      <c r="L575" s="1">
        <v>714</v>
      </c>
      <c r="M575" s="1">
        <v>0.32800000000000001</v>
      </c>
      <c r="N575" s="1">
        <v>6.9690000000000003</v>
      </c>
      <c r="O575" s="1">
        <v>6.8440000000000003</v>
      </c>
      <c r="P575" s="9"/>
    </row>
    <row r="576" spans="1:16" x14ac:dyDescent="0.25">
      <c r="A576" s="6">
        <v>7.625</v>
      </c>
      <c r="B576" s="2">
        <v>26.4</v>
      </c>
      <c r="C576" s="2" t="s">
        <v>80</v>
      </c>
      <c r="D576" s="2">
        <v>4850</v>
      </c>
      <c r="E576" s="2">
        <v>7150</v>
      </c>
      <c r="F576" s="2"/>
      <c r="G576" s="2"/>
      <c r="H576" s="2"/>
      <c r="I576" s="2" t="s">
        <v>10</v>
      </c>
      <c r="J576" s="2">
        <v>560</v>
      </c>
      <c r="K576" s="2"/>
      <c r="L576" s="2">
        <v>714</v>
      </c>
      <c r="M576" s="2">
        <v>0.32800000000000001</v>
      </c>
      <c r="N576" s="2">
        <v>6.9690000000000003</v>
      </c>
      <c r="O576" s="2">
        <v>6.8440000000000003</v>
      </c>
      <c r="P576" s="7"/>
    </row>
    <row r="577" spans="1:16" x14ac:dyDescent="0.25">
      <c r="A577" s="6">
        <v>7.625</v>
      </c>
      <c r="B577" s="2">
        <v>26.4</v>
      </c>
      <c r="C577" s="2" t="s">
        <v>80</v>
      </c>
      <c r="D577" s="2">
        <v>4850</v>
      </c>
      <c r="E577" s="2">
        <v>7150</v>
      </c>
      <c r="F577" s="2"/>
      <c r="G577" s="2"/>
      <c r="H577" s="2"/>
      <c r="I577" s="2" t="s">
        <v>13</v>
      </c>
      <c r="J577" s="2">
        <v>716</v>
      </c>
      <c r="K577" s="2"/>
      <c r="L577" s="2">
        <v>714</v>
      </c>
      <c r="M577" s="2">
        <v>0.32800000000000001</v>
      </c>
      <c r="N577" s="2">
        <v>6.9690000000000003</v>
      </c>
      <c r="O577" s="2">
        <v>6.8440000000000003</v>
      </c>
      <c r="P577" s="7"/>
    </row>
    <row r="578" spans="1:16" x14ac:dyDescent="0.25">
      <c r="A578" s="8">
        <v>7.625</v>
      </c>
      <c r="B578" s="1">
        <v>26.4</v>
      </c>
      <c r="C578" s="1" t="s">
        <v>74</v>
      </c>
      <c r="D578" s="1">
        <v>3710</v>
      </c>
      <c r="E578" s="1">
        <v>7150</v>
      </c>
      <c r="F578" s="1"/>
      <c r="G578" s="1"/>
      <c r="H578" s="1"/>
      <c r="I578" s="1" t="s">
        <v>10</v>
      </c>
      <c r="J578" s="1">
        <v>560</v>
      </c>
      <c r="K578" s="1"/>
      <c r="L578" s="1">
        <v>714</v>
      </c>
      <c r="M578" s="1">
        <v>0.32800000000000001</v>
      </c>
      <c r="N578" s="1">
        <v>6.9690000000000003</v>
      </c>
      <c r="O578" s="1">
        <v>6.8440000000000003</v>
      </c>
      <c r="P578" s="9"/>
    </row>
    <row r="579" spans="1:16" x14ac:dyDescent="0.25">
      <c r="A579" s="8">
        <v>7.625</v>
      </c>
      <c r="B579" s="1">
        <v>26.4</v>
      </c>
      <c r="C579" s="1" t="s">
        <v>74</v>
      </c>
      <c r="D579" s="1">
        <v>3710</v>
      </c>
      <c r="E579" s="1">
        <v>7150</v>
      </c>
      <c r="F579" s="1"/>
      <c r="G579" s="1"/>
      <c r="H579" s="1"/>
      <c r="I579" s="1" t="s">
        <v>13</v>
      </c>
      <c r="J579" s="1">
        <v>716</v>
      </c>
      <c r="K579" s="1"/>
      <c r="L579" s="1">
        <v>714</v>
      </c>
      <c r="M579" s="1">
        <v>0.32800000000000001</v>
      </c>
      <c r="N579" s="1">
        <v>6.9690000000000003</v>
      </c>
      <c r="O579" s="1">
        <v>6.8440000000000003</v>
      </c>
      <c r="P579" s="9"/>
    </row>
    <row r="580" spans="1:16" x14ac:dyDescent="0.25">
      <c r="A580" s="6">
        <v>7.625</v>
      </c>
      <c r="B580" s="2">
        <v>26.4</v>
      </c>
      <c r="C580" s="2" t="s">
        <v>97</v>
      </c>
      <c r="D580" s="2">
        <v>4850</v>
      </c>
      <c r="E580" s="2">
        <v>8280</v>
      </c>
      <c r="F580" s="2"/>
      <c r="G580" s="2"/>
      <c r="H580" s="2"/>
      <c r="I580" s="2" t="s">
        <v>10</v>
      </c>
      <c r="J580" s="2">
        <v>654</v>
      </c>
      <c r="K580" s="2"/>
      <c r="L580" s="2">
        <v>827</v>
      </c>
      <c r="M580" s="2">
        <v>0.32800000000000001</v>
      </c>
      <c r="N580" s="2">
        <v>6.9690000000000003</v>
      </c>
      <c r="O580" s="2">
        <v>6.8440000000000003</v>
      </c>
      <c r="P580" s="7"/>
    </row>
    <row r="581" spans="1:16" x14ac:dyDescent="0.25">
      <c r="A581" s="6">
        <v>7.625</v>
      </c>
      <c r="B581" s="2">
        <v>26.4</v>
      </c>
      <c r="C581" s="2" t="s">
        <v>97</v>
      </c>
      <c r="D581" s="2">
        <v>4850</v>
      </c>
      <c r="E581" s="2">
        <v>8280</v>
      </c>
      <c r="F581" s="2"/>
      <c r="G581" s="2"/>
      <c r="H581" s="2"/>
      <c r="I581" s="2" t="s">
        <v>13</v>
      </c>
      <c r="J581" s="2">
        <v>845</v>
      </c>
      <c r="K581" s="2"/>
      <c r="L581" s="2">
        <v>827</v>
      </c>
      <c r="M581" s="2">
        <v>0.32800000000000001</v>
      </c>
      <c r="N581" s="2">
        <v>6.9690000000000003</v>
      </c>
      <c r="O581" s="2">
        <v>6.8440000000000003</v>
      </c>
      <c r="P581" s="7"/>
    </row>
    <row r="582" spans="1:16" x14ac:dyDescent="0.25">
      <c r="A582" s="8">
        <v>7.625</v>
      </c>
      <c r="B582" s="1">
        <v>26.4</v>
      </c>
      <c r="C582" s="1" t="s">
        <v>113</v>
      </c>
      <c r="D582" s="1">
        <v>3920</v>
      </c>
      <c r="E582" s="1">
        <v>8280</v>
      </c>
      <c r="F582" s="1"/>
      <c r="G582" s="1"/>
      <c r="H582" s="1"/>
      <c r="I582" s="1" t="s">
        <v>10</v>
      </c>
      <c r="J582" s="1">
        <v>654</v>
      </c>
      <c r="K582" s="1"/>
      <c r="L582" s="1">
        <v>827</v>
      </c>
      <c r="M582" s="1">
        <v>0.32800000000000001</v>
      </c>
      <c r="N582" s="1">
        <v>6.9690000000000003</v>
      </c>
      <c r="O582" s="1">
        <v>6.8440000000000003</v>
      </c>
      <c r="P582" s="9"/>
    </row>
    <row r="583" spans="1:16" x14ac:dyDescent="0.25">
      <c r="A583" s="8">
        <v>7.625</v>
      </c>
      <c r="B583" s="1">
        <v>26.4</v>
      </c>
      <c r="C583" s="1" t="s">
        <v>113</v>
      </c>
      <c r="D583" s="1">
        <v>3920</v>
      </c>
      <c r="E583" s="1">
        <v>8280</v>
      </c>
      <c r="F583" s="1"/>
      <c r="G583" s="1"/>
      <c r="H583" s="1"/>
      <c r="I583" s="1" t="s">
        <v>13</v>
      </c>
      <c r="J583" s="1">
        <v>845</v>
      </c>
      <c r="K583" s="1"/>
      <c r="L583" s="1">
        <v>827</v>
      </c>
      <c r="M583" s="1">
        <v>0.32800000000000001</v>
      </c>
      <c r="N583" s="1">
        <v>6.9690000000000003</v>
      </c>
      <c r="O583" s="1">
        <v>6.8440000000000003</v>
      </c>
      <c r="P583" s="9"/>
    </row>
    <row r="584" spans="1:16" x14ac:dyDescent="0.25">
      <c r="A584" s="6">
        <v>7.625</v>
      </c>
      <c r="B584" s="2">
        <v>29.7</v>
      </c>
      <c r="C584" s="2" t="s">
        <v>111</v>
      </c>
      <c r="D584" s="2">
        <v>4790</v>
      </c>
      <c r="E584" s="2">
        <v>6890</v>
      </c>
      <c r="F584" s="2"/>
      <c r="G584" s="2"/>
      <c r="H584" s="2"/>
      <c r="I584" s="2" t="s">
        <v>10</v>
      </c>
      <c r="J584" s="2">
        <v>566</v>
      </c>
      <c r="K584" s="2"/>
      <c r="L584" s="2">
        <v>683</v>
      </c>
      <c r="M584" s="2">
        <v>0.375</v>
      </c>
      <c r="N584" s="2">
        <v>6.875</v>
      </c>
      <c r="O584" s="2">
        <v>6.75</v>
      </c>
      <c r="P584" s="7"/>
    </row>
    <row r="585" spans="1:16" x14ac:dyDescent="0.25">
      <c r="A585" s="6">
        <v>7.625</v>
      </c>
      <c r="B585" s="2">
        <v>29.7</v>
      </c>
      <c r="C585" s="2" t="s">
        <v>111</v>
      </c>
      <c r="D585" s="2">
        <v>4790</v>
      </c>
      <c r="E585" s="2">
        <v>6890</v>
      </c>
      <c r="F585" s="2"/>
      <c r="G585" s="2"/>
      <c r="H585" s="2"/>
      <c r="I585" s="2" t="s">
        <v>13</v>
      </c>
      <c r="J585" s="2">
        <v>721</v>
      </c>
      <c r="K585" s="2"/>
      <c r="L585" s="2">
        <v>683</v>
      </c>
      <c r="M585" s="2">
        <v>0.375</v>
      </c>
      <c r="N585" s="2">
        <v>6.875</v>
      </c>
      <c r="O585" s="2">
        <v>6.75</v>
      </c>
      <c r="P585" s="7"/>
    </row>
    <row r="586" spans="1:16" x14ac:dyDescent="0.25">
      <c r="A586" s="8">
        <v>7.625</v>
      </c>
      <c r="B586" s="1">
        <v>29.7</v>
      </c>
      <c r="C586" s="1" t="s">
        <v>88</v>
      </c>
      <c r="D586" s="1">
        <v>7150</v>
      </c>
      <c r="E586" s="1">
        <v>6890</v>
      </c>
      <c r="F586" s="1"/>
      <c r="G586" s="1"/>
      <c r="H586" s="1"/>
      <c r="I586" s="1" t="s">
        <v>10</v>
      </c>
      <c r="J586" s="1">
        <v>650</v>
      </c>
      <c r="K586" s="1"/>
      <c r="L586" s="1">
        <v>683</v>
      </c>
      <c r="M586" s="1">
        <v>0.375</v>
      </c>
      <c r="N586" s="1">
        <v>6.875</v>
      </c>
      <c r="O586" s="1">
        <v>6.75</v>
      </c>
      <c r="P586" s="9"/>
    </row>
    <row r="587" spans="1:16" x14ac:dyDescent="0.25">
      <c r="A587" s="8">
        <v>7.625</v>
      </c>
      <c r="B587" s="1">
        <v>29.7</v>
      </c>
      <c r="C587" s="1" t="s">
        <v>88</v>
      </c>
      <c r="D587" s="1">
        <v>7150</v>
      </c>
      <c r="E587" s="1">
        <v>6890</v>
      </c>
      <c r="F587" s="1"/>
      <c r="G587" s="1"/>
      <c r="H587" s="1"/>
      <c r="I587" s="1" t="s">
        <v>13</v>
      </c>
      <c r="J587" s="1">
        <v>785</v>
      </c>
      <c r="K587" s="1"/>
      <c r="L587" s="1">
        <v>683</v>
      </c>
      <c r="M587" s="1">
        <v>0.375</v>
      </c>
      <c r="N587" s="1">
        <v>6.875</v>
      </c>
      <c r="O587" s="1">
        <v>6.75</v>
      </c>
      <c r="P587" s="9"/>
    </row>
    <row r="588" spans="1:16" x14ac:dyDescent="0.25">
      <c r="A588" s="6">
        <v>7.625</v>
      </c>
      <c r="B588" s="2">
        <v>29.7</v>
      </c>
      <c r="C588" s="2" t="s">
        <v>112</v>
      </c>
      <c r="D588" s="2">
        <v>4790</v>
      </c>
      <c r="E588" s="2">
        <v>6890</v>
      </c>
      <c r="F588" s="2"/>
      <c r="G588" s="2"/>
      <c r="H588" s="2"/>
      <c r="I588" s="2" t="s">
        <v>10</v>
      </c>
      <c r="J588" s="2">
        <v>575</v>
      </c>
      <c r="K588" s="2"/>
      <c r="L588" s="2">
        <v>683</v>
      </c>
      <c r="M588" s="2">
        <v>0.375</v>
      </c>
      <c r="N588" s="2">
        <v>6.875</v>
      </c>
      <c r="O588" s="2">
        <v>6.75</v>
      </c>
      <c r="P588" s="7"/>
    </row>
    <row r="589" spans="1:16" x14ac:dyDescent="0.25">
      <c r="A589" s="6">
        <v>7.625</v>
      </c>
      <c r="B589" s="2">
        <v>29.7</v>
      </c>
      <c r="C589" s="2" t="s">
        <v>112</v>
      </c>
      <c r="D589" s="2">
        <v>4790</v>
      </c>
      <c r="E589" s="2">
        <v>6890</v>
      </c>
      <c r="F589" s="2"/>
      <c r="G589" s="2"/>
      <c r="H589" s="2"/>
      <c r="I589" s="2" t="s">
        <v>13</v>
      </c>
      <c r="J589" s="2">
        <v>749</v>
      </c>
      <c r="K589" s="2"/>
      <c r="L589" s="2">
        <v>683</v>
      </c>
      <c r="M589" s="2">
        <v>0.375</v>
      </c>
      <c r="N589" s="2">
        <v>6.875</v>
      </c>
      <c r="O589" s="2">
        <v>6.75</v>
      </c>
      <c r="P589" s="7"/>
    </row>
    <row r="590" spans="1:16" x14ac:dyDescent="0.25">
      <c r="A590" s="8">
        <v>7.625</v>
      </c>
      <c r="B590" s="1">
        <v>29.7</v>
      </c>
      <c r="C590" s="1" t="s">
        <v>93</v>
      </c>
      <c r="D590" s="1">
        <v>7150</v>
      </c>
      <c r="E590" s="1">
        <v>6890</v>
      </c>
      <c r="F590" s="1"/>
      <c r="G590" s="1"/>
      <c r="H590" s="1"/>
      <c r="I590" s="1" t="s">
        <v>10</v>
      </c>
      <c r="J590" s="1">
        <v>650</v>
      </c>
      <c r="K590" s="1"/>
      <c r="L590" s="1">
        <v>683</v>
      </c>
      <c r="M590" s="1">
        <v>0.375</v>
      </c>
      <c r="N590" s="1">
        <v>6.875</v>
      </c>
      <c r="O590" s="1">
        <v>6.75</v>
      </c>
      <c r="P590" s="9"/>
    </row>
    <row r="591" spans="1:16" x14ac:dyDescent="0.25">
      <c r="A591" s="8">
        <v>7.625</v>
      </c>
      <c r="B591" s="1">
        <v>29.7</v>
      </c>
      <c r="C591" s="1" t="s">
        <v>93</v>
      </c>
      <c r="D591" s="1">
        <v>7150</v>
      </c>
      <c r="E591" s="1">
        <v>6890</v>
      </c>
      <c r="F591" s="1"/>
      <c r="G591" s="1"/>
      <c r="H591" s="1"/>
      <c r="I591" s="1" t="s">
        <v>13</v>
      </c>
      <c r="J591" s="1">
        <v>785</v>
      </c>
      <c r="K591" s="1"/>
      <c r="L591" s="1">
        <v>683</v>
      </c>
      <c r="M591" s="1">
        <v>0.375</v>
      </c>
      <c r="N591" s="1">
        <v>6.875</v>
      </c>
      <c r="O591" s="1">
        <v>6.75</v>
      </c>
      <c r="P591" s="9"/>
    </row>
    <row r="592" spans="1:16" x14ac:dyDescent="0.25">
      <c r="A592" s="6">
        <v>7.625</v>
      </c>
      <c r="B592" s="2">
        <v>29.7</v>
      </c>
      <c r="C592" s="2" t="s">
        <v>68</v>
      </c>
      <c r="D592" s="2">
        <v>5040</v>
      </c>
      <c r="E592" s="2">
        <v>7750</v>
      </c>
      <c r="F592" s="2"/>
      <c r="G592" s="2"/>
      <c r="H592" s="2"/>
      <c r="I592" s="2" t="s">
        <v>10</v>
      </c>
      <c r="J592" s="2">
        <v>625</v>
      </c>
      <c r="K592" s="2"/>
      <c r="L592" s="2">
        <v>769</v>
      </c>
      <c r="M592" s="2">
        <v>0.375</v>
      </c>
      <c r="N592" s="2">
        <v>6.875</v>
      </c>
      <c r="O592" s="2">
        <v>6.75</v>
      </c>
      <c r="P592" s="7"/>
    </row>
    <row r="593" spans="1:16" x14ac:dyDescent="0.25">
      <c r="A593" s="6">
        <v>7.625</v>
      </c>
      <c r="B593" s="2">
        <v>29.7</v>
      </c>
      <c r="C593" s="2" t="s">
        <v>68</v>
      </c>
      <c r="D593" s="2">
        <v>5040</v>
      </c>
      <c r="E593" s="2">
        <v>7750</v>
      </c>
      <c r="F593" s="2"/>
      <c r="G593" s="2"/>
      <c r="H593" s="2"/>
      <c r="I593" s="2" t="s">
        <v>13</v>
      </c>
      <c r="J593" s="2">
        <v>773</v>
      </c>
      <c r="K593" s="2"/>
      <c r="L593" s="2">
        <v>769</v>
      </c>
      <c r="M593" s="2">
        <v>0.375</v>
      </c>
      <c r="N593" s="2">
        <v>6.875</v>
      </c>
      <c r="O593" s="2">
        <v>6.75</v>
      </c>
      <c r="P593" s="7"/>
    </row>
    <row r="594" spans="1:16" x14ac:dyDescent="0.25">
      <c r="A594" s="8">
        <v>7.625</v>
      </c>
      <c r="B594" s="1">
        <v>29.7</v>
      </c>
      <c r="C594" s="1" t="s">
        <v>75</v>
      </c>
      <c r="D594" s="1">
        <v>7150</v>
      </c>
      <c r="E594" s="1">
        <v>7750</v>
      </c>
      <c r="F594" s="1"/>
      <c r="G594" s="1"/>
      <c r="H594" s="1"/>
      <c r="I594" s="1" t="s">
        <v>10</v>
      </c>
      <c r="J594" s="1">
        <v>650</v>
      </c>
      <c r="K594" s="1"/>
      <c r="L594" s="1">
        <v>769</v>
      </c>
      <c r="M594" s="1">
        <v>0.375</v>
      </c>
      <c r="N594" s="1">
        <v>6.875</v>
      </c>
      <c r="O594" s="1">
        <v>6.75</v>
      </c>
      <c r="P594" s="9"/>
    </row>
    <row r="595" spans="1:16" x14ac:dyDescent="0.25">
      <c r="A595" s="8">
        <v>7.625</v>
      </c>
      <c r="B595" s="1">
        <v>29.7</v>
      </c>
      <c r="C595" s="1" t="s">
        <v>75</v>
      </c>
      <c r="D595" s="1">
        <v>7150</v>
      </c>
      <c r="E595" s="1">
        <v>7750</v>
      </c>
      <c r="F595" s="1"/>
      <c r="G595" s="1"/>
      <c r="H595" s="1"/>
      <c r="I595" s="1" t="s">
        <v>13</v>
      </c>
      <c r="J595" s="1">
        <v>785</v>
      </c>
      <c r="K595" s="1"/>
      <c r="L595" s="1">
        <v>769</v>
      </c>
      <c r="M595" s="1">
        <v>0.375</v>
      </c>
      <c r="N595" s="1">
        <v>6.875</v>
      </c>
      <c r="O595" s="1">
        <v>6.75</v>
      </c>
      <c r="P595" s="9"/>
    </row>
    <row r="596" spans="1:16" x14ac:dyDescent="0.25">
      <c r="A596" s="6">
        <v>7.625</v>
      </c>
      <c r="B596" s="2">
        <v>29.7</v>
      </c>
      <c r="C596" s="2" t="s">
        <v>115</v>
      </c>
      <c r="D596" s="2">
        <v>7150</v>
      </c>
      <c r="E596" s="2">
        <v>8180</v>
      </c>
      <c r="F596" s="2"/>
      <c r="G596" s="2"/>
      <c r="H596" s="2"/>
      <c r="I596" s="2" t="s">
        <v>10</v>
      </c>
      <c r="J596" s="2">
        <v>668</v>
      </c>
      <c r="K596" s="2"/>
      <c r="L596" s="2">
        <v>811</v>
      </c>
      <c r="M596" s="2">
        <v>0.375</v>
      </c>
      <c r="N596" s="2">
        <v>6.875</v>
      </c>
      <c r="O596" s="2">
        <v>6.75</v>
      </c>
      <c r="P596" s="7"/>
    </row>
    <row r="597" spans="1:16" x14ac:dyDescent="0.25">
      <c r="A597" s="6">
        <v>7.625</v>
      </c>
      <c r="B597" s="2">
        <v>29.7</v>
      </c>
      <c r="C597" s="2" t="s">
        <v>115</v>
      </c>
      <c r="D597" s="2">
        <v>7150</v>
      </c>
      <c r="E597" s="2">
        <v>8180</v>
      </c>
      <c r="F597" s="2"/>
      <c r="G597" s="2"/>
      <c r="H597" s="2"/>
      <c r="I597" s="2" t="s">
        <v>13</v>
      </c>
      <c r="J597" s="2">
        <v>841</v>
      </c>
      <c r="K597" s="2"/>
      <c r="L597" s="2">
        <v>811</v>
      </c>
      <c r="M597" s="2">
        <v>0.375</v>
      </c>
      <c r="N597" s="2">
        <v>6.875</v>
      </c>
      <c r="O597" s="2">
        <v>6.75</v>
      </c>
      <c r="P597" s="7"/>
    </row>
    <row r="598" spans="1:16" x14ac:dyDescent="0.25">
      <c r="A598" s="8">
        <v>7.625</v>
      </c>
      <c r="B598" s="1">
        <v>29.7</v>
      </c>
      <c r="C598" s="1" t="s">
        <v>116</v>
      </c>
      <c r="D598" s="1">
        <v>5140</v>
      </c>
      <c r="E598" s="1">
        <v>8180</v>
      </c>
      <c r="F598" s="1"/>
      <c r="G598" s="1"/>
      <c r="H598" s="1"/>
      <c r="I598" s="1" t="s">
        <v>10</v>
      </c>
      <c r="J598" s="1">
        <v>659</v>
      </c>
      <c r="K598" s="1"/>
      <c r="L598" s="1">
        <v>811</v>
      </c>
      <c r="M598" s="1">
        <v>0.375</v>
      </c>
      <c r="N598" s="1">
        <v>6.875</v>
      </c>
      <c r="O598" s="1">
        <v>6.75</v>
      </c>
      <c r="P598" s="9"/>
    </row>
    <row r="599" spans="1:16" x14ac:dyDescent="0.25">
      <c r="A599" s="8">
        <v>7.625</v>
      </c>
      <c r="B599" s="1">
        <v>29.7</v>
      </c>
      <c r="C599" s="1" t="s">
        <v>116</v>
      </c>
      <c r="D599" s="1">
        <v>5140</v>
      </c>
      <c r="E599" s="1">
        <v>8180</v>
      </c>
      <c r="F599" s="1"/>
      <c r="G599" s="1"/>
      <c r="H599" s="1"/>
      <c r="I599" s="1" t="s">
        <v>13</v>
      </c>
      <c r="J599" s="1">
        <v>813</v>
      </c>
      <c r="K599" s="1"/>
      <c r="L599" s="1">
        <v>811</v>
      </c>
      <c r="M599" s="1">
        <v>0.375</v>
      </c>
      <c r="N599" s="1">
        <v>6.875</v>
      </c>
      <c r="O599" s="1">
        <v>6.75</v>
      </c>
      <c r="P599" s="9"/>
    </row>
    <row r="600" spans="1:16" x14ac:dyDescent="0.25">
      <c r="A600" s="6">
        <v>7.625</v>
      </c>
      <c r="B600" s="2">
        <v>29.7</v>
      </c>
      <c r="C600" s="2" t="s">
        <v>80</v>
      </c>
      <c r="D600" s="2">
        <v>7150</v>
      </c>
      <c r="E600" s="2">
        <v>8180</v>
      </c>
      <c r="F600" s="2"/>
      <c r="G600" s="2"/>
      <c r="H600" s="2"/>
      <c r="I600" s="2" t="s">
        <v>10</v>
      </c>
      <c r="J600" s="2">
        <v>659</v>
      </c>
      <c r="K600" s="2"/>
      <c r="L600" s="2">
        <v>811</v>
      </c>
      <c r="M600" s="2">
        <v>0.375</v>
      </c>
      <c r="N600" s="2">
        <v>6.875</v>
      </c>
      <c r="O600" s="2">
        <v>6.75</v>
      </c>
      <c r="P600" s="7"/>
    </row>
    <row r="601" spans="1:16" x14ac:dyDescent="0.25">
      <c r="A601" s="6">
        <v>7.625</v>
      </c>
      <c r="B601" s="2">
        <v>29.7</v>
      </c>
      <c r="C601" s="2" t="s">
        <v>80</v>
      </c>
      <c r="D601" s="2">
        <v>7150</v>
      </c>
      <c r="E601" s="2">
        <v>8180</v>
      </c>
      <c r="F601" s="2"/>
      <c r="G601" s="2"/>
      <c r="H601" s="2"/>
      <c r="I601" s="2" t="s">
        <v>13</v>
      </c>
      <c r="J601" s="2">
        <v>813</v>
      </c>
      <c r="K601" s="2"/>
      <c r="L601" s="2">
        <v>811</v>
      </c>
      <c r="M601" s="2">
        <v>0.375</v>
      </c>
      <c r="N601" s="2">
        <v>6.875</v>
      </c>
      <c r="O601" s="2">
        <v>6.75</v>
      </c>
      <c r="P601" s="7"/>
    </row>
    <row r="602" spans="1:16" x14ac:dyDescent="0.25">
      <c r="A602" s="8">
        <v>7.625</v>
      </c>
      <c r="B602" s="1">
        <v>29.7</v>
      </c>
      <c r="C602" s="1" t="s">
        <v>74</v>
      </c>
      <c r="D602" s="1">
        <v>5140</v>
      </c>
      <c r="E602" s="1">
        <v>8180</v>
      </c>
      <c r="F602" s="1"/>
      <c r="G602" s="1"/>
      <c r="H602" s="1"/>
      <c r="I602" s="1" t="s">
        <v>10</v>
      </c>
      <c r="J602" s="1">
        <v>659</v>
      </c>
      <c r="K602" s="1"/>
      <c r="L602" s="1">
        <v>811</v>
      </c>
      <c r="M602" s="1">
        <v>0.375</v>
      </c>
      <c r="N602" s="1">
        <v>6.875</v>
      </c>
      <c r="O602" s="1">
        <v>6.75</v>
      </c>
      <c r="P602" s="9"/>
    </row>
    <row r="603" spans="1:16" x14ac:dyDescent="0.25">
      <c r="A603" s="8">
        <v>7.625</v>
      </c>
      <c r="B603" s="1">
        <v>29.7</v>
      </c>
      <c r="C603" s="1" t="s">
        <v>74</v>
      </c>
      <c r="D603" s="1">
        <v>5140</v>
      </c>
      <c r="E603" s="1">
        <v>8180</v>
      </c>
      <c r="F603" s="1"/>
      <c r="G603" s="1"/>
      <c r="H603" s="1"/>
      <c r="I603" s="1" t="s">
        <v>13</v>
      </c>
      <c r="J603" s="1">
        <v>813</v>
      </c>
      <c r="K603" s="1"/>
      <c r="L603" s="1">
        <v>811</v>
      </c>
      <c r="M603" s="1">
        <v>0.375</v>
      </c>
      <c r="N603" s="1">
        <v>6.875</v>
      </c>
      <c r="O603" s="1">
        <v>6.75</v>
      </c>
      <c r="P603" s="9"/>
    </row>
    <row r="604" spans="1:16" x14ac:dyDescent="0.25">
      <c r="A604" s="6">
        <v>7.625</v>
      </c>
      <c r="B604" s="2">
        <v>29.7</v>
      </c>
      <c r="C604" s="2" t="s">
        <v>97</v>
      </c>
      <c r="D604" s="2">
        <v>7150</v>
      </c>
      <c r="E604" s="2">
        <v>9470</v>
      </c>
      <c r="F604" s="2"/>
      <c r="G604" s="2"/>
      <c r="H604" s="2"/>
      <c r="I604" s="2" t="s">
        <v>10</v>
      </c>
      <c r="J604" s="2">
        <v>769</v>
      </c>
      <c r="K604" s="2"/>
      <c r="L604" s="2">
        <v>940</v>
      </c>
      <c r="M604" s="2">
        <v>0.375</v>
      </c>
      <c r="N604" s="2">
        <v>6.875</v>
      </c>
      <c r="O604" s="2">
        <v>6.75</v>
      </c>
      <c r="P604" s="7"/>
    </row>
    <row r="605" spans="1:16" x14ac:dyDescent="0.25">
      <c r="A605" s="6">
        <v>7.625</v>
      </c>
      <c r="B605" s="2">
        <v>29.7</v>
      </c>
      <c r="C605" s="2" t="s">
        <v>97</v>
      </c>
      <c r="D605" s="2">
        <v>7150</v>
      </c>
      <c r="E605" s="2">
        <v>9470</v>
      </c>
      <c r="F605" s="2"/>
      <c r="G605" s="2"/>
      <c r="H605" s="2"/>
      <c r="I605" s="2" t="s">
        <v>13</v>
      </c>
      <c r="J605" s="2">
        <v>960</v>
      </c>
      <c r="K605" s="2"/>
      <c r="L605" s="2">
        <v>940</v>
      </c>
      <c r="M605" s="2">
        <v>0.375</v>
      </c>
      <c r="N605" s="2">
        <v>6.875</v>
      </c>
      <c r="O605" s="2">
        <v>6.75</v>
      </c>
      <c r="P605" s="7"/>
    </row>
    <row r="606" spans="1:16" x14ac:dyDescent="0.25">
      <c r="A606" s="8">
        <v>7.625</v>
      </c>
      <c r="B606" s="1">
        <v>29.7</v>
      </c>
      <c r="C606" s="1" t="s">
        <v>113</v>
      </c>
      <c r="D606" s="1">
        <v>5350</v>
      </c>
      <c r="E606" s="1">
        <v>9470</v>
      </c>
      <c r="F606" s="1"/>
      <c r="G606" s="1"/>
      <c r="H606" s="1"/>
      <c r="I606" s="1" t="s">
        <v>10</v>
      </c>
      <c r="J606" s="1">
        <v>769</v>
      </c>
      <c r="K606" s="1"/>
      <c r="L606" s="1">
        <v>940</v>
      </c>
      <c r="M606" s="1">
        <v>0.375</v>
      </c>
      <c r="N606" s="1">
        <v>6.875</v>
      </c>
      <c r="O606" s="1">
        <v>6.75</v>
      </c>
      <c r="P606" s="9"/>
    </row>
    <row r="607" spans="1:16" x14ac:dyDescent="0.25">
      <c r="A607" s="8">
        <v>7.625</v>
      </c>
      <c r="B607" s="1">
        <v>29.7</v>
      </c>
      <c r="C607" s="1" t="s">
        <v>113</v>
      </c>
      <c r="D607" s="1">
        <v>5350</v>
      </c>
      <c r="E607" s="1">
        <v>9470</v>
      </c>
      <c r="F607" s="1"/>
      <c r="G607" s="1"/>
      <c r="H607" s="1"/>
      <c r="I607" s="1" t="s">
        <v>13</v>
      </c>
      <c r="J607" s="1">
        <v>960</v>
      </c>
      <c r="K607" s="1"/>
      <c r="L607" s="1">
        <v>940</v>
      </c>
      <c r="M607" s="1">
        <v>0.375</v>
      </c>
      <c r="N607" s="1">
        <v>6.875</v>
      </c>
      <c r="O607" s="1">
        <v>6.75</v>
      </c>
      <c r="P607" s="9"/>
    </row>
    <row r="608" spans="1:16" x14ac:dyDescent="0.25">
      <c r="A608" s="6">
        <v>7.625</v>
      </c>
      <c r="B608" s="2">
        <v>33.700000000000003</v>
      </c>
      <c r="C608" s="2" t="s">
        <v>111</v>
      </c>
      <c r="D608" s="2">
        <v>6560</v>
      </c>
      <c r="E608" s="2">
        <v>7900</v>
      </c>
      <c r="F608" s="2"/>
      <c r="G608" s="2"/>
      <c r="H608" s="2"/>
      <c r="I608" s="2" t="s">
        <v>10</v>
      </c>
      <c r="J608" s="2">
        <v>664</v>
      </c>
      <c r="K608" s="2"/>
      <c r="L608" s="2">
        <v>778</v>
      </c>
      <c r="M608" s="2">
        <v>0.43</v>
      </c>
      <c r="N608" s="2">
        <v>6.7649999999999997</v>
      </c>
      <c r="O608" s="2">
        <v>6.64</v>
      </c>
      <c r="P608" s="7"/>
    </row>
    <row r="609" spans="1:16" x14ac:dyDescent="0.25">
      <c r="A609" s="6">
        <v>7.625</v>
      </c>
      <c r="B609" s="2">
        <v>33.700000000000003</v>
      </c>
      <c r="C609" s="2" t="s">
        <v>111</v>
      </c>
      <c r="D609" s="2">
        <v>6560</v>
      </c>
      <c r="E609" s="2">
        <v>7900</v>
      </c>
      <c r="F609" s="2"/>
      <c r="G609" s="2"/>
      <c r="H609" s="2"/>
      <c r="I609" s="2" t="s">
        <v>13</v>
      </c>
      <c r="J609" s="2">
        <v>820</v>
      </c>
      <c r="K609" s="2"/>
      <c r="L609" s="2">
        <v>778</v>
      </c>
      <c r="M609" s="2">
        <v>0.43</v>
      </c>
      <c r="N609" s="2">
        <v>6.7649999999999997</v>
      </c>
      <c r="O609" s="2">
        <v>6.64</v>
      </c>
      <c r="P609" s="7"/>
    </row>
    <row r="610" spans="1:16" x14ac:dyDescent="0.25">
      <c r="A610" s="8">
        <v>7.625</v>
      </c>
      <c r="B610" s="1">
        <v>33.700000000000003</v>
      </c>
      <c r="C610" s="1" t="s">
        <v>88</v>
      </c>
      <c r="D610" s="1">
        <v>8800</v>
      </c>
      <c r="E610" s="1">
        <v>7900</v>
      </c>
      <c r="F610" s="1"/>
      <c r="G610" s="1"/>
      <c r="H610" s="1"/>
      <c r="I610" s="1" t="s">
        <v>10</v>
      </c>
      <c r="J610" s="1">
        <v>762</v>
      </c>
      <c r="K610" s="1"/>
      <c r="L610" s="1">
        <v>778</v>
      </c>
      <c r="M610" s="1">
        <v>0.43</v>
      </c>
      <c r="N610" s="1">
        <v>6.7649999999999997</v>
      </c>
      <c r="O610" s="1">
        <v>6.64</v>
      </c>
      <c r="P610" s="9"/>
    </row>
    <row r="611" spans="1:16" x14ac:dyDescent="0.25">
      <c r="A611" s="8">
        <v>7.625</v>
      </c>
      <c r="B611" s="1">
        <v>33.700000000000003</v>
      </c>
      <c r="C611" s="1" t="s">
        <v>88</v>
      </c>
      <c r="D611" s="1">
        <v>8800</v>
      </c>
      <c r="E611" s="1">
        <v>7900</v>
      </c>
      <c r="F611" s="1"/>
      <c r="G611" s="1"/>
      <c r="H611" s="1"/>
      <c r="I611" s="1" t="s">
        <v>13</v>
      </c>
      <c r="J611" s="1">
        <v>894</v>
      </c>
      <c r="K611" s="1"/>
      <c r="L611" s="1">
        <v>778</v>
      </c>
      <c r="M611" s="1">
        <v>0.43</v>
      </c>
      <c r="N611" s="1">
        <v>6.7649999999999997</v>
      </c>
      <c r="O611" s="1">
        <v>6.64</v>
      </c>
      <c r="P611" s="9"/>
    </row>
    <row r="612" spans="1:16" x14ac:dyDescent="0.25">
      <c r="A612" s="6">
        <v>7.625</v>
      </c>
      <c r="B612" s="2">
        <v>33.700000000000003</v>
      </c>
      <c r="C612" s="2" t="s">
        <v>112</v>
      </c>
      <c r="D612" s="2">
        <v>6560</v>
      </c>
      <c r="E612" s="2">
        <v>7900</v>
      </c>
      <c r="F612" s="2"/>
      <c r="G612" s="2"/>
      <c r="H612" s="2"/>
      <c r="I612" s="2" t="s">
        <v>10</v>
      </c>
      <c r="J612" s="2">
        <v>674</v>
      </c>
      <c r="K612" s="2"/>
      <c r="L612" s="2">
        <v>778</v>
      </c>
      <c r="M612" s="2">
        <v>0.43</v>
      </c>
      <c r="N612" s="2">
        <v>6.7649999999999997</v>
      </c>
      <c r="O612" s="2">
        <v>6.64</v>
      </c>
      <c r="P612" s="7"/>
    </row>
    <row r="613" spans="1:16" x14ac:dyDescent="0.25">
      <c r="A613" s="6">
        <v>7.625</v>
      </c>
      <c r="B613" s="2">
        <v>33.700000000000003</v>
      </c>
      <c r="C613" s="2" t="s">
        <v>112</v>
      </c>
      <c r="D613" s="2">
        <v>6560</v>
      </c>
      <c r="E613" s="2">
        <v>7900</v>
      </c>
      <c r="F613" s="2"/>
      <c r="G613" s="2"/>
      <c r="H613" s="2"/>
      <c r="I613" s="2" t="s">
        <v>13</v>
      </c>
      <c r="J613" s="2">
        <v>852</v>
      </c>
      <c r="K613" s="2"/>
      <c r="L613" s="2">
        <v>778</v>
      </c>
      <c r="M613" s="2">
        <v>0.43</v>
      </c>
      <c r="N613" s="2">
        <v>6.7649999999999997</v>
      </c>
      <c r="O613" s="2">
        <v>6.64</v>
      </c>
      <c r="P613" s="7"/>
    </row>
    <row r="614" spans="1:16" x14ac:dyDescent="0.25">
      <c r="A614" s="8">
        <v>7.625</v>
      </c>
      <c r="B614" s="1">
        <v>33.700000000000003</v>
      </c>
      <c r="C614" s="1" t="s">
        <v>93</v>
      </c>
      <c r="D614" s="1">
        <v>8800</v>
      </c>
      <c r="E614" s="1">
        <v>7900</v>
      </c>
      <c r="F614" s="1"/>
      <c r="G614" s="1"/>
      <c r="H614" s="1"/>
      <c r="I614" s="1" t="s">
        <v>10</v>
      </c>
      <c r="J614" s="1">
        <v>762</v>
      </c>
      <c r="K614" s="1"/>
      <c r="L614" s="1">
        <v>778</v>
      </c>
      <c r="M614" s="1">
        <v>0.43</v>
      </c>
      <c r="N614" s="1">
        <v>6.7649999999999997</v>
      </c>
      <c r="O614" s="1">
        <v>6.64</v>
      </c>
      <c r="P614" s="9"/>
    </row>
    <row r="615" spans="1:16" x14ac:dyDescent="0.25">
      <c r="A615" s="8">
        <v>7.625</v>
      </c>
      <c r="B615" s="1">
        <v>33.700000000000003</v>
      </c>
      <c r="C615" s="1" t="s">
        <v>93</v>
      </c>
      <c r="D615" s="1">
        <v>8800</v>
      </c>
      <c r="E615" s="1">
        <v>7900</v>
      </c>
      <c r="F615" s="1"/>
      <c r="G615" s="1"/>
      <c r="H615" s="1"/>
      <c r="I615" s="1" t="s">
        <v>13</v>
      </c>
      <c r="J615" s="1">
        <v>894</v>
      </c>
      <c r="K615" s="1"/>
      <c r="L615" s="1">
        <v>778</v>
      </c>
      <c r="M615" s="1">
        <v>0.43</v>
      </c>
      <c r="N615" s="1">
        <v>6.7649999999999997</v>
      </c>
      <c r="O615" s="1">
        <v>6.64</v>
      </c>
      <c r="P615" s="9"/>
    </row>
    <row r="616" spans="1:16" x14ac:dyDescent="0.25">
      <c r="A616" s="6">
        <v>7.625</v>
      </c>
      <c r="B616" s="2">
        <v>33.700000000000003</v>
      </c>
      <c r="C616" s="2" t="s">
        <v>68</v>
      </c>
      <c r="D616" s="2">
        <v>7050</v>
      </c>
      <c r="E616" s="2">
        <v>8880</v>
      </c>
      <c r="F616" s="2"/>
      <c r="G616" s="2"/>
      <c r="H616" s="2"/>
      <c r="I616" s="2" t="s">
        <v>10</v>
      </c>
      <c r="J616" s="2">
        <v>733</v>
      </c>
      <c r="K616" s="2"/>
      <c r="L616" s="2">
        <v>875</v>
      </c>
      <c r="M616" s="2">
        <v>0.43</v>
      </c>
      <c r="N616" s="2">
        <v>6.7649999999999997</v>
      </c>
      <c r="O616" s="2">
        <v>6.64</v>
      </c>
      <c r="P616" s="7"/>
    </row>
    <row r="617" spans="1:16" x14ac:dyDescent="0.25">
      <c r="A617" s="6">
        <v>7.625</v>
      </c>
      <c r="B617" s="2">
        <v>33.700000000000003</v>
      </c>
      <c r="C617" s="2" t="s">
        <v>68</v>
      </c>
      <c r="D617" s="2">
        <v>7050</v>
      </c>
      <c r="E617" s="2">
        <v>8880</v>
      </c>
      <c r="F617" s="2"/>
      <c r="G617" s="2"/>
      <c r="H617" s="2"/>
      <c r="I617" s="2" t="s">
        <v>13</v>
      </c>
      <c r="J617" s="2">
        <v>880</v>
      </c>
      <c r="K617" s="2"/>
      <c r="L617" s="2">
        <v>875</v>
      </c>
      <c r="M617" s="2">
        <v>0.43</v>
      </c>
      <c r="N617" s="2">
        <v>6.7649999999999997</v>
      </c>
      <c r="O617" s="2">
        <v>6.64</v>
      </c>
      <c r="P617" s="7"/>
    </row>
    <row r="618" spans="1:16" x14ac:dyDescent="0.25">
      <c r="A618" s="8">
        <v>7.625</v>
      </c>
      <c r="B618" s="1">
        <v>33.700000000000003</v>
      </c>
      <c r="C618" s="1" t="s">
        <v>75</v>
      </c>
      <c r="D618" s="1">
        <v>8800</v>
      </c>
      <c r="E618" s="1">
        <v>8880</v>
      </c>
      <c r="F618" s="1"/>
      <c r="G618" s="1"/>
      <c r="H618" s="1"/>
      <c r="I618" s="1" t="s">
        <v>10</v>
      </c>
      <c r="J618" s="1">
        <v>762</v>
      </c>
      <c r="K618" s="1"/>
      <c r="L618" s="1">
        <v>875</v>
      </c>
      <c r="M618" s="1">
        <v>0.43</v>
      </c>
      <c r="N618" s="1">
        <v>6.7649999999999997</v>
      </c>
      <c r="O618" s="1">
        <v>6.64</v>
      </c>
      <c r="P618" s="9"/>
    </row>
    <row r="619" spans="1:16" x14ac:dyDescent="0.25">
      <c r="A619" s="8">
        <v>7.625</v>
      </c>
      <c r="B619" s="1">
        <v>33.700000000000003</v>
      </c>
      <c r="C619" s="1" t="s">
        <v>75</v>
      </c>
      <c r="D619" s="1">
        <v>8800</v>
      </c>
      <c r="E619" s="1">
        <v>8880</v>
      </c>
      <c r="F619" s="1"/>
      <c r="G619" s="1"/>
      <c r="H619" s="1"/>
      <c r="I619" s="1" t="s">
        <v>13</v>
      </c>
      <c r="J619" s="1">
        <v>894</v>
      </c>
      <c r="K619" s="1"/>
      <c r="L619" s="1">
        <v>875</v>
      </c>
      <c r="M619" s="1">
        <v>0.43</v>
      </c>
      <c r="N619" s="1">
        <v>6.7649999999999997</v>
      </c>
      <c r="O619" s="1">
        <v>6.64</v>
      </c>
      <c r="P619" s="9"/>
    </row>
    <row r="620" spans="1:16" x14ac:dyDescent="0.25">
      <c r="A620" s="6">
        <v>7.625</v>
      </c>
      <c r="B620" s="2">
        <v>33.700000000000003</v>
      </c>
      <c r="C620" s="2" t="s">
        <v>115</v>
      </c>
      <c r="D620" s="2">
        <v>8800</v>
      </c>
      <c r="E620" s="2">
        <v>9380</v>
      </c>
      <c r="F620" s="2"/>
      <c r="G620" s="2"/>
      <c r="H620" s="2"/>
      <c r="I620" s="2" t="s">
        <v>10</v>
      </c>
      <c r="J620" s="2">
        <v>783</v>
      </c>
      <c r="K620" s="2"/>
      <c r="L620" s="2">
        <v>923</v>
      </c>
      <c r="M620" s="2">
        <v>0.43</v>
      </c>
      <c r="N620" s="2">
        <v>6.7649999999999997</v>
      </c>
      <c r="O620" s="2">
        <v>6.64</v>
      </c>
      <c r="P620" s="7"/>
    </row>
    <row r="621" spans="1:16" x14ac:dyDescent="0.25">
      <c r="A621" s="6">
        <v>7.625</v>
      </c>
      <c r="B621" s="2">
        <v>33.700000000000003</v>
      </c>
      <c r="C621" s="2" t="s">
        <v>115</v>
      </c>
      <c r="D621" s="2">
        <v>8800</v>
      </c>
      <c r="E621" s="2">
        <v>9380</v>
      </c>
      <c r="F621" s="2"/>
      <c r="G621" s="2"/>
      <c r="H621" s="2"/>
      <c r="I621" s="2" t="s">
        <v>13</v>
      </c>
      <c r="J621" s="2">
        <v>957</v>
      </c>
      <c r="K621" s="2"/>
      <c r="L621" s="2">
        <v>923</v>
      </c>
      <c r="M621" s="2">
        <v>0.43</v>
      </c>
      <c r="N621" s="2">
        <v>6.7649999999999997</v>
      </c>
      <c r="O621" s="2">
        <v>6.64</v>
      </c>
      <c r="P621" s="7"/>
    </row>
    <row r="622" spans="1:16" x14ac:dyDescent="0.25">
      <c r="A622" s="8">
        <v>7.625</v>
      </c>
      <c r="B622" s="1">
        <v>33.700000000000003</v>
      </c>
      <c r="C622" s="1" t="s">
        <v>116</v>
      </c>
      <c r="D622" s="1">
        <v>7280</v>
      </c>
      <c r="E622" s="1">
        <v>9380</v>
      </c>
      <c r="F622" s="1"/>
      <c r="G622" s="1"/>
      <c r="H622" s="1"/>
      <c r="I622" s="1" t="s">
        <v>10</v>
      </c>
      <c r="J622" s="1">
        <v>772</v>
      </c>
      <c r="K622" s="1"/>
      <c r="L622" s="1">
        <v>923</v>
      </c>
      <c r="M622" s="1">
        <v>0.43</v>
      </c>
      <c r="N622" s="1">
        <v>6.7649999999999997</v>
      </c>
      <c r="O622" s="1">
        <v>6.64</v>
      </c>
      <c r="P622" s="9"/>
    </row>
    <row r="623" spans="1:16" x14ac:dyDescent="0.25">
      <c r="A623" s="8">
        <v>7.625</v>
      </c>
      <c r="B623" s="1">
        <v>33.700000000000003</v>
      </c>
      <c r="C623" s="1" t="s">
        <v>116</v>
      </c>
      <c r="D623" s="1">
        <v>7280</v>
      </c>
      <c r="E623" s="1">
        <v>9380</v>
      </c>
      <c r="F623" s="1"/>
      <c r="G623" s="1"/>
      <c r="H623" s="1"/>
      <c r="I623" s="1" t="s">
        <v>13</v>
      </c>
      <c r="J623" s="1">
        <v>925</v>
      </c>
      <c r="K623" s="1"/>
      <c r="L623" s="1">
        <v>923</v>
      </c>
      <c r="M623" s="1">
        <v>0.43</v>
      </c>
      <c r="N623" s="1">
        <v>6.7649999999999997</v>
      </c>
      <c r="O623" s="1">
        <v>6.64</v>
      </c>
      <c r="P623" s="9"/>
    </row>
    <row r="624" spans="1:16" x14ac:dyDescent="0.25">
      <c r="A624" s="6">
        <v>7.625</v>
      </c>
      <c r="B624" s="2">
        <v>33.700000000000003</v>
      </c>
      <c r="C624" s="2" t="s">
        <v>80</v>
      </c>
      <c r="D624" s="2">
        <v>8800</v>
      </c>
      <c r="E624" s="2">
        <v>9380</v>
      </c>
      <c r="F624" s="2"/>
      <c r="G624" s="2"/>
      <c r="H624" s="2"/>
      <c r="I624" s="2" t="s">
        <v>10</v>
      </c>
      <c r="J624" s="2">
        <v>772</v>
      </c>
      <c r="K624" s="2"/>
      <c r="L624" s="2">
        <v>923</v>
      </c>
      <c r="M624" s="2">
        <v>0.43</v>
      </c>
      <c r="N624" s="2">
        <v>6.7649999999999997</v>
      </c>
      <c r="O624" s="2">
        <v>6.64</v>
      </c>
      <c r="P624" s="7"/>
    </row>
    <row r="625" spans="1:16" x14ac:dyDescent="0.25">
      <c r="A625" s="6">
        <v>7.625</v>
      </c>
      <c r="B625" s="2">
        <v>33.700000000000003</v>
      </c>
      <c r="C625" s="2" t="s">
        <v>80</v>
      </c>
      <c r="D625" s="2">
        <v>8800</v>
      </c>
      <c r="E625" s="2">
        <v>9380</v>
      </c>
      <c r="F625" s="2"/>
      <c r="G625" s="2"/>
      <c r="H625" s="2"/>
      <c r="I625" s="2" t="s">
        <v>13</v>
      </c>
      <c r="J625" s="2">
        <v>925</v>
      </c>
      <c r="K625" s="2"/>
      <c r="L625" s="2">
        <v>923</v>
      </c>
      <c r="M625" s="2">
        <v>0.43</v>
      </c>
      <c r="N625" s="2">
        <v>6.7649999999999997</v>
      </c>
      <c r="O625" s="2">
        <v>6.64</v>
      </c>
      <c r="P625" s="7"/>
    </row>
    <row r="626" spans="1:16" x14ac:dyDescent="0.25">
      <c r="A626" s="8">
        <v>7.625</v>
      </c>
      <c r="B626" s="1">
        <v>33.700000000000003</v>
      </c>
      <c r="C626" s="1" t="s">
        <v>74</v>
      </c>
      <c r="D626" s="1">
        <v>7280</v>
      </c>
      <c r="E626" s="1">
        <v>9380</v>
      </c>
      <c r="F626" s="1"/>
      <c r="G626" s="1"/>
      <c r="H626" s="1"/>
      <c r="I626" s="1" t="s">
        <v>10</v>
      </c>
      <c r="J626" s="1">
        <v>772</v>
      </c>
      <c r="K626" s="1"/>
      <c r="L626" s="1">
        <v>923</v>
      </c>
      <c r="M626" s="1">
        <v>0.43</v>
      </c>
      <c r="N626" s="1">
        <v>6.7649999999999997</v>
      </c>
      <c r="O626" s="1">
        <v>6.64</v>
      </c>
      <c r="P626" s="9"/>
    </row>
    <row r="627" spans="1:16" x14ac:dyDescent="0.25">
      <c r="A627" s="8">
        <v>7.625</v>
      </c>
      <c r="B627" s="1">
        <v>33.700000000000003</v>
      </c>
      <c r="C627" s="1" t="s">
        <v>74</v>
      </c>
      <c r="D627" s="1">
        <v>7280</v>
      </c>
      <c r="E627" s="1">
        <v>9380</v>
      </c>
      <c r="F627" s="1"/>
      <c r="G627" s="1"/>
      <c r="H627" s="1"/>
      <c r="I627" s="1" t="s">
        <v>13</v>
      </c>
      <c r="J627" s="1">
        <v>925</v>
      </c>
      <c r="K627" s="1"/>
      <c r="L627" s="1">
        <v>923</v>
      </c>
      <c r="M627" s="1">
        <v>0.43</v>
      </c>
      <c r="N627" s="1">
        <v>6.7649999999999997</v>
      </c>
      <c r="O627" s="1">
        <v>6.64</v>
      </c>
      <c r="P627" s="9"/>
    </row>
    <row r="628" spans="1:16" x14ac:dyDescent="0.25">
      <c r="A628" s="6">
        <v>7.625</v>
      </c>
      <c r="B628" s="2">
        <v>33.700000000000003</v>
      </c>
      <c r="C628" s="2" t="s">
        <v>97</v>
      </c>
      <c r="D628" s="2">
        <v>8800</v>
      </c>
      <c r="E628" s="2">
        <v>10860</v>
      </c>
      <c r="F628" s="2"/>
      <c r="G628" s="2"/>
      <c r="H628" s="2"/>
      <c r="I628" s="2" t="s">
        <v>10</v>
      </c>
      <c r="J628" s="2">
        <v>901</v>
      </c>
      <c r="K628" s="2"/>
      <c r="L628" s="2">
        <v>1069</v>
      </c>
      <c r="M628" s="2">
        <v>0.43</v>
      </c>
      <c r="N628" s="2">
        <v>6.7649999999999997</v>
      </c>
      <c r="O628" s="2">
        <v>6.64</v>
      </c>
      <c r="P628" s="7"/>
    </row>
    <row r="629" spans="1:16" x14ac:dyDescent="0.25">
      <c r="A629" s="6">
        <v>7.625</v>
      </c>
      <c r="B629" s="2">
        <v>33.700000000000003</v>
      </c>
      <c r="C629" s="2" t="s">
        <v>97</v>
      </c>
      <c r="D629" s="2">
        <v>8800</v>
      </c>
      <c r="E629" s="2">
        <v>10860</v>
      </c>
      <c r="F629" s="2"/>
      <c r="G629" s="2"/>
      <c r="H629" s="2"/>
      <c r="I629" s="2" t="s">
        <v>13</v>
      </c>
      <c r="J629" s="2">
        <v>1093</v>
      </c>
      <c r="K629" s="2"/>
      <c r="L629" s="2">
        <v>1069</v>
      </c>
      <c r="M629" s="2">
        <v>0.43</v>
      </c>
      <c r="N629" s="2">
        <v>6.7649999999999997</v>
      </c>
      <c r="O629" s="2">
        <v>6.64</v>
      </c>
      <c r="P629" s="7"/>
    </row>
    <row r="630" spans="1:16" x14ac:dyDescent="0.25">
      <c r="A630" s="8">
        <v>7.625</v>
      </c>
      <c r="B630" s="1">
        <v>33.700000000000003</v>
      </c>
      <c r="C630" s="1" t="s">
        <v>113</v>
      </c>
      <c r="D630" s="1">
        <v>7870</v>
      </c>
      <c r="E630" s="1">
        <v>10860</v>
      </c>
      <c r="F630" s="1"/>
      <c r="G630" s="1"/>
      <c r="H630" s="1"/>
      <c r="I630" s="1" t="s">
        <v>10</v>
      </c>
      <c r="J630" s="1">
        <v>901</v>
      </c>
      <c r="K630" s="1"/>
      <c r="L630" s="1">
        <v>1069</v>
      </c>
      <c r="M630" s="1">
        <v>0.43</v>
      </c>
      <c r="N630" s="1">
        <v>6.7649999999999997</v>
      </c>
      <c r="O630" s="1">
        <v>6.64</v>
      </c>
      <c r="P630" s="9"/>
    </row>
    <row r="631" spans="1:16" x14ac:dyDescent="0.25">
      <c r="A631" s="8">
        <v>7.625</v>
      </c>
      <c r="B631" s="1">
        <v>33.700000000000003</v>
      </c>
      <c r="C631" s="1" t="s">
        <v>113</v>
      </c>
      <c r="D631" s="1">
        <v>7870</v>
      </c>
      <c r="E631" s="1">
        <v>10860</v>
      </c>
      <c r="F631" s="1"/>
      <c r="G631" s="1"/>
      <c r="H631" s="1"/>
      <c r="I631" s="1" t="s">
        <v>13</v>
      </c>
      <c r="J631" s="1">
        <v>1093</v>
      </c>
      <c r="K631" s="1"/>
      <c r="L631" s="1">
        <v>1069</v>
      </c>
      <c r="M631" s="1">
        <v>0.43</v>
      </c>
      <c r="N631" s="1">
        <v>6.7649999999999997</v>
      </c>
      <c r="O631" s="1">
        <v>6.64</v>
      </c>
      <c r="P631" s="9"/>
    </row>
    <row r="632" spans="1:16" x14ac:dyDescent="0.25">
      <c r="A632" s="6">
        <v>7.625</v>
      </c>
      <c r="B632" s="2">
        <v>33.700000000000003</v>
      </c>
      <c r="C632" s="2" t="s">
        <v>99</v>
      </c>
      <c r="D632" s="2">
        <v>8800</v>
      </c>
      <c r="E632" s="2">
        <v>12340</v>
      </c>
      <c r="F632" s="2"/>
      <c r="G632" s="2"/>
      <c r="H632" s="2"/>
      <c r="I632" s="2" t="s">
        <v>10</v>
      </c>
      <c r="J632" s="2">
        <v>1009</v>
      </c>
      <c r="K632" s="2"/>
      <c r="L632" s="2">
        <v>1215</v>
      </c>
      <c r="M632" s="2">
        <v>0.43</v>
      </c>
      <c r="N632" s="2">
        <v>6.7649999999999997</v>
      </c>
      <c r="O632" s="2">
        <v>6.64</v>
      </c>
      <c r="P632" s="7"/>
    </row>
    <row r="633" spans="1:16" x14ac:dyDescent="0.25">
      <c r="A633" s="6">
        <v>7.625</v>
      </c>
      <c r="B633" s="2">
        <v>33.700000000000003</v>
      </c>
      <c r="C633" s="2" t="s">
        <v>99</v>
      </c>
      <c r="D633" s="2">
        <v>8800</v>
      </c>
      <c r="E633" s="2">
        <v>12340</v>
      </c>
      <c r="F633" s="2"/>
      <c r="G633" s="2"/>
      <c r="H633" s="2"/>
      <c r="I633" s="2" t="s">
        <v>13</v>
      </c>
      <c r="J633" s="2">
        <v>1197</v>
      </c>
      <c r="K633" s="2"/>
      <c r="L633" s="2">
        <v>1215</v>
      </c>
      <c r="M633" s="2">
        <v>0.43</v>
      </c>
      <c r="N633" s="2">
        <v>6.7649999999999997</v>
      </c>
      <c r="O633" s="2">
        <v>6.64</v>
      </c>
      <c r="P633" s="7"/>
    </row>
    <row r="634" spans="1:16" x14ac:dyDescent="0.25">
      <c r="A634" s="8">
        <v>7.625</v>
      </c>
      <c r="B634" s="1">
        <v>33.700000000000003</v>
      </c>
      <c r="C634" s="1" t="s">
        <v>114</v>
      </c>
      <c r="D634" s="1">
        <v>8350</v>
      </c>
      <c r="E634" s="1">
        <v>12340</v>
      </c>
      <c r="F634" s="1"/>
      <c r="G634" s="1"/>
      <c r="H634" s="1"/>
      <c r="I634" s="1" t="s">
        <v>10</v>
      </c>
      <c r="J634" s="1">
        <v>1009</v>
      </c>
      <c r="K634" s="1"/>
      <c r="L634" s="1">
        <v>1215</v>
      </c>
      <c r="M634" s="1">
        <v>0.43</v>
      </c>
      <c r="N634" s="1">
        <v>6.7649999999999997</v>
      </c>
      <c r="O634" s="1">
        <v>6.64</v>
      </c>
      <c r="P634" s="9"/>
    </row>
    <row r="635" spans="1:16" x14ac:dyDescent="0.25">
      <c r="A635" s="8">
        <v>7.625</v>
      </c>
      <c r="B635" s="1">
        <v>33.700000000000003</v>
      </c>
      <c r="C635" s="1" t="s">
        <v>114</v>
      </c>
      <c r="D635" s="1">
        <v>8350</v>
      </c>
      <c r="E635" s="1">
        <v>12340</v>
      </c>
      <c r="F635" s="1"/>
      <c r="G635" s="1"/>
      <c r="H635" s="1"/>
      <c r="I635" s="1" t="s">
        <v>13</v>
      </c>
      <c r="J635" s="1">
        <v>1197</v>
      </c>
      <c r="K635" s="1"/>
      <c r="L635" s="1">
        <v>1215</v>
      </c>
      <c r="M635" s="1">
        <v>0.43</v>
      </c>
      <c r="N635" s="1">
        <v>6.7649999999999997</v>
      </c>
      <c r="O635" s="1">
        <v>6.64</v>
      </c>
      <c r="P635" s="9"/>
    </row>
    <row r="636" spans="1:16" x14ac:dyDescent="0.25">
      <c r="A636" s="6">
        <v>7.625</v>
      </c>
      <c r="B636" s="2">
        <v>33.700000000000003</v>
      </c>
      <c r="C636" s="2" t="s">
        <v>117</v>
      </c>
      <c r="D636" s="2">
        <v>8850</v>
      </c>
      <c r="E636" s="2">
        <v>14800</v>
      </c>
      <c r="F636" s="2"/>
      <c r="G636" s="2"/>
      <c r="H636" s="2"/>
      <c r="I636" s="2" t="s">
        <v>10</v>
      </c>
      <c r="J636" s="2">
        <v>1207</v>
      </c>
      <c r="K636" s="2"/>
      <c r="L636" s="2">
        <v>1458</v>
      </c>
      <c r="M636" s="2">
        <v>0.43</v>
      </c>
      <c r="N636" s="2">
        <v>6.7649999999999997</v>
      </c>
      <c r="O636" s="2">
        <v>6.64</v>
      </c>
      <c r="P636" s="7"/>
    </row>
    <row r="637" spans="1:16" x14ac:dyDescent="0.25">
      <c r="A637" s="6">
        <v>7.625</v>
      </c>
      <c r="B637" s="2">
        <v>33.700000000000003</v>
      </c>
      <c r="C637" s="2" t="s">
        <v>117</v>
      </c>
      <c r="D637" s="2">
        <v>8850</v>
      </c>
      <c r="E637" s="2">
        <v>14800</v>
      </c>
      <c r="F637" s="2"/>
      <c r="G637" s="2"/>
      <c r="H637" s="2"/>
      <c r="I637" s="2" t="s">
        <v>13</v>
      </c>
      <c r="J637" s="2">
        <v>1424</v>
      </c>
      <c r="K637" s="2"/>
      <c r="L637" s="2">
        <v>1458</v>
      </c>
      <c r="M637" s="2">
        <v>0.43</v>
      </c>
      <c r="N637" s="2">
        <v>6.7649999999999997</v>
      </c>
      <c r="O637" s="2">
        <v>6.64</v>
      </c>
      <c r="P637" s="7"/>
    </row>
    <row r="638" spans="1:16" x14ac:dyDescent="0.25">
      <c r="A638" s="8">
        <v>7.625</v>
      </c>
      <c r="B638" s="1">
        <v>39</v>
      </c>
      <c r="C638" s="1" t="s">
        <v>111</v>
      </c>
      <c r="D638" s="1">
        <v>8820</v>
      </c>
      <c r="E638" s="1">
        <v>9180</v>
      </c>
      <c r="F638" s="1"/>
      <c r="G638" s="1"/>
      <c r="H638" s="1"/>
      <c r="I638" s="1" t="s">
        <v>10</v>
      </c>
      <c r="J638" s="1">
        <v>786</v>
      </c>
      <c r="K638" s="1"/>
      <c r="L638" s="1">
        <v>895</v>
      </c>
      <c r="M638" s="1">
        <v>0.5</v>
      </c>
      <c r="N638" s="1">
        <v>6.625</v>
      </c>
      <c r="O638" s="1">
        <v>6.5</v>
      </c>
      <c r="P638" s="9"/>
    </row>
    <row r="639" spans="1:16" x14ac:dyDescent="0.25">
      <c r="A639" s="8">
        <v>7.625</v>
      </c>
      <c r="B639" s="1">
        <v>39</v>
      </c>
      <c r="C639" s="1" t="s">
        <v>111</v>
      </c>
      <c r="D639" s="1">
        <v>8820</v>
      </c>
      <c r="E639" s="1">
        <v>9180</v>
      </c>
      <c r="F639" s="1"/>
      <c r="G639" s="1"/>
      <c r="H639" s="1"/>
      <c r="I639" s="1" t="s">
        <v>13</v>
      </c>
      <c r="J639" s="1">
        <v>945</v>
      </c>
      <c r="K639" s="1"/>
      <c r="L639" s="1">
        <v>895</v>
      </c>
      <c r="M639" s="1">
        <v>0.5</v>
      </c>
      <c r="N639" s="1">
        <v>6.625</v>
      </c>
      <c r="O639" s="1">
        <v>6.5</v>
      </c>
      <c r="P639" s="9"/>
    </row>
    <row r="640" spans="1:16" x14ac:dyDescent="0.25">
      <c r="A640" s="6">
        <v>7.625</v>
      </c>
      <c r="B640" s="2">
        <v>39</v>
      </c>
      <c r="C640" s="2" t="s">
        <v>88</v>
      </c>
      <c r="D640" s="2">
        <v>10600</v>
      </c>
      <c r="E640" s="2">
        <v>9180</v>
      </c>
      <c r="F640" s="2"/>
      <c r="G640" s="2"/>
      <c r="H640" s="2"/>
      <c r="I640" s="2" t="s">
        <v>10</v>
      </c>
      <c r="J640" s="2">
        <v>901</v>
      </c>
      <c r="K640" s="2"/>
      <c r="L640" s="2">
        <v>895</v>
      </c>
      <c r="M640" s="2">
        <v>0.5</v>
      </c>
      <c r="N640" s="2">
        <v>6.625</v>
      </c>
      <c r="O640" s="2">
        <v>6.5</v>
      </c>
      <c r="P640" s="7"/>
    </row>
    <row r="641" spans="1:16" x14ac:dyDescent="0.25">
      <c r="A641" s="6">
        <v>7.625</v>
      </c>
      <c r="B641" s="2">
        <v>39</v>
      </c>
      <c r="C641" s="2" t="s">
        <v>88</v>
      </c>
      <c r="D641" s="2">
        <v>10600</v>
      </c>
      <c r="E641" s="2">
        <v>9180</v>
      </c>
      <c r="F641" s="2"/>
      <c r="G641" s="2"/>
      <c r="H641" s="2"/>
      <c r="I641" s="2" t="s">
        <v>13</v>
      </c>
      <c r="J641" s="2">
        <v>1029</v>
      </c>
      <c r="K641" s="2"/>
      <c r="L641" s="2">
        <v>895</v>
      </c>
      <c r="M641" s="2">
        <v>0.5</v>
      </c>
      <c r="N641" s="2">
        <v>6.625</v>
      </c>
      <c r="O641" s="2">
        <v>6.5</v>
      </c>
      <c r="P641" s="7"/>
    </row>
    <row r="642" spans="1:16" x14ac:dyDescent="0.25">
      <c r="A642" s="8">
        <v>7.625</v>
      </c>
      <c r="B642" s="1">
        <v>39</v>
      </c>
      <c r="C642" s="1" t="s">
        <v>112</v>
      </c>
      <c r="D642" s="1">
        <v>8820</v>
      </c>
      <c r="E642" s="1">
        <v>9180</v>
      </c>
      <c r="F642" s="1"/>
      <c r="G642" s="1"/>
      <c r="H642" s="1"/>
      <c r="I642" s="1" t="s">
        <v>10</v>
      </c>
      <c r="J642" s="1">
        <v>798</v>
      </c>
      <c r="K642" s="1"/>
      <c r="L642" s="1">
        <v>895</v>
      </c>
      <c r="M642" s="1">
        <v>0.5</v>
      </c>
      <c r="N642" s="1">
        <v>6.625</v>
      </c>
      <c r="O642" s="1">
        <v>6.5</v>
      </c>
      <c r="P642" s="9"/>
    </row>
    <row r="643" spans="1:16" x14ac:dyDescent="0.25">
      <c r="A643" s="8">
        <v>7.625</v>
      </c>
      <c r="B643" s="1">
        <v>39</v>
      </c>
      <c r="C643" s="1" t="s">
        <v>112</v>
      </c>
      <c r="D643" s="1">
        <v>8820</v>
      </c>
      <c r="E643" s="1">
        <v>9180</v>
      </c>
      <c r="F643" s="1"/>
      <c r="G643" s="1"/>
      <c r="H643" s="1"/>
      <c r="I643" s="1" t="s">
        <v>13</v>
      </c>
      <c r="J643" s="1">
        <v>981</v>
      </c>
      <c r="K643" s="1"/>
      <c r="L643" s="1">
        <v>895</v>
      </c>
      <c r="M643" s="1">
        <v>0.5</v>
      </c>
      <c r="N643" s="1">
        <v>6.625</v>
      </c>
      <c r="O643" s="1">
        <v>6.5</v>
      </c>
      <c r="P643" s="9"/>
    </row>
    <row r="644" spans="1:16" x14ac:dyDescent="0.25">
      <c r="A644" s="6">
        <v>7.625</v>
      </c>
      <c r="B644" s="2">
        <v>39</v>
      </c>
      <c r="C644" s="2" t="s">
        <v>93</v>
      </c>
      <c r="D644" s="2">
        <v>10600</v>
      </c>
      <c r="E644" s="2">
        <v>9180</v>
      </c>
      <c r="F644" s="2"/>
      <c r="G644" s="2"/>
      <c r="H644" s="2"/>
      <c r="I644" s="2" t="s">
        <v>10</v>
      </c>
      <c r="J644" s="2">
        <v>901</v>
      </c>
      <c r="K644" s="2"/>
      <c r="L644" s="2">
        <v>895</v>
      </c>
      <c r="M644" s="2">
        <v>0.5</v>
      </c>
      <c r="N644" s="2">
        <v>6.625</v>
      </c>
      <c r="O644" s="2">
        <v>6.5</v>
      </c>
      <c r="P644" s="7"/>
    </row>
    <row r="645" spans="1:16" x14ac:dyDescent="0.25">
      <c r="A645" s="6">
        <v>7.625</v>
      </c>
      <c r="B645" s="2">
        <v>39</v>
      </c>
      <c r="C645" s="2" t="s">
        <v>93</v>
      </c>
      <c r="D645" s="2">
        <v>10600</v>
      </c>
      <c r="E645" s="2">
        <v>9180</v>
      </c>
      <c r="F645" s="2"/>
      <c r="G645" s="2"/>
      <c r="H645" s="2"/>
      <c r="I645" s="2" t="s">
        <v>13</v>
      </c>
      <c r="J645" s="2">
        <v>1029</v>
      </c>
      <c r="K645" s="2"/>
      <c r="L645" s="2">
        <v>895</v>
      </c>
      <c r="M645" s="2">
        <v>0.5</v>
      </c>
      <c r="N645" s="2">
        <v>6.625</v>
      </c>
      <c r="O645" s="2">
        <v>6.5</v>
      </c>
      <c r="P645" s="7"/>
    </row>
    <row r="646" spans="1:16" x14ac:dyDescent="0.25">
      <c r="A646" s="8">
        <v>7.625</v>
      </c>
      <c r="B646" s="1">
        <v>39</v>
      </c>
      <c r="C646" s="1" t="s">
        <v>68</v>
      </c>
      <c r="D646" s="1">
        <v>9620</v>
      </c>
      <c r="E646" s="1">
        <v>10330</v>
      </c>
      <c r="F646" s="1"/>
      <c r="G646" s="1"/>
      <c r="H646" s="1"/>
      <c r="I646" s="1" t="s">
        <v>10</v>
      </c>
      <c r="J646" s="1">
        <v>867</v>
      </c>
      <c r="K646" s="1"/>
      <c r="L646" s="1">
        <v>1007</v>
      </c>
      <c r="M646" s="1">
        <v>0.5</v>
      </c>
      <c r="N646" s="1">
        <v>6.625</v>
      </c>
      <c r="O646" s="1">
        <v>6.5</v>
      </c>
      <c r="P646" s="9"/>
    </row>
    <row r="647" spans="1:16" x14ac:dyDescent="0.25">
      <c r="A647" s="8">
        <v>7.625</v>
      </c>
      <c r="B647" s="1">
        <v>39</v>
      </c>
      <c r="C647" s="1" t="s">
        <v>68</v>
      </c>
      <c r="D647" s="1">
        <v>9620</v>
      </c>
      <c r="E647" s="1">
        <v>10330</v>
      </c>
      <c r="F647" s="1"/>
      <c r="G647" s="1"/>
      <c r="H647" s="1"/>
      <c r="I647" s="1" t="s">
        <v>13</v>
      </c>
      <c r="J647" s="1">
        <v>1013</v>
      </c>
      <c r="K647" s="1"/>
      <c r="L647" s="1">
        <v>1007</v>
      </c>
      <c r="M647" s="1">
        <v>0.5</v>
      </c>
      <c r="N647" s="1">
        <v>6.625</v>
      </c>
      <c r="O647" s="1">
        <v>6.5</v>
      </c>
      <c r="P647" s="9"/>
    </row>
    <row r="648" spans="1:16" x14ac:dyDescent="0.25">
      <c r="A648" s="6">
        <v>7.625</v>
      </c>
      <c r="B648" s="2">
        <v>39</v>
      </c>
      <c r="C648" s="2" t="s">
        <v>75</v>
      </c>
      <c r="D648" s="2">
        <v>10600</v>
      </c>
      <c r="E648" s="2">
        <v>10330</v>
      </c>
      <c r="F648" s="2"/>
      <c r="G648" s="2"/>
      <c r="H648" s="2"/>
      <c r="I648" s="2" t="s">
        <v>10</v>
      </c>
      <c r="J648" s="2">
        <v>901</v>
      </c>
      <c r="K648" s="2"/>
      <c r="L648" s="2">
        <v>1007</v>
      </c>
      <c r="M648" s="2">
        <v>0.5</v>
      </c>
      <c r="N648" s="2">
        <v>6.625</v>
      </c>
      <c r="O648" s="2">
        <v>6.5</v>
      </c>
      <c r="P648" s="7"/>
    </row>
    <row r="649" spans="1:16" x14ac:dyDescent="0.25">
      <c r="A649" s="6">
        <v>7.625</v>
      </c>
      <c r="B649" s="2">
        <v>39</v>
      </c>
      <c r="C649" s="2" t="s">
        <v>75</v>
      </c>
      <c r="D649" s="2">
        <v>10600</v>
      </c>
      <c r="E649" s="2">
        <v>10330</v>
      </c>
      <c r="F649" s="2"/>
      <c r="G649" s="2"/>
      <c r="H649" s="2"/>
      <c r="I649" s="2" t="s">
        <v>13</v>
      </c>
      <c r="J649" s="2">
        <v>1029</v>
      </c>
      <c r="K649" s="2"/>
      <c r="L649" s="2">
        <v>1007</v>
      </c>
      <c r="M649" s="2">
        <v>0.5</v>
      </c>
      <c r="N649" s="2">
        <v>6.625</v>
      </c>
      <c r="O649" s="2">
        <v>6.5</v>
      </c>
      <c r="P649" s="7"/>
    </row>
    <row r="650" spans="1:16" x14ac:dyDescent="0.25">
      <c r="A650" s="8">
        <v>7.625</v>
      </c>
      <c r="B650" s="1">
        <v>39</v>
      </c>
      <c r="C650" s="1" t="s">
        <v>115</v>
      </c>
      <c r="D650" s="1">
        <v>10600</v>
      </c>
      <c r="E650" s="1">
        <v>10900</v>
      </c>
      <c r="F650" s="1"/>
      <c r="G650" s="1"/>
      <c r="H650" s="1"/>
      <c r="I650" s="1" t="s">
        <v>10</v>
      </c>
      <c r="J650" s="1">
        <v>926</v>
      </c>
      <c r="K650" s="1"/>
      <c r="L650" s="1">
        <v>1063</v>
      </c>
      <c r="M650" s="1">
        <v>0.5</v>
      </c>
      <c r="N650" s="1">
        <v>6.625</v>
      </c>
      <c r="O650" s="1">
        <v>6.5</v>
      </c>
      <c r="P650" s="9"/>
    </row>
    <row r="651" spans="1:16" x14ac:dyDescent="0.25">
      <c r="A651" s="8">
        <v>7.625</v>
      </c>
      <c r="B651" s="1">
        <v>39</v>
      </c>
      <c r="C651" s="1" t="s">
        <v>115</v>
      </c>
      <c r="D651" s="1">
        <v>10600</v>
      </c>
      <c r="E651" s="1">
        <v>10900</v>
      </c>
      <c r="F651" s="1"/>
      <c r="G651" s="1"/>
      <c r="H651" s="1"/>
      <c r="I651" s="1" t="s">
        <v>13</v>
      </c>
      <c r="J651" s="1">
        <v>1101</v>
      </c>
      <c r="K651" s="1"/>
      <c r="L651" s="1">
        <v>1063</v>
      </c>
      <c r="M651" s="1">
        <v>0.5</v>
      </c>
      <c r="N651" s="1">
        <v>6.625</v>
      </c>
      <c r="O651" s="1">
        <v>6.5</v>
      </c>
      <c r="P651" s="9"/>
    </row>
    <row r="652" spans="1:16" x14ac:dyDescent="0.25">
      <c r="A652" s="6">
        <v>7.625</v>
      </c>
      <c r="B652" s="2">
        <v>39</v>
      </c>
      <c r="C652" s="2" t="s">
        <v>116</v>
      </c>
      <c r="D652" s="2">
        <v>10000</v>
      </c>
      <c r="E652" s="2">
        <v>10900</v>
      </c>
      <c r="F652" s="2"/>
      <c r="G652" s="2"/>
      <c r="H652" s="2"/>
      <c r="I652" s="2" t="s">
        <v>10</v>
      </c>
      <c r="J652" s="2">
        <v>914</v>
      </c>
      <c r="K652" s="2"/>
      <c r="L652" s="2">
        <v>1063</v>
      </c>
      <c r="M652" s="2">
        <v>0.5</v>
      </c>
      <c r="N652" s="2">
        <v>6.625</v>
      </c>
      <c r="O652" s="2">
        <v>6.5</v>
      </c>
      <c r="P652" s="7"/>
    </row>
    <row r="653" spans="1:16" x14ac:dyDescent="0.25">
      <c r="A653" s="6">
        <v>7.625</v>
      </c>
      <c r="B653" s="2">
        <v>39</v>
      </c>
      <c r="C653" s="2" t="s">
        <v>116</v>
      </c>
      <c r="D653" s="2">
        <v>10000</v>
      </c>
      <c r="E653" s="2">
        <v>10900</v>
      </c>
      <c r="F653" s="2"/>
      <c r="G653" s="2"/>
      <c r="H653" s="2"/>
      <c r="I653" s="2" t="s">
        <v>13</v>
      </c>
      <c r="J653" s="2">
        <v>1065</v>
      </c>
      <c r="K653" s="2"/>
      <c r="L653" s="2">
        <v>1063</v>
      </c>
      <c r="M653" s="2">
        <v>0.5</v>
      </c>
      <c r="N653" s="2">
        <v>6.625</v>
      </c>
      <c r="O653" s="2">
        <v>6.5</v>
      </c>
      <c r="P653" s="7"/>
    </row>
    <row r="654" spans="1:16" x14ac:dyDescent="0.25">
      <c r="A654" s="8">
        <v>7.625</v>
      </c>
      <c r="B654" s="1">
        <v>39</v>
      </c>
      <c r="C654" s="1" t="s">
        <v>80</v>
      </c>
      <c r="D654" s="1">
        <v>10600</v>
      </c>
      <c r="E654" s="1">
        <v>10900</v>
      </c>
      <c r="F654" s="1"/>
      <c r="G654" s="1"/>
      <c r="H654" s="1"/>
      <c r="I654" s="1" t="s">
        <v>10</v>
      </c>
      <c r="J654" s="1">
        <v>914</v>
      </c>
      <c r="K654" s="1"/>
      <c r="L654" s="1">
        <v>1063</v>
      </c>
      <c r="M654" s="1">
        <v>0.5</v>
      </c>
      <c r="N654" s="1">
        <v>6.625</v>
      </c>
      <c r="O654" s="1">
        <v>6.5</v>
      </c>
      <c r="P654" s="9"/>
    </row>
    <row r="655" spans="1:16" x14ac:dyDescent="0.25">
      <c r="A655" s="8">
        <v>7.625</v>
      </c>
      <c r="B655" s="1">
        <v>39</v>
      </c>
      <c r="C655" s="1" t="s">
        <v>80</v>
      </c>
      <c r="D655" s="1">
        <v>10600</v>
      </c>
      <c r="E655" s="1">
        <v>10900</v>
      </c>
      <c r="F655" s="1"/>
      <c r="G655" s="1"/>
      <c r="H655" s="1"/>
      <c r="I655" s="1" t="s">
        <v>13</v>
      </c>
      <c r="J655" s="1">
        <v>1065</v>
      </c>
      <c r="K655" s="1"/>
      <c r="L655" s="1">
        <v>1063</v>
      </c>
      <c r="M655" s="1">
        <v>0.5</v>
      </c>
      <c r="N655" s="1">
        <v>6.625</v>
      </c>
      <c r="O655" s="1">
        <v>6.5</v>
      </c>
      <c r="P655" s="9"/>
    </row>
    <row r="656" spans="1:16" x14ac:dyDescent="0.25">
      <c r="A656" s="6">
        <v>7.625</v>
      </c>
      <c r="B656" s="2">
        <v>39</v>
      </c>
      <c r="C656" s="2" t="s">
        <v>74</v>
      </c>
      <c r="D656" s="2">
        <v>10000</v>
      </c>
      <c r="E656" s="2">
        <v>10900</v>
      </c>
      <c r="F656" s="2"/>
      <c r="G656" s="2"/>
      <c r="H656" s="2"/>
      <c r="I656" s="2" t="s">
        <v>10</v>
      </c>
      <c r="J656" s="2">
        <v>914</v>
      </c>
      <c r="K656" s="2"/>
      <c r="L656" s="2">
        <v>1063</v>
      </c>
      <c r="M656" s="2">
        <v>0.5</v>
      </c>
      <c r="N656" s="2">
        <v>6.625</v>
      </c>
      <c r="O656" s="2">
        <v>6.5</v>
      </c>
      <c r="P656" s="7"/>
    </row>
    <row r="657" spans="1:16" x14ac:dyDescent="0.25">
      <c r="A657" s="6">
        <v>7.625</v>
      </c>
      <c r="B657" s="2">
        <v>39</v>
      </c>
      <c r="C657" s="2" t="s">
        <v>74</v>
      </c>
      <c r="D657" s="2">
        <v>10000</v>
      </c>
      <c r="E657" s="2">
        <v>10900</v>
      </c>
      <c r="F657" s="2"/>
      <c r="G657" s="2"/>
      <c r="H657" s="2"/>
      <c r="I657" s="2" t="s">
        <v>13</v>
      </c>
      <c r="J657" s="2">
        <v>1065</v>
      </c>
      <c r="K657" s="2"/>
      <c r="L657" s="2">
        <v>1063</v>
      </c>
      <c r="M657" s="2">
        <v>0.5</v>
      </c>
      <c r="N657" s="2">
        <v>6.625</v>
      </c>
      <c r="O657" s="2">
        <v>6.5</v>
      </c>
      <c r="P657" s="7"/>
    </row>
    <row r="658" spans="1:16" x14ac:dyDescent="0.25">
      <c r="A658" s="8">
        <v>7.625</v>
      </c>
      <c r="B658" s="1">
        <v>39</v>
      </c>
      <c r="C658" s="1" t="s">
        <v>113</v>
      </c>
      <c r="D658" s="1">
        <v>11080</v>
      </c>
      <c r="E658" s="1">
        <v>12620</v>
      </c>
      <c r="F658" s="1"/>
      <c r="G658" s="1"/>
      <c r="H658" s="1"/>
      <c r="I658" s="1" t="s">
        <v>10</v>
      </c>
      <c r="J658" s="1">
        <v>1066</v>
      </c>
      <c r="K658" s="1"/>
      <c r="L658" s="1">
        <v>1231</v>
      </c>
      <c r="M658" s="1">
        <v>0.5</v>
      </c>
      <c r="N658" s="1">
        <v>6.625</v>
      </c>
      <c r="O658" s="1">
        <v>6.5</v>
      </c>
      <c r="P658" s="9"/>
    </row>
    <row r="659" spans="1:16" x14ac:dyDescent="0.25">
      <c r="A659" s="8">
        <v>7.625</v>
      </c>
      <c r="B659" s="1">
        <v>39</v>
      </c>
      <c r="C659" s="1" t="s">
        <v>113</v>
      </c>
      <c r="D659" s="1">
        <v>11080</v>
      </c>
      <c r="E659" s="1">
        <v>12620</v>
      </c>
      <c r="F659" s="1"/>
      <c r="G659" s="1"/>
      <c r="H659" s="1"/>
      <c r="I659" s="1" t="s">
        <v>13</v>
      </c>
      <c r="J659" s="1">
        <v>1258</v>
      </c>
      <c r="K659" s="1"/>
      <c r="L659" s="1">
        <v>1231</v>
      </c>
      <c r="M659" s="1">
        <v>0.5</v>
      </c>
      <c r="N659" s="1">
        <v>6.625</v>
      </c>
      <c r="O659" s="1">
        <v>6.5</v>
      </c>
      <c r="P659" s="9"/>
    </row>
    <row r="660" spans="1:16" x14ac:dyDescent="0.25">
      <c r="A660" s="6">
        <v>7.625</v>
      </c>
      <c r="B660" s="2">
        <v>39</v>
      </c>
      <c r="C660" s="2" t="s">
        <v>114</v>
      </c>
      <c r="D660" s="2">
        <v>12060</v>
      </c>
      <c r="E660" s="2">
        <v>14340</v>
      </c>
      <c r="F660" s="2"/>
      <c r="G660" s="2"/>
      <c r="H660" s="2"/>
      <c r="I660" s="2" t="s">
        <v>10</v>
      </c>
      <c r="J660" s="2">
        <v>1194</v>
      </c>
      <c r="K660" s="2"/>
      <c r="L660" s="2">
        <v>1399</v>
      </c>
      <c r="M660" s="2">
        <v>0.5</v>
      </c>
      <c r="N660" s="2">
        <v>6.625</v>
      </c>
      <c r="O660" s="2">
        <v>6.5</v>
      </c>
      <c r="P660" s="7"/>
    </row>
    <row r="661" spans="1:16" x14ac:dyDescent="0.25">
      <c r="A661" s="6">
        <v>7.625</v>
      </c>
      <c r="B661" s="2">
        <v>39</v>
      </c>
      <c r="C661" s="2" t="s">
        <v>114</v>
      </c>
      <c r="D661" s="2">
        <v>12060</v>
      </c>
      <c r="E661" s="2">
        <v>14340</v>
      </c>
      <c r="F661" s="2"/>
      <c r="G661" s="2"/>
      <c r="H661" s="2"/>
      <c r="I661" s="2" t="s">
        <v>13</v>
      </c>
      <c r="J661" s="2">
        <v>1379</v>
      </c>
      <c r="K661" s="2"/>
      <c r="L661" s="2">
        <v>1399</v>
      </c>
      <c r="M661" s="2">
        <v>0.5</v>
      </c>
      <c r="N661" s="2">
        <v>6.625</v>
      </c>
      <c r="O661" s="2">
        <v>6.5</v>
      </c>
      <c r="P661" s="7"/>
    </row>
    <row r="662" spans="1:16" x14ac:dyDescent="0.25">
      <c r="A662" s="8">
        <v>7.625</v>
      </c>
      <c r="B662" s="1">
        <v>39</v>
      </c>
      <c r="C662" s="1" t="s">
        <v>117</v>
      </c>
      <c r="D662" s="1">
        <v>13440</v>
      </c>
      <c r="E662" s="1">
        <v>17210</v>
      </c>
      <c r="F662" s="1"/>
      <c r="G662" s="1"/>
      <c r="H662" s="1"/>
      <c r="I662" s="1" t="s">
        <v>10</v>
      </c>
      <c r="J662" s="1">
        <v>1428</v>
      </c>
      <c r="K662" s="1"/>
      <c r="L662" s="1">
        <v>1679</v>
      </c>
      <c r="M662" s="1">
        <v>0.5</v>
      </c>
      <c r="N662" s="1">
        <v>6.625</v>
      </c>
      <c r="O662" s="1">
        <v>6.5</v>
      </c>
      <c r="P662" s="9"/>
    </row>
    <row r="663" spans="1:16" x14ac:dyDescent="0.25">
      <c r="A663" s="8">
        <v>7.625</v>
      </c>
      <c r="B663" s="1">
        <v>39</v>
      </c>
      <c r="C663" s="1" t="s">
        <v>117</v>
      </c>
      <c r="D663" s="1">
        <v>13440</v>
      </c>
      <c r="E663" s="1">
        <v>17210</v>
      </c>
      <c r="F663" s="1"/>
      <c r="G663" s="1"/>
      <c r="H663" s="1"/>
      <c r="I663" s="1" t="s">
        <v>13</v>
      </c>
      <c r="J663" s="1">
        <v>1640</v>
      </c>
      <c r="K663" s="1"/>
      <c r="L663" s="1">
        <v>1679</v>
      </c>
      <c r="M663" s="1">
        <v>0.5</v>
      </c>
      <c r="N663" s="1">
        <v>6.625</v>
      </c>
      <c r="O663" s="1">
        <v>6.5</v>
      </c>
      <c r="P663" s="9"/>
    </row>
    <row r="664" spans="1:16" x14ac:dyDescent="0.25">
      <c r="A664" s="6">
        <v>7.625</v>
      </c>
      <c r="B664" s="2">
        <v>42.8</v>
      </c>
      <c r="C664" s="2" t="s">
        <v>111</v>
      </c>
      <c r="D664" s="2">
        <v>10810</v>
      </c>
      <c r="E664" s="2">
        <v>10320</v>
      </c>
      <c r="F664" s="2"/>
      <c r="G664" s="2"/>
      <c r="H664" s="2"/>
      <c r="I664" s="2" t="s">
        <v>10</v>
      </c>
      <c r="J664" s="2">
        <v>891</v>
      </c>
      <c r="K664" s="2"/>
      <c r="L664" s="2">
        <v>998</v>
      </c>
      <c r="M664" s="2">
        <v>0.56200000000000006</v>
      </c>
      <c r="N664" s="2">
        <v>6.5010000000000003</v>
      </c>
      <c r="O664" s="2">
        <v>6.3760000000000003</v>
      </c>
      <c r="P664" s="7"/>
    </row>
    <row r="665" spans="1:16" x14ac:dyDescent="0.25">
      <c r="A665" s="6">
        <v>7.625</v>
      </c>
      <c r="B665" s="2">
        <v>42.8</v>
      </c>
      <c r="C665" s="2" t="s">
        <v>111</v>
      </c>
      <c r="D665" s="2">
        <v>10810</v>
      </c>
      <c r="E665" s="2">
        <v>9790</v>
      </c>
      <c r="F665" s="2"/>
      <c r="G665" s="2"/>
      <c r="H665" s="2"/>
      <c r="I665" s="2" t="s">
        <v>13</v>
      </c>
      <c r="J665" s="2">
        <v>1053</v>
      </c>
      <c r="K665" s="2"/>
      <c r="L665" s="2">
        <v>998</v>
      </c>
      <c r="M665" s="2">
        <v>0.56200000000000006</v>
      </c>
      <c r="N665" s="2">
        <v>6.5010000000000003</v>
      </c>
      <c r="O665" s="2">
        <v>6.3760000000000003</v>
      </c>
      <c r="P665" s="7"/>
    </row>
    <row r="666" spans="1:16" x14ac:dyDescent="0.25">
      <c r="A666" s="8">
        <v>7.625</v>
      </c>
      <c r="B666" s="1">
        <v>42.8</v>
      </c>
      <c r="C666" s="1" t="s">
        <v>112</v>
      </c>
      <c r="D666" s="1">
        <v>10810</v>
      </c>
      <c r="E666" s="1">
        <v>10320</v>
      </c>
      <c r="F666" s="1"/>
      <c r="G666" s="1"/>
      <c r="H666" s="1"/>
      <c r="I666" s="1" t="s">
        <v>10</v>
      </c>
      <c r="J666" s="1">
        <v>905</v>
      </c>
      <c r="K666" s="1"/>
      <c r="L666" s="1">
        <v>998</v>
      </c>
      <c r="M666" s="1">
        <v>0.56200000000000006</v>
      </c>
      <c r="N666" s="1">
        <v>6.5010000000000003</v>
      </c>
      <c r="O666" s="1">
        <v>6.3760000000000003</v>
      </c>
      <c r="P666" s="9"/>
    </row>
    <row r="667" spans="1:16" x14ac:dyDescent="0.25">
      <c r="A667" s="8">
        <v>7.625</v>
      </c>
      <c r="B667" s="1">
        <v>42.8</v>
      </c>
      <c r="C667" s="1" t="s">
        <v>112</v>
      </c>
      <c r="D667" s="1">
        <v>10810</v>
      </c>
      <c r="E667" s="1">
        <v>9790</v>
      </c>
      <c r="F667" s="1"/>
      <c r="G667" s="1"/>
      <c r="H667" s="1"/>
      <c r="I667" s="1" t="s">
        <v>13</v>
      </c>
      <c r="J667" s="1">
        <v>1093</v>
      </c>
      <c r="K667" s="1"/>
      <c r="L667" s="1">
        <v>998</v>
      </c>
      <c r="M667" s="1">
        <v>0.56200000000000006</v>
      </c>
      <c r="N667" s="1">
        <v>6.5010000000000003</v>
      </c>
      <c r="O667" s="1">
        <v>6.3760000000000003</v>
      </c>
      <c r="P667" s="9"/>
    </row>
    <row r="668" spans="1:16" x14ac:dyDescent="0.25">
      <c r="A668" s="6">
        <v>7.625</v>
      </c>
      <c r="B668" s="2">
        <v>42.8</v>
      </c>
      <c r="C668" s="2" t="s">
        <v>68</v>
      </c>
      <c r="D668" s="2">
        <v>11890</v>
      </c>
      <c r="E668" s="2">
        <v>11610</v>
      </c>
      <c r="F668" s="2"/>
      <c r="G668" s="2"/>
      <c r="H668" s="2"/>
      <c r="I668" s="2" t="s">
        <v>10</v>
      </c>
      <c r="J668" s="2">
        <v>983</v>
      </c>
      <c r="K668" s="2"/>
      <c r="L668" s="2">
        <v>1122</v>
      </c>
      <c r="M668" s="2">
        <v>0.56200000000000006</v>
      </c>
      <c r="N668" s="2">
        <v>6.5010000000000003</v>
      </c>
      <c r="O668" s="2">
        <v>6.3760000000000003</v>
      </c>
      <c r="P668" s="7"/>
    </row>
    <row r="669" spans="1:16" x14ac:dyDescent="0.25">
      <c r="A669" s="6">
        <v>7.625</v>
      </c>
      <c r="B669" s="2">
        <v>42.8</v>
      </c>
      <c r="C669" s="2" t="s">
        <v>68</v>
      </c>
      <c r="D669" s="2">
        <v>11890</v>
      </c>
      <c r="E669" s="2">
        <v>11010</v>
      </c>
      <c r="F669" s="2"/>
      <c r="G669" s="2"/>
      <c r="H669" s="2"/>
      <c r="I669" s="2" t="s">
        <v>13</v>
      </c>
      <c r="J669" s="2">
        <v>1129</v>
      </c>
      <c r="K669" s="2"/>
      <c r="L669" s="2">
        <v>1122</v>
      </c>
      <c r="M669" s="2">
        <v>0.56200000000000006</v>
      </c>
      <c r="N669" s="2">
        <v>6.5010000000000003</v>
      </c>
      <c r="O669" s="2">
        <v>6.3760000000000003</v>
      </c>
      <c r="P669" s="7"/>
    </row>
    <row r="670" spans="1:16" x14ac:dyDescent="0.25">
      <c r="A670" s="8">
        <v>7.625</v>
      </c>
      <c r="B670" s="1">
        <v>42.8</v>
      </c>
      <c r="C670" s="1" t="s">
        <v>116</v>
      </c>
      <c r="D670" s="1">
        <v>12410</v>
      </c>
      <c r="E670" s="1">
        <v>12250</v>
      </c>
      <c r="F670" s="1"/>
      <c r="G670" s="1"/>
      <c r="H670" s="1"/>
      <c r="I670" s="1" t="s">
        <v>10</v>
      </c>
      <c r="J670" s="1">
        <v>1037</v>
      </c>
      <c r="K670" s="1"/>
      <c r="L670" s="1">
        <v>1185</v>
      </c>
      <c r="M670" s="1">
        <v>0.56200000000000006</v>
      </c>
      <c r="N670" s="1">
        <v>6.5010000000000003</v>
      </c>
      <c r="O670" s="1">
        <v>6.3760000000000003</v>
      </c>
      <c r="P670" s="9"/>
    </row>
    <row r="671" spans="1:16" x14ac:dyDescent="0.25">
      <c r="A671" s="8">
        <v>7.625</v>
      </c>
      <c r="B671" s="1">
        <v>42.8</v>
      </c>
      <c r="C671" s="1" t="s">
        <v>116</v>
      </c>
      <c r="D671" s="1">
        <v>12410</v>
      </c>
      <c r="E671" s="1">
        <v>11620</v>
      </c>
      <c r="F671" s="1"/>
      <c r="G671" s="1"/>
      <c r="H671" s="1"/>
      <c r="I671" s="1" t="s">
        <v>13</v>
      </c>
      <c r="J671" s="1">
        <v>1187</v>
      </c>
      <c r="K671" s="1"/>
      <c r="L671" s="1">
        <v>1185</v>
      </c>
      <c r="M671" s="1">
        <v>0.56200000000000006</v>
      </c>
      <c r="N671" s="1">
        <v>6.5010000000000003</v>
      </c>
      <c r="O671" s="1">
        <v>6.3760000000000003</v>
      </c>
      <c r="P671" s="9"/>
    </row>
    <row r="672" spans="1:16" x14ac:dyDescent="0.25">
      <c r="A672" s="6">
        <v>7.625</v>
      </c>
      <c r="B672" s="2">
        <v>42.8</v>
      </c>
      <c r="C672" s="2" t="s">
        <v>74</v>
      </c>
      <c r="D672" s="2">
        <v>12410</v>
      </c>
      <c r="E672" s="2">
        <v>12250</v>
      </c>
      <c r="F672" s="2"/>
      <c r="G672" s="2"/>
      <c r="H672" s="2"/>
      <c r="I672" s="2" t="s">
        <v>10</v>
      </c>
      <c r="J672" s="2">
        <v>1037</v>
      </c>
      <c r="K672" s="2"/>
      <c r="L672" s="2">
        <v>1185</v>
      </c>
      <c r="M672" s="2">
        <v>0.56200000000000006</v>
      </c>
      <c r="N672" s="2">
        <v>6.5010000000000003</v>
      </c>
      <c r="O672" s="2">
        <v>6.3760000000000003</v>
      </c>
      <c r="P672" s="7"/>
    </row>
    <row r="673" spans="1:16" x14ac:dyDescent="0.25">
      <c r="A673" s="6">
        <v>7.625</v>
      </c>
      <c r="B673" s="2">
        <v>42.8</v>
      </c>
      <c r="C673" s="2" t="s">
        <v>74</v>
      </c>
      <c r="D673" s="2">
        <v>12410</v>
      </c>
      <c r="E673" s="2">
        <v>11620</v>
      </c>
      <c r="F673" s="2"/>
      <c r="G673" s="2"/>
      <c r="H673" s="2"/>
      <c r="I673" s="2" t="s">
        <v>13</v>
      </c>
      <c r="J673" s="2">
        <v>1187</v>
      </c>
      <c r="K673" s="2"/>
      <c r="L673" s="2">
        <v>1185</v>
      </c>
      <c r="M673" s="2">
        <v>0.56200000000000006</v>
      </c>
      <c r="N673" s="2">
        <v>6.5010000000000003</v>
      </c>
      <c r="O673" s="2">
        <v>6.3760000000000003</v>
      </c>
      <c r="P673" s="7"/>
    </row>
    <row r="674" spans="1:16" x14ac:dyDescent="0.25">
      <c r="A674" s="8">
        <v>7.625</v>
      </c>
      <c r="B674" s="1">
        <v>42.8</v>
      </c>
      <c r="C674" s="1" t="s">
        <v>113</v>
      </c>
      <c r="D674" s="1">
        <v>13920</v>
      </c>
      <c r="E674" s="1">
        <v>14190</v>
      </c>
      <c r="F674" s="1"/>
      <c r="G674" s="1"/>
      <c r="H674" s="1"/>
      <c r="I674" s="1" t="s">
        <v>10</v>
      </c>
      <c r="J674" s="1">
        <v>1210</v>
      </c>
      <c r="K674" s="1"/>
      <c r="L674" s="1">
        <v>1372</v>
      </c>
      <c r="M674" s="1">
        <v>0.56200000000000006</v>
      </c>
      <c r="N674" s="1">
        <v>6.5010000000000003</v>
      </c>
      <c r="O674" s="1">
        <v>6.3760000000000003</v>
      </c>
      <c r="P674" s="9"/>
    </row>
    <row r="675" spans="1:16" x14ac:dyDescent="0.25">
      <c r="A675" s="8">
        <v>7.625</v>
      </c>
      <c r="B675" s="1">
        <v>42.8</v>
      </c>
      <c r="C675" s="1" t="s">
        <v>113</v>
      </c>
      <c r="D675" s="1">
        <v>13920</v>
      </c>
      <c r="E675" s="1">
        <v>13460</v>
      </c>
      <c r="F675" s="1"/>
      <c r="G675" s="1"/>
      <c r="H675" s="1"/>
      <c r="I675" s="1" t="s">
        <v>13</v>
      </c>
      <c r="J675" s="1">
        <v>1402</v>
      </c>
      <c r="K675" s="1"/>
      <c r="L675" s="1">
        <v>1372</v>
      </c>
      <c r="M675" s="1">
        <v>0.56200000000000006</v>
      </c>
      <c r="N675" s="1">
        <v>6.5010000000000003</v>
      </c>
      <c r="O675" s="1">
        <v>6.3760000000000003</v>
      </c>
      <c r="P675" s="9"/>
    </row>
    <row r="676" spans="1:16" x14ac:dyDescent="0.25">
      <c r="A676" s="6">
        <v>7.625</v>
      </c>
      <c r="B676" s="2">
        <v>42.8</v>
      </c>
      <c r="C676" s="2" t="s">
        <v>114</v>
      </c>
      <c r="D676" s="2">
        <v>15350</v>
      </c>
      <c r="E676" s="2">
        <v>16120</v>
      </c>
      <c r="F676" s="2"/>
      <c r="G676" s="2"/>
      <c r="H676" s="2"/>
      <c r="I676" s="2" t="s">
        <v>10</v>
      </c>
      <c r="J676" s="2">
        <v>1355</v>
      </c>
      <c r="K676" s="2"/>
      <c r="L676" s="2">
        <v>1559</v>
      </c>
      <c r="M676" s="2">
        <v>0.56200000000000006</v>
      </c>
      <c r="N676" s="2">
        <v>6.5010000000000003</v>
      </c>
      <c r="O676" s="2">
        <v>6.3760000000000003</v>
      </c>
      <c r="P676" s="7"/>
    </row>
    <row r="677" spans="1:16" x14ac:dyDescent="0.25">
      <c r="A677" s="6">
        <v>7.625</v>
      </c>
      <c r="B677" s="2">
        <v>42.8</v>
      </c>
      <c r="C677" s="2" t="s">
        <v>114</v>
      </c>
      <c r="D677" s="2">
        <v>15350</v>
      </c>
      <c r="E677" s="2">
        <v>15290</v>
      </c>
      <c r="F677" s="2"/>
      <c r="G677" s="2"/>
      <c r="H677" s="2"/>
      <c r="I677" s="2" t="s">
        <v>13</v>
      </c>
      <c r="J677" s="2">
        <v>1536</v>
      </c>
      <c r="K677" s="2"/>
      <c r="L677" s="2">
        <v>1559</v>
      </c>
      <c r="M677" s="2">
        <v>0.56200000000000006</v>
      </c>
      <c r="N677" s="2">
        <v>6.5010000000000003</v>
      </c>
      <c r="O677" s="2">
        <v>6.3760000000000003</v>
      </c>
      <c r="P677" s="7"/>
    </row>
    <row r="678" spans="1:16" x14ac:dyDescent="0.25">
      <c r="A678" s="8">
        <v>7.625</v>
      </c>
      <c r="B678" s="1">
        <v>45.3</v>
      </c>
      <c r="C678" s="1" t="s">
        <v>111</v>
      </c>
      <c r="D678" s="1">
        <v>11510</v>
      </c>
      <c r="E678" s="1">
        <v>10490</v>
      </c>
      <c r="F678" s="1"/>
      <c r="G678" s="1"/>
      <c r="H678" s="1"/>
      <c r="I678" s="1" t="s">
        <v>10</v>
      </c>
      <c r="J678" s="1">
        <v>947</v>
      </c>
      <c r="K678" s="1"/>
      <c r="L678" s="1">
        <v>1051</v>
      </c>
      <c r="M678" s="1">
        <v>0.59499999999999997</v>
      </c>
      <c r="N678" s="1">
        <v>6.4349999999999996</v>
      </c>
      <c r="O678" s="1">
        <v>6.31</v>
      </c>
      <c r="P678" s="9"/>
    </row>
    <row r="679" spans="1:16" x14ac:dyDescent="0.25">
      <c r="A679" s="8">
        <v>7.625</v>
      </c>
      <c r="B679" s="1">
        <v>45.3</v>
      </c>
      <c r="C679" s="1" t="s">
        <v>111</v>
      </c>
      <c r="D679" s="1">
        <v>11510</v>
      </c>
      <c r="E679" s="1">
        <v>9790</v>
      </c>
      <c r="F679" s="1"/>
      <c r="G679" s="1"/>
      <c r="H679" s="1"/>
      <c r="I679" s="1" t="s">
        <v>13</v>
      </c>
      <c r="J679" s="1">
        <v>1109</v>
      </c>
      <c r="K679" s="1"/>
      <c r="L679" s="1">
        <v>1051</v>
      </c>
      <c r="M679" s="1">
        <v>0.59499999999999997</v>
      </c>
      <c r="N679" s="1">
        <v>6.4349999999999996</v>
      </c>
      <c r="O679" s="1">
        <v>6.31</v>
      </c>
      <c r="P679" s="9"/>
    </row>
    <row r="680" spans="1:16" x14ac:dyDescent="0.25">
      <c r="A680" s="6">
        <v>7.625</v>
      </c>
      <c r="B680" s="2">
        <v>45.3</v>
      </c>
      <c r="C680" s="2" t="s">
        <v>88</v>
      </c>
      <c r="D680" s="2">
        <v>12900</v>
      </c>
      <c r="E680" s="2">
        <v>10490</v>
      </c>
      <c r="F680" s="2"/>
      <c r="G680" s="2"/>
      <c r="H680" s="2"/>
      <c r="I680" s="2" t="s">
        <v>10</v>
      </c>
      <c r="J680" s="2">
        <v>1086</v>
      </c>
      <c r="K680" s="2"/>
      <c r="L680" s="2">
        <v>1051</v>
      </c>
      <c r="M680" s="2">
        <v>0.59499999999999997</v>
      </c>
      <c r="N680" s="2">
        <v>6.4349999999999996</v>
      </c>
      <c r="O680" s="2">
        <v>6.31</v>
      </c>
      <c r="P680" s="7"/>
    </row>
    <row r="681" spans="1:16" x14ac:dyDescent="0.25">
      <c r="A681" s="6">
        <v>7.625</v>
      </c>
      <c r="B681" s="2">
        <v>45.3</v>
      </c>
      <c r="C681" s="2" t="s">
        <v>88</v>
      </c>
      <c r="D681" s="2">
        <v>12900</v>
      </c>
      <c r="E681" s="2">
        <v>9790</v>
      </c>
      <c r="F681" s="2"/>
      <c r="G681" s="2"/>
      <c r="H681" s="2"/>
      <c r="I681" s="2" t="s">
        <v>13</v>
      </c>
      <c r="J681" s="2">
        <v>1177</v>
      </c>
      <c r="K681" s="2"/>
      <c r="L681" s="2">
        <v>1051</v>
      </c>
      <c r="M681" s="2">
        <v>0.59499999999999997</v>
      </c>
      <c r="N681" s="2">
        <v>6.4349999999999996</v>
      </c>
      <c r="O681" s="2">
        <v>6.31</v>
      </c>
      <c r="P681" s="7"/>
    </row>
    <row r="682" spans="1:16" x14ac:dyDescent="0.25">
      <c r="A682" s="8">
        <v>7.625</v>
      </c>
      <c r="B682" s="1">
        <v>45.3</v>
      </c>
      <c r="C682" s="1" t="s">
        <v>112</v>
      </c>
      <c r="D682" s="1">
        <v>11510</v>
      </c>
      <c r="E682" s="1">
        <v>10490</v>
      </c>
      <c r="F682" s="1"/>
      <c r="G682" s="1"/>
      <c r="H682" s="1"/>
      <c r="I682" s="1" t="s">
        <v>10</v>
      </c>
      <c r="J682" s="1">
        <v>962</v>
      </c>
      <c r="K682" s="1"/>
      <c r="L682" s="1">
        <v>1051</v>
      </c>
      <c r="M682" s="1">
        <v>0.59499999999999997</v>
      </c>
      <c r="N682" s="1">
        <v>6.4349999999999996</v>
      </c>
      <c r="O682" s="1">
        <v>6.31</v>
      </c>
      <c r="P682" s="9"/>
    </row>
    <row r="683" spans="1:16" x14ac:dyDescent="0.25">
      <c r="A683" s="8">
        <v>7.625</v>
      </c>
      <c r="B683" s="1">
        <v>45.3</v>
      </c>
      <c r="C683" s="1" t="s">
        <v>112</v>
      </c>
      <c r="D683" s="1">
        <v>11510</v>
      </c>
      <c r="E683" s="1">
        <v>9790</v>
      </c>
      <c r="F683" s="1"/>
      <c r="G683" s="1"/>
      <c r="H683" s="1"/>
      <c r="I683" s="1" t="s">
        <v>13</v>
      </c>
      <c r="J683" s="1">
        <v>1152</v>
      </c>
      <c r="K683" s="1"/>
      <c r="L683" s="1">
        <v>1051</v>
      </c>
      <c r="M683" s="1">
        <v>0.59499999999999997</v>
      </c>
      <c r="N683" s="1">
        <v>6.4349999999999996</v>
      </c>
      <c r="O683" s="1">
        <v>6.31</v>
      </c>
      <c r="P683" s="9"/>
    </row>
    <row r="684" spans="1:16" x14ac:dyDescent="0.25">
      <c r="A684" s="6">
        <v>7.625</v>
      </c>
      <c r="B684" s="2">
        <v>45.3</v>
      </c>
      <c r="C684" s="2" t="s">
        <v>93</v>
      </c>
      <c r="D684" s="2">
        <v>12900</v>
      </c>
      <c r="E684" s="2">
        <v>10490</v>
      </c>
      <c r="F684" s="2"/>
      <c r="G684" s="2"/>
      <c r="H684" s="2"/>
      <c r="I684" s="2" t="s">
        <v>10</v>
      </c>
      <c r="J684" s="2">
        <v>1086</v>
      </c>
      <c r="K684" s="2"/>
      <c r="L684" s="2">
        <v>1051</v>
      </c>
      <c r="M684" s="2">
        <v>0.59499999999999997</v>
      </c>
      <c r="N684" s="2">
        <v>6.4349999999999996</v>
      </c>
      <c r="O684" s="2">
        <v>6.31</v>
      </c>
      <c r="P684" s="7"/>
    </row>
    <row r="685" spans="1:16" x14ac:dyDescent="0.25">
      <c r="A685" s="6">
        <v>7.625</v>
      </c>
      <c r="B685" s="2">
        <v>45.3</v>
      </c>
      <c r="C685" s="2" t="s">
        <v>93</v>
      </c>
      <c r="D685" s="2">
        <v>12900</v>
      </c>
      <c r="E685" s="2">
        <v>9790</v>
      </c>
      <c r="F685" s="2"/>
      <c r="G685" s="2"/>
      <c r="H685" s="2"/>
      <c r="I685" s="2" t="s">
        <v>13</v>
      </c>
      <c r="J685" s="2">
        <v>1208</v>
      </c>
      <c r="K685" s="2"/>
      <c r="L685" s="2">
        <v>1051</v>
      </c>
      <c r="M685" s="2">
        <v>0.59499999999999997</v>
      </c>
      <c r="N685" s="2">
        <v>6.4349999999999996</v>
      </c>
      <c r="O685" s="2">
        <v>6.31</v>
      </c>
      <c r="P685" s="7"/>
    </row>
    <row r="686" spans="1:16" x14ac:dyDescent="0.25">
      <c r="A686" s="8">
        <v>7.625</v>
      </c>
      <c r="B686" s="1">
        <v>45.3</v>
      </c>
      <c r="C686" s="1" t="s">
        <v>68</v>
      </c>
      <c r="D686" s="1">
        <v>12950</v>
      </c>
      <c r="E686" s="1">
        <v>11810</v>
      </c>
      <c r="F686" s="1"/>
      <c r="G686" s="1"/>
      <c r="H686" s="1"/>
      <c r="I686" s="1" t="s">
        <v>10</v>
      </c>
      <c r="J686" s="1">
        <v>1045</v>
      </c>
      <c r="K686" s="1"/>
      <c r="L686" s="1">
        <v>1183</v>
      </c>
      <c r="M686" s="1">
        <v>0.59499999999999997</v>
      </c>
      <c r="N686" s="1">
        <v>6.4349999999999996</v>
      </c>
      <c r="O686" s="1">
        <v>6.31</v>
      </c>
      <c r="P686" s="9"/>
    </row>
    <row r="687" spans="1:16" x14ac:dyDescent="0.25">
      <c r="A687" s="8">
        <v>7.625</v>
      </c>
      <c r="B687" s="1">
        <v>45.3</v>
      </c>
      <c r="C687" s="1" t="s">
        <v>68</v>
      </c>
      <c r="D687" s="1">
        <v>12950</v>
      </c>
      <c r="E687" s="1">
        <v>11010</v>
      </c>
      <c r="F687" s="1"/>
      <c r="G687" s="1"/>
      <c r="H687" s="1"/>
      <c r="I687" s="1" t="s">
        <v>13</v>
      </c>
      <c r="J687" s="1">
        <v>1189</v>
      </c>
      <c r="K687" s="1"/>
      <c r="L687" s="1">
        <v>1183</v>
      </c>
      <c r="M687" s="1">
        <v>0.59499999999999997</v>
      </c>
      <c r="N687" s="1">
        <v>6.4349999999999996</v>
      </c>
      <c r="O687" s="1">
        <v>6.31</v>
      </c>
      <c r="P687" s="9"/>
    </row>
    <row r="688" spans="1:16" x14ac:dyDescent="0.25">
      <c r="A688" s="6">
        <v>7.625</v>
      </c>
      <c r="B688" s="2">
        <v>45.3</v>
      </c>
      <c r="C688" s="2" t="s">
        <v>75</v>
      </c>
      <c r="D688" s="2">
        <v>12950</v>
      </c>
      <c r="E688" s="2">
        <v>11810</v>
      </c>
      <c r="F688" s="2"/>
      <c r="G688" s="2"/>
      <c r="H688" s="2"/>
      <c r="I688" s="2" t="s">
        <v>10</v>
      </c>
      <c r="J688" s="2">
        <v>1086</v>
      </c>
      <c r="K688" s="2"/>
      <c r="L688" s="2">
        <v>1183</v>
      </c>
      <c r="M688" s="2">
        <v>0.59499999999999997</v>
      </c>
      <c r="N688" s="2">
        <v>6.4349999999999996</v>
      </c>
      <c r="O688" s="2">
        <v>6.31</v>
      </c>
      <c r="P688" s="7"/>
    </row>
    <row r="689" spans="1:16" x14ac:dyDescent="0.25">
      <c r="A689" s="6">
        <v>7.625</v>
      </c>
      <c r="B689" s="2">
        <v>45.3</v>
      </c>
      <c r="C689" s="2" t="s">
        <v>75</v>
      </c>
      <c r="D689" s="2">
        <v>12950</v>
      </c>
      <c r="E689" s="2">
        <v>11010</v>
      </c>
      <c r="F689" s="2"/>
      <c r="G689" s="2"/>
      <c r="H689" s="2"/>
      <c r="I689" s="2" t="s">
        <v>13</v>
      </c>
      <c r="J689" s="2">
        <v>1208</v>
      </c>
      <c r="K689" s="2"/>
      <c r="L689" s="2">
        <v>1183</v>
      </c>
      <c r="M689" s="2">
        <v>0.59499999999999997</v>
      </c>
      <c r="N689" s="2">
        <v>6.4349999999999996</v>
      </c>
      <c r="O689" s="2">
        <v>6.31</v>
      </c>
      <c r="P689" s="7"/>
    </row>
    <row r="690" spans="1:16" x14ac:dyDescent="0.25">
      <c r="A690" s="8">
        <v>7.625</v>
      </c>
      <c r="B690" s="1">
        <v>45.3</v>
      </c>
      <c r="C690" s="1" t="s">
        <v>115</v>
      </c>
      <c r="D690" s="1">
        <v>13660</v>
      </c>
      <c r="E690" s="1">
        <v>12460</v>
      </c>
      <c r="F690" s="1"/>
      <c r="G690" s="1"/>
      <c r="H690" s="1"/>
      <c r="I690" s="1" t="s">
        <v>10</v>
      </c>
      <c r="J690" s="1">
        <v>1116</v>
      </c>
      <c r="K690" s="1"/>
      <c r="L690" s="1">
        <v>1248</v>
      </c>
      <c r="M690" s="1">
        <v>0.59499999999999997</v>
      </c>
      <c r="N690" s="1">
        <v>6.4349999999999996</v>
      </c>
      <c r="O690" s="1">
        <v>6.31</v>
      </c>
      <c r="P690" s="9"/>
    </row>
    <row r="691" spans="1:16" x14ac:dyDescent="0.25">
      <c r="A691" s="8">
        <v>7.625</v>
      </c>
      <c r="B691" s="1">
        <v>45.3</v>
      </c>
      <c r="C691" s="1" t="s">
        <v>115</v>
      </c>
      <c r="D691" s="1">
        <v>13660</v>
      </c>
      <c r="E691" s="1">
        <v>11620</v>
      </c>
      <c r="F691" s="1"/>
      <c r="G691" s="1"/>
      <c r="H691" s="1"/>
      <c r="I691" s="1" t="s">
        <v>13</v>
      </c>
      <c r="J691" s="1">
        <v>1293</v>
      </c>
      <c r="K691" s="1"/>
      <c r="L691" s="1">
        <v>1248</v>
      </c>
      <c r="M691" s="1">
        <v>0.59499999999999997</v>
      </c>
      <c r="N691" s="1">
        <v>6.4349999999999996</v>
      </c>
      <c r="O691" s="1">
        <v>6.31</v>
      </c>
      <c r="P691" s="9"/>
    </row>
    <row r="692" spans="1:16" x14ac:dyDescent="0.25">
      <c r="A692" s="6">
        <v>7.625</v>
      </c>
      <c r="B692" s="2">
        <v>45.3</v>
      </c>
      <c r="C692" s="2" t="s">
        <v>116</v>
      </c>
      <c r="D692" s="2">
        <v>13660</v>
      </c>
      <c r="E692" s="2">
        <v>12460</v>
      </c>
      <c r="F692" s="2"/>
      <c r="G692" s="2"/>
      <c r="H692" s="2"/>
      <c r="I692" s="2" t="s">
        <v>10</v>
      </c>
      <c r="J692" s="2">
        <v>1101</v>
      </c>
      <c r="K692" s="2"/>
      <c r="L692" s="2">
        <v>1248</v>
      </c>
      <c r="M692" s="2">
        <v>0.59499999999999997</v>
      </c>
      <c r="N692" s="2">
        <v>6.4349999999999996</v>
      </c>
      <c r="O692" s="2">
        <v>6.31</v>
      </c>
      <c r="P692" s="7"/>
    </row>
    <row r="693" spans="1:16" x14ac:dyDescent="0.25">
      <c r="A693" s="6">
        <v>7.625</v>
      </c>
      <c r="B693" s="2">
        <v>45.3</v>
      </c>
      <c r="C693" s="2" t="s">
        <v>116</v>
      </c>
      <c r="D693" s="2">
        <v>13660</v>
      </c>
      <c r="E693" s="2">
        <v>11620</v>
      </c>
      <c r="F693" s="2"/>
      <c r="G693" s="2"/>
      <c r="H693" s="2"/>
      <c r="I693" s="2" t="s">
        <v>13</v>
      </c>
      <c r="J693" s="2">
        <v>1251</v>
      </c>
      <c r="K693" s="2"/>
      <c r="L693" s="2">
        <v>1248</v>
      </c>
      <c r="M693" s="2">
        <v>0.59499999999999997</v>
      </c>
      <c r="N693" s="2">
        <v>6.4349999999999996</v>
      </c>
      <c r="O693" s="2">
        <v>6.31</v>
      </c>
      <c r="P693" s="7"/>
    </row>
    <row r="694" spans="1:16" x14ac:dyDescent="0.25">
      <c r="A694" s="8">
        <v>7.625</v>
      </c>
      <c r="B694" s="1">
        <v>45.3</v>
      </c>
      <c r="C694" s="1" t="s">
        <v>80</v>
      </c>
      <c r="D694" s="1">
        <v>13660</v>
      </c>
      <c r="E694" s="1">
        <v>12460</v>
      </c>
      <c r="F694" s="1"/>
      <c r="G694" s="1"/>
      <c r="H694" s="1"/>
      <c r="I694" s="1" t="s">
        <v>10</v>
      </c>
      <c r="J694" s="1">
        <v>1101</v>
      </c>
      <c r="K694" s="1"/>
      <c r="L694" s="1">
        <v>1248</v>
      </c>
      <c r="M694" s="1">
        <v>0.59499999999999997</v>
      </c>
      <c r="N694" s="1">
        <v>6.4349999999999996</v>
      </c>
      <c r="O694" s="1">
        <v>6.31</v>
      </c>
      <c r="P694" s="9"/>
    </row>
    <row r="695" spans="1:16" x14ac:dyDescent="0.25">
      <c r="A695" s="8">
        <v>7.625</v>
      </c>
      <c r="B695" s="1">
        <v>45.3</v>
      </c>
      <c r="C695" s="1" t="s">
        <v>80</v>
      </c>
      <c r="D695" s="1">
        <v>13660</v>
      </c>
      <c r="E695" s="1">
        <v>11620</v>
      </c>
      <c r="F695" s="1"/>
      <c r="G695" s="1"/>
      <c r="H695" s="1"/>
      <c r="I695" s="1" t="s">
        <v>13</v>
      </c>
      <c r="J695" s="1">
        <v>1251</v>
      </c>
      <c r="K695" s="1"/>
      <c r="L695" s="1">
        <v>1248</v>
      </c>
      <c r="M695" s="1">
        <v>0.59499999999999997</v>
      </c>
      <c r="N695" s="1">
        <v>6.4349999999999996</v>
      </c>
      <c r="O695" s="1">
        <v>6.31</v>
      </c>
      <c r="P695" s="9"/>
    </row>
    <row r="696" spans="1:16" x14ac:dyDescent="0.25">
      <c r="A696" s="6">
        <v>7.625</v>
      </c>
      <c r="B696" s="2">
        <v>45.3</v>
      </c>
      <c r="C696" s="2" t="s">
        <v>74</v>
      </c>
      <c r="D696" s="2">
        <v>13660</v>
      </c>
      <c r="E696" s="2">
        <v>12460</v>
      </c>
      <c r="F696" s="2"/>
      <c r="G696" s="2"/>
      <c r="H696" s="2"/>
      <c r="I696" s="2" t="s">
        <v>10</v>
      </c>
      <c r="J696" s="2">
        <v>1101</v>
      </c>
      <c r="K696" s="2"/>
      <c r="L696" s="2">
        <v>1248</v>
      </c>
      <c r="M696" s="2">
        <v>0.59499999999999997</v>
      </c>
      <c r="N696" s="2">
        <v>6.4349999999999996</v>
      </c>
      <c r="O696" s="2">
        <v>6.31</v>
      </c>
      <c r="P696" s="7"/>
    </row>
    <row r="697" spans="1:16" x14ac:dyDescent="0.25">
      <c r="A697" s="6">
        <v>7.625</v>
      </c>
      <c r="B697" s="2">
        <v>45.3</v>
      </c>
      <c r="C697" s="2" t="s">
        <v>74</v>
      </c>
      <c r="D697" s="2">
        <v>13660</v>
      </c>
      <c r="E697" s="2">
        <v>11620</v>
      </c>
      <c r="F697" s="2"/>
      <c r="G697" s="2"/>
      <c r="H697" s="2"/>
      <c r="I697" s="2" t="s">
        <v>13</v>
      </c>
      <c r="J697" s="2">
        <v>1251</v>
      </c>
      <c r="K697" s="2"/>
      <c r="L697" s="2">
        <v>1248</v>
      </c>
      <c r="M697" s="2">
        <v>0.59499999999999997</v>
      </c>
      <c r="N697" s="2">
        <v>6.4349999999999996</v>
      </c>
      <c r="O697" s="2">
        <v>6.31</v>
      </c>
      <c r="P697" s="7"/>
    </row>
    <row r="698" spans="1:16" x14ac:dyDescent="0.25">
      <c r="A698" s="8">
        <v>7.625</v>
      </c>
      <c r="B698" s="1">
        <v>45.3</v>
      </c>
      <c r="C698" s="1" t="s">
        <v>113</v>
      </c>
      <c r="D698" s="1">
        <v>15430</v>
      </c>
      <c r="E698" s="1">
        <v>14430</v>
      </c>
      <c r="F698" s="1"/>
      <c r="G698" s="1"/>
      <c r="H698" s="1"/>
      <c r="I698" s="1" t="s">
        <v>10</v>
      </c>
      <c r="J698" s="1">
        <v>1285</v>
      </c>
      <c r="K698" s="1"/>
      <c r="L698" s="1">
        <v>1446</v>
      </c>
      <c r="M698" s="1">
        <v>0.59499999999999997</v>
      </c>
      <c r="N698" s="1">
        <v>6.4349999999999996</v>
      </c>
      <c r="O698" s="1">
        <v>6.31</v>
      </c>
      <c r="P698" s="9"/>
    </row>
    <row r="699" spans="1:16" x14ac:dyDescent="0.25">
      <c r="A699" s="8">
        <v>7.625</v>
      </c>
      <c r="B699" s="1">
        <v>45.3</v>
      </c>
      <c r="C699" s="1" t="s">
        <v>113</v>
      </c>
      <c r="D699" s="1">
        <v>15430</v>
      </c>
      <c r="E699" s="1">
        <v>13460</v>
      </c>
      <c r="F699" s="1"/>
      <c r="G699" s="1"/>
      <c r="H699" s="1"/>
      <c r="I699" s="1" t="s">
        <v>13</v>
      </c>
      <c r="J699" s="1">
        <v>1477</v>
      </c>
      <c r="K699" s="1"/>
      <c r="L699" s="1">
        <v>1446</v>
      </c>
      <c r="M699" s="1">
        <v>0.59499999999999997</v>
      </c>
      <c r="N699" s="1">
        <v>6.4349999999999996</v>
      </c>
      <c r="O699" s="1">
        <v>6.31</v>
      </c>
      <c r="P699" s="9"/>
    </row>
    <row r="700" spans="1:16" x14ac:dyDescent="0.25">
      <c r="A700" s="6">
        <v>7.625</v>
      </c>
      <c r="B700" s="2">
        <v>45.3</v>
      </c>
      <c r="C700" s="2" t="s">
        <v>114</v>
      </c>
      <c r="D700" s="2">
        <v>17090</v>
      </c>
      <c r="E700" s="2">
        <v>16400</v>
      </c>
      <c r="F700" s="2"/>
      <c r="G700" s="2"/>
      <c r="H700" s="2"/>
      <c r="I700" s="2" t="s">
        <v>10</v>
      </c>
      <c r="J700" s="2">
        <v>1439</v>
      </c>
      <c r="K700" s="2"/>
      <c r="L700" s="2">
        <v>1643</v>
      </c>
      <c r="M700" s="2">
        <v>0.59499999999999997</v>
      </c>
      <c r="N700" s="2">
        <v>6.4349999999999996</v>
      </c>
      <c r="O700" s="2">
        <v>6.31</v>
      </c>
      <c r="P700" s="7"/>
    </row>
    <row r="701" spans="1:16" x14ac:dyDescent="0.25">
      <c r="A701" s="6">
        <v>7.625</v>
      </c>
      <c r="B701" s="2">
        <v>45.3</v>
      </c>
      <c r="C701" s="2" t="s">
        <v>114</v>
      </c>
      <c r="D701" s="2">
        <v>17090</v>
      </c>
      <c r="E701" s="2">
        <v>15290</v>
      </c>
      <c r="F701" s="2"/>
      <c r="G701" s="2"/>
      <c r="H701" s="2"/>
      <c r="I701" s="2" t="s">
        <v>13</v>
      </c>
      <c r="J701" s="2">
        <v>1619</v>
      </c>
      <c r="K701" s="2"/>
      <c r="L701" s="2">
        <v>1643</v>
      </c>
      <c r="M701" s="2">
        <v>0.59499999999999997</v>
      </c>
      <c r="N701" s="2">
        <v>6.4349999999999996</v>
      </c>
      <c r="O701" s="2">
        <v>6.31</v>
      </c>
      <c r="P701" s="7"/>
    </row>
    <row r="702" spans="1:16" x14ac:dyDescent="0.25">
      <c r="A702" s="8">
        <v>7.625</v>
      </c>
      <c r="B702" s="1">
        <v>45.3</v>
      </c>
      <c r="C702" s="1" t="s">
        <v>117</v>
      </c>
      <c r="D702" s="1">
        <v>19660</v>
      </c>
      <c r="E702" s="1">
        <v>19680</v>
      </c>
      <c r="F702" s="1"/>
      <c r="G702" s="1"/>
      <c r="H702" s="1"/>
      <c r="I702" s="1" t="s">
        <v>10</v>
      </c>
      <c r="J702" s="1">
        <v>1721</v>
      </c>
      <c r="K702" s="1"/>
      <c r="L702" s="1">
        <v>1971</v>
      </c>
      <c r="M702" s="1">
        <v>0.59499999999999997</v>
      </c>
      <c r="N702" s="1">
        <v>6.4349999999999996</v>
      </c>
      <c r="O702" s="1">
        <v>6.31</v>
      </c>
      <c r="P702" s="9"/>
    </row>
    <row r="703" spans="1:16" x14ac:dyDescent="0.25">
      <c r="A703" s="8">
        <v>7.625</v>
      </c>
      <c r="B703" s="1">
        <v>45.3</v>
      </c>
      <c r="C703" s="1" t="s">
        <v>117</v>
      </c>
      <c r="D703" s="1">
        <v>19660</v>
      </c>
      <c r="E703" s="1">
        <v>18350</v>
      </c>
      <c r="F703" s="1"/>
      <c r="G703" s="1"/>
      <c r="H703" s="1"/>
      <c r="I703" s="1" t="s">
        <v>13</v>
      </c>
      <c r="J703" s="1">
        <v>1926</v>
      </c>
      <c r="K703" s="1"/>
      <c r="L703" s="1">
        <v>1971</v>
      </c>
      <c r="M703" s="1">
        <v>0.59499999999999997</v>
      </c>
      <c r="N703" s="1">
        <v>6.4349999999999996</v>
      </c>
      <c r="O703" s="1">
        <v>6.31</v>
      </c>
      <c r="P703" s="9"/>
    </row>
    <row r="704" spans="1:16" x14ac:dyDescent="0.25">
      <c r="A704" s="6">
        <v>7.625</v>
      </c>
      <c r="B704" s="2">
        <v>47.1</v>
      </c>
      <c r="C704" s="2" t="s">
        <v>111</v>
      </c>
      <c r="D704" s="2">
        <v>12040</v>
      </c>
      <c r="E704" s="2">
        <v>10490</v>
      </c>
      <c r="F704" s="2"/>
      <c r="G704" s="2"/>
      <c r="H704" s="2"/>
      <c r="I704" s="2" t="s">
        <v>10</v>
      </c>
      <c r="J704" s="2">
        <v>997</v>
      </c>
      <c r="K704" s="2"/>
      <c r="L704" s="2">
        <v>1100</v>
      </c>
      <c r="M704" s="2">
        <v>0.625</v>
      </c>
      <c r="N704" s="2">
        <v>6.375</v>
      </c>
      <c r="O704" s="2">
        <v>6.25</v>
      </c>
      <c r="P704" s="7"/>
    </row>
    <row r="705" spans="1:16" x14ac:dyDescent="0.25">
      <c r="A705" s="6">
        <v>7.625</v>
      </c>
      <c r="B705" s="2">
        <v>47.1</v>
      </c>
      <c r="C705" s="2" t="s">
        <v>111</v>
      </c>
      <c r="D705" s="2">
        <v>12040</v>
      </c>
      <c r="E705" s="2">
        <v>9790</v>
      </c>
      <c r="F705" s="2"/>
      <c r="G705" s="2"/>
      <c r="H705" s="2"/>
      <c r="I705" s="2" t="s">
        <v>13</v>
      </c>
      <c r="J705" s="2">
        <v>1160</v>
      </c>
      <c r="K705" s="2"/>
      <c r="L705" s="2">
        <v>1100</v>
      </c>
      <c r="M705" s="2">
        <v>0.625</v>
      </c>
      <c r="N705" s="2">
        <v>6.375</v>
      </c>
      <c r="O705" s="2">
        <v>6.25</v>
      </c>
      <c r="P705" s="7"/>
    </row>
    <row r="706" spans="1:16" x14ac:dyDescent="0.25">
      <c r="A706" s="8">
        <v>7.625</v>
      </c>
      <c r="B706" s="1">
        <v>47.1</v>
      </c>
      <c r="C706" s="1" t="s">
        <v>112</v>
      </c>
      <c r="D706" s="1">
        <v>12040</v>
      </c>
      <c r="E706" s="1">
        <v>10490</v>
      </c>
      <c r="F706" s="1"/>
      <c r="G706" s="1"/>
      <c r="H706" s="1"/>
      <c r="I706" s="1" t="s">
        <v>10</v>
      </c>
      <c r="J706" s="1">
        <v>1013</v>
      </c>
      <c r="K706" s="1"/>
      <c r="L706" s="1">
        <v>1100</v>
      </c>
      <c r="M706" s="1">
        <v>0.625</v>
      </c>
      <c r="N706" s="1">
        <v>6.375</v>
      </c>
      <c r="O706" s="1">
        <v>6.25</v>
      </c>
      <c r="P706" s="9"/>
    </row>
    <row r="707" spans="1:16" x14ac:dyDescent="0.25">
      <c r="A707" s="8">
        <v>7.625</v>
      </c>
      <c r="B707" s="1">
        <v>47.1</v>
      </c>
      <c r="C707" s="1" t="s">
        <v>112</v>
      </c>
      <c r="D707" s="1">
        <v>12040</v>
      </c>
      <c r="E707" s="1">
        <v>9790</v>
      </c>
      <c r="F707" s="1"/>
      <c r="G707" s="1"/>
      <c r="H707" s="1"/>
      <c r="I707" s="1" t="s">
        <v>13</v>
      </c>
      <c r="J707" s="1">
        <v>1205</v>
      </c>
      <c r="K707" s="1"/>
      <c r="L707" s="1">
        <v>1100</v>
      </c>
      <c r="M707" s="1">
        <v>0.625</v>
      </c>
      <c r="N707" s="1">
        <v>6.375</v>
      </c>
      <c r="O707" s="1">
        <v>6.25</v>
      </c>
      <c r="P707" s="9"/>
    </row>
    <row r="708" spans="1:16" x14ac:dyDescent="0.25">
      <c r="A708" s="6">
        <v>7.625</v>
      </c>
      <c r="B708" s="2">
        <v>47.1</v>
      </c>
      <c r="C708" s="2" t="s">
        <v>68</v>
      </c>
      <c r="D708" s="2">
        <v>13540</v>
      </c>
      <c r="E708" s="2">
        <v>11810</v>
      </c>
      <c r="F708" s="2"/>
      <c r="G708" s="2"/>
      <c r="H708" s="2"/>
      <c r="I708" s="2" t="s">
        <v>10</v>
      </c>
      <c r="J708" s="2">
        <v>1100</v>
      </c>
      <c r="K708" s="2"/>
      <c r="L708" s="2">
        <v>1237</v>
      </c>
      <c r="M708" s="2">
        <v>0.625</v>
      </c>
      <c r="N708" s="2">
        <v>6.375</v>
      </c>
      <c r="O708" s="2">
        <v>6.25</v>
      </c>
      <c r="P708" s="7"/>
    </row>
    <row r="709" spans="1:16" x14ac:dyDescent="0.25">
      <c r="A709" s="6">
        <v>7.625</v>
      </c>
      <c r="B709" s="2">
        <v>47.1</v>
      </c>
      <c r="C709" s="2" t="s">
        <v>68</v>
      </c>
      <c r="D709" s="2">
        <v>13540</v>
      </c>
      <c r="E709" s="2">
        <v>11010</v>
      </c>
      <c r="F709" s="2"/>
      <c r="G709" s="2"/>
      <c r="H709" s="2"/>
      <c r="I709" s="2" t="s">
        <v>13</v>
      </c>
      <c r="J709" s="2">
        <v>1238</v>
      </c>
      <c r="K709" s="2"/>
      <c r="L709" s="2">
        <v>1237</v>
      </c>
      <c r="M709" s="2">
        <v>0.625</v>
      </c>
      <c r="N709" s="2">
        <v>6.375</v>
      </c>
      <c r="O709" s="2">
        <v>6.25</v>
      </c>
      <c r="P709" s="7"/>
    </row>
    <row r="710" spans="1:16" x14ac:dyDescent="0.25">
      <c r="A710" s="8">
        <v>7.625</v>
      </c>
      <c r="B710" s="1">
        <v>47.1</v>
      </c>
      <c r="C710" s="1" t="s">
        <v>116</v>
      </c>
      <c r="D710" s="1">
        <v>14300</v>
      </c>
      <c r="E710" s="1">
        <v>12460</v>
      </c>
      <c r="F710" s="1"/>
      <c r="G710" s="1"/>
      <c r="H710" s="1"/>
      <c r="I710" s="1" t="s">
        <v>10</v>
      </c>
      <c r="J710" s="1">
        <v>1159</v>
      </c>
      <c r="K710" s="1"/>
      <c r="L710" s="1">
        <v>1306</v>
      </c>
      <c r="M710" s="1">
        <v>0.625</v>
      </c>
      <c r="N710" s="1">
        <v>6.375</v>
      </c>
      <c r="O710" s="1">
        <v>6.25</v>
      </c>
      <c r="P710" s="9"/>
    </row>
    <row r="711" spans="1:16" x14ac:dyDescent="0.25">
      <c r="A711" s="8">
        <v>7.625</v>
      </c>
      <c r="B711" s="1">
        <v>47.1</v>
      </c>
      <c r="C711" s="1" t="s">
        <v>116</v>
      </c>
      <c r="D711" s="1">
        <v>14300</v>
      </c>
      <c r="E711" s="1">
        <v>11620</v>
      </c>
      <c r="F711" s="1"/>
      <c r="G711" s="1"/>
      <c r="H711" s="1"/>
      <c r="I711" s="1" t="s">
        <v>13</v>
      </c>
      <c r="J711" s="1">
        <v>1300</v>
      </c>
      <c r="K711" s="1"/>
      <c r="L711" s="1">
        <v>1306</v>
      </c>
      <c r="M711" s="1">
        <v>0.625</v>
      </c>
      <c r="N711" s="1">
        <v>6.375</v>
      </c>
      <c r="O711" s="1">
        <v>6.25</v>
      </c>
      <c r="P711" s="9"/>
    </row>
    <row r="712" spans="1:16" x14ac:dyDescent="0.25">
      <c r="A712" s="6">
        <v>7.625</v>
      </c>
      <c r="B712" s="2">
        <v>47.1</v>
      </c>
      <c r="C712" s="2" t="s">
        <v>74</v>
      </c>
      <c r="D712" s="2">
        <v>14300</v>
      </c>
      <c r="E712" s="2">
        <v>12460</v>
      </c>
      <c r="F712" s="2"/>
      <c r="G712" s="2"/>
      <c r="H712" s="2"/>
      <c r="I712" s="2" t="s">
        <v>10</v>
      </c>
      <c r="J712" s="2">
        <v>1159</v>
      </c>
      <c r="K712" s="2"/>
      <c r="L712" s="2">
        <v>1306</v>
      </c>
      <c r="M712" s="2">
        <v>0.625</v>
      </c>
      <c r="N712" s="2">
        <v>6.375</v>
      </c>
      <c r="O712" s="2">
        <v>6.25</v>
      </c>
      <c r="P712" s="7"/>
    </row>
    <row r="713" spans="1:16" x14ac:dyDescent="0.25">
      <c r="A713" s="6">
        <v>7.625</v>
      </c>
      <c r="B713" s="2">
        <v>47.1</v>
      </c>
      <c r="C713" s="2" t="s">
        <v>74</v>
      </c>
      <c r="D713" s="2">
        <v>14300</v>
      </c>
      <c r="E713" s="2">
        <v>11620</v>
      </c>
      <c r="F713" s="2"/>
      <c r="G713" s="2"/>
      <c r="H713" s="2"/>
      <c r="I713" s="2" t="s">
        <v>13</v>
      </c>
      <c r="J713" s="2">
        <v>1300</v>
      </c>
      <c r="K713" s="2"/>
      <c r="L713" s="2">
        <v>1306</v>
      </c>
      <c r="M713" s="2">
        <v>0.625</v>
      </c>
      <c r="N713" s="2">
        <v>6.375</v>
      </c>
      <c r="O713" s="2">
        <v>6.25</v>
      </c>
      <c r="P713" s="7"/>
    </row>
    <row r="714" spans="1:16" x14ac:dyDescent="0.25">
      <c r="A714" s="8">
        <v>7.625</v>
      </c>
      <c r="B714" s="1">
        <v>47.1</v>
      </c>
      <c r="C714" s="1" t="s">
        <v>113</v>
      </c>
      <c r="D714" s="1">
        <v>16550</v>
      </c>
      <c r="E714" s="1">
        <v>14430</v>
      </c>
      <c r="F714" s="1"/>
      <c r="G714" s="1"/>
      <c r="H714" s="1"/>
      <c r="I714" s="1" t="s">
        <v>10</v>
      </c>
      <c r="J714" s="1">
        <v>1353</v>
      </c>
      <c r="K714" s="1"/>
      <c r="L714" s="1">
        <v>1512</v>
      </c>
      <c r="M714" s="1">
        <v>0.625</v>
      </c>
      <c r="N714" s="1">
        <v>6.375</v>
      </c>
      <c r="O714" s="1">
        <v>6.25</v>
      </c>
      <c r="P714" s="9"/>
    </row>
    <row r="715" spans="1:16" x14ac:dyDescent="0.25">
      <c r="A715" s="8">
        <v>7.625</v>
      </c>
      <c r="B715" s="1">
        <v>47.1</v>
      </c>
      <c r="C715" s="1" t="s">
        <v>113</v>
      </c>
      <c r="D715" s="1">
        <v>16550</v>
      </c>
      <c r="E715" s="1">
        <v>13460</v>
      </c>
      <c r="F715" s="1"/>
      <c r="G715" s="1"/>
      <c r="H715" s="1"/>
      <c r="I715" s="1" t="s">
        <v>13</v>
      </c>
      <c r="J715" s="1">
        <v>1545</v>
      </c>
      <c r="K715" s="1"/>
      <c r="L715" s="1">
        <v>1512</v>
      </c>
      <c r="M715" s="1">
        <v>0.625</v>
      </c>
      <c r="N715" s="1">
        <v>6.375</v>
      </c>
      <c r="O715" s="1">
        <v>6.25</v>
      </c>
      <c r="P715" s="9"/>
    </row>
    <row r="716" spans="1:16" x14ac:dyDescent="0.25">
      <c r="A716" s="6">
        <v>7.625</v>
      </c>
      <c r="B716" s="2">
        <v>47.1</v>
      </c>
      <c r="C716" s="2" t="s">
        <v>114</v>
      </c>
      <c r="D716" s="2">
        <v>18700</v>
      </c>
      <c r="E716" s="2">
        <v>16400</v>
      </c>
      <c r="F716" s="2"/>
      <c r="G716" s="2"/>
      <c r="H716" s="2"/>
      <c r="I716" s="2" t="s">
        <v>10</v>
      </c>
      <c r="J716" s="2">
        <v>1515</v>
      </c>
      <c r="K716" s="2"/>
      <c r="L716" s="2">
        <v>1718</v>
      </c>
      <c r="M716" s="2">
        <v>0.625</v>
      </c>
      <c r="N716" s="2">
        <v>6.375</v>
      </c>
      <c r="O716" s="2">
        <v>6.25</v>
      </c>
      <c r="P716" s="7"/>
    </row>
    <row r="717" spans="1:16" x14ac:dyDescent="0.25">
      <c r="A717" s="6">
        <v>7.625</v>
      </c>
      <c r="B717" s="2">
        <v>47.1</v>
      </c>
      <c r="C717" s="2" t="s">
        <v>114</v>
      </c>
      <c r="D717" s="2">
        <v>18700</v>
      </c>
      <c r="E717" s="2">
        <v>15290</v>
      </c>
      <c r="F717" s="2"/>
      <c r="G717" s="2"/>
      <c r="H717" s="2"/>
      <c r="I717" s="2" t="s">
        <v>13</v>
      </c>
      <c r="J717" s="2">
        <v>1672</v>
      </c>
      <c r="K717" s="2"/>
      <c r="L717" s="2">
        <v>1718</v>
      </c>
      <c r="M717" s="2">
        <v>0.625</v>
      </c>
      <c r="N717" s="2">
        <v>6.375</v>
      </c>
      <c r="O717" s="2">
        <v>6.25</v>
      </c>
      <c r="P717" s="7"/>
    </row>
    <row r="718" spans="1:16" x14ac:dyDescent="0.25">
      <c r="A718" s="8">
        <v>7.625</v>
      </c>
      <c r="B718" s="1">
        <v>51.2</v>
      </c>
      <c r="C718" s="1" t="s">
        <v>68</v>
      </c>
      <c r="D718" s="1">
        <v>14760</v>
      </c>
      <c r="E718" s="1">
        <v>14190</v>
      </c>
      <c r="F718" s="1"/>
      <c r="G718" s="1"/>
      <c r="H718" s="1"/>
      <c r="I718" s="1" t="s">
        <v>79</v>
      </c>
      <c r="J718" s="1">
        <v>1348</v>
      </c>
      <c r="K718" s="1"/>
      <c r="L718" s="1">
        <v>1348</v>
      </c>
      <c r="M718" s="1">
        <v>0.68700000000000006</v>
      </c>
      <c r="N718" s="1">
        <v>6.2510000000000003</v>
      </c>
      <c r="O718" s="1">
        <v>6.1260000000000003</v>
      </c>
      <c r="P718" s="9"/>
    </row>
    <row r="719" spans="1:16" x14ac:dyDescent="0.25">
      <c r="A719" s="6">
        <v>7.625</v>
      </c>
      <c r="B719" s="2">
        <v>51.2</v>
      </c>
      <c r="C719" s="2" t="s">
        <v>116</v>
      </c>
      <c r="D719" s="2">
        <v>15580</v>
      </c>
      <c r="E719" s="2">
        <v>14980</v>
      </c>
      <c r="F719" s="2"/>
      <c r="G719" s="2"/>
      <c r="H719" s="2"/>
      <c r="I719" s="2" t="s">
        <v>79</v>
      </c>
      <c r="J719" s="2">
        <v>1423</v>
      </c>
      <c r="K719" s="2"/>
      <c r="L719" s="2">
        <v>1423</v>
      </c>
      <c r="M719" s="2">
        <v>0.68700000000000006</v>
      </c>
      <c r="N719" s="2">
        <v>6.2510000000000003</v>
      </c>
      <c r="O719" s="2">
        <v>6.1260000000000003</v>
      </c>
      <c r="P719" s="7"/>
    </row>
    <row r="720" spans="1:16" x14ac:dyDescent="0.25">
      <c r="A720" s="8">
        <v>7.625</v>
      </c>
      <c r="B720" s="1">
        <v>55.3</v>
      </c>
      <c r="C720" s="1" t="s">
        <v>68</v>
      </c>
      <c r="D720" s="1">
        <v>15960</v>
      </c>
      <c r="E720" s="1">
        <v>15490</v>
      </c>
      <c r="F720" s="1"/>
      <c r="G720" s="1"/>
      <c r="H720" s="1"/>
      <c r="I720" s="1" t="s">
        <v>79</v>
      </c>
      <c r="J720" s="1">
        <v>1458</v>
      </c>
      <c r="K720" s="1"/>
      <c r="L720" s="1">
        <v>1458</v>
      </c>
      <c r="M720" s="1">
        <v>0.75</v>
      </c>
      <c r="N720" s="1">
        <v>6.125</v>
      </c>
      <c r="O720" s="1">
        <v>6</v>
      </c>
      <c r="P720" s="9"/>
    </row>
    <row r="721" spans="1:16" ht="15.75" customHeight="1" thickBot="1" x14ac:dyDescent="0.3">
      <c r="A721" s="13">
        <v>7.625</v>
      </c>
      <c r="B721" s="14">
        <v>55.3</v>
      </c>
      <c r="C721" s="14" t="s">
        <v>116</v>
      </c>
      <c r="D721" s="14">
        <v>16850</v>
      </c>
      <c r="E721" s="14">
        <v>16350</v>
      </c>
      <c r="F721" s="14"/>
      <c r="G721" s="14"/>
      <c r="H721" s="14"/>
      <c r="I721" s="2" t="s">
        <v>79</v>
      </c>
      <c r="J721" s="14">
        <v>1539</v>
      </c>
      <c r="K721" s="14"/>
      <c r="L721" s="14">
        <v>1539</v>
      </c>
      <c r="M721" s="14">
        <v>0.75</v>
      </c>
      <c r="N721" s="14">
        <v>6.125</v>
      </c>
      <c r="O721" s="14">
        <v>6</v>
      </c>
      <c r="P721" s="15"/>
    </row>
    <row r="722" spans="1:16" ht="15.75" customHeight="1" thickBot="1" x14ac:dyDescent="0.3">
      <c r="A722" s="3">
        <v>7.75</v>
      </c>
      <c r="B722" s="4">
        <v>46.1</v>
      </c>
      <c r="C722" s="4" t="s">
        <v>111</v>
      </c>
      <c r="D722" s="4">
        <v>11340</v>
      </c>
      <c r="E722" s="4">
        <v>10490</v>
      </c>
      <c r="F722" s="4"/>
      <c r="G722" s="4"/>
      <c r="H722" s="4"/>
      <c r="I722" s="4" t="s">
        <v>10</v>
      </c>
      <c r="J722" s="4">
        <v>841</v>
      </c>
      <c r="K722" s="4"/>
      <c r="L722" s="4">
        <v>1070</v>
      </c>
      <c r="M722" s="4">
        <v>0.59499999999999997</v>
      </c>
      <c r="N722" s="4">
        <v>6.56</v>
      </c>
      <c r="O722" s="4">
        <v>6.4349999999999996</v>
      </c>
      <c r="P722" s="5">
        <v>6.5</v>
      </c>
    </row>
    <row r="723" spans="1:16" x14ac:dyDescent="0.25">
      <c r="A723" s="3">
        <v>7.75</v>
      </c>
      <c r="B723" s="4">
        <v>46.1</v>
      </c>
      <c r="C723" s="4" t="s">
        <v>111</v>
      </c>
      <c r="D723" s="4">
        <v>11340</v>
      </c>
      <c r="E723" s="4">
        <v>9790</v>
      </c>
      <c r="F723" s="4"/>
      <c r="G723" s="4"/>
      <c r="H723" s="4"/>
      <c r="I723" s="4" t="s">
        <v>13</v>
      </c>
      <c r="J723" s="4">
        <v>1001</v>
      </c>
      <c r="K723" s="4"/>
      <c r="L723" s="4">
        <v>1070</v>
      </c>
      <c r="M723" s="4">
        <v>0.59499999999999997</v>
      </c>
      <c r="N723" s="4">
        <v>6.56</v>
      </c>
      <c r="O723" s="4">
        <v>6.4349999999999996</v>
      </c>
      <c r="P723" s="5">
        <v>6.5</v>
      </c>
    </row>
    <row r="724" spans="1:16" x14ac:dyDescent="0.25">
      <c r="A724" s="6">
        <v>7.75</v>
      </c>
      <c r="B724" s="2">
        <v>46.1</v>
      </c>
      <c r="C724" s="2" t="s">
        <v>88</v>
      </c>
      <c r="D724" s="2">
        <v>13320</v>
      </c>
      <c r="E724" s="2">
        <v>10490</v>
      </c>
      <c r="F724" s="2"/>
      <c r="G724" s="2"/>
      <c r="H724" s="2"/>
      <c r="I724" s="2" t="s">
        <v>10</v>
      </c>
      <c r="J724" s="2">
        <v>965</v>
      </c>
      <c r="K724" s="2"/>
      <c r="L724" s="2">
        <v>1070</v>
      </c>
      <c r="M724" s="2">
        <v>0.59499999999999997</v>
      </c>
      <c r="N724" s="2">
        <v>6.56</v>
      </c>
      <c r="O724" s="2">
        <v>6.4349999999999996</v>
      </c>
      <c r="P724" s="7">
        <v>6.5</v>
      </c>
    </row>
    <row r="725" spans="1:16" x14ac:dyDescent="0.25">
      <c r="A725" s="6">
        <v>7.75</v>
      </c>
      <c r="B725" s="2">
        <v>46.1</v>
      </c>
      <c r="C725" s="2" t="s">
        <v>88</v>
      </c>
      <c r="D725" s="2">
        <v>13320</v>
      </c>
      <c r="E725" s="2">
        <v>9790</v>
      </c>
      <c r="F725" s="2"/>
      <c r="G725" s="2"/>
      <c r="H725" s="2"/>
      <c r="I725" s="2" t="s">
        <v>13</v>
      </c>
      <c r="J725" s="2">
        <v>1091</v>
      </c>
      <c r="K725" s="2"/>
      <c r="L725" s="2">
        <v>1070</v>
      </c>
      <c r="M725" s="2">
        <v>0.59499999999999997</v>
      </c>
      <c r="N725" s="2">
        <v>6.56</v>
      </c>
      <c r="O725" s="2">
        <v>6.4349999999999996</v>
      </c>
      <c r="P725" s="7">
        <v>6.5</v>
      </c>
    </row>
    <row r="726" spans="1:16" x14ac:dyDescent="0.25">
      <c r="A726" s="8">
        <v>7.75</v>
      </c>
      <c r="B726" s="1">
        <v>46.1</v>
      </c>
      <c r="C726" s="1" t="s">
        <v>68</v>
      </c>
      <c r="D726" s="1">
        <v>12740</v>
      </c>
      <c r="E726" s="1">
        <v>11810</v>
      </c>
      <c r="F726" s="1"/>
      <c r="G726" s="1"/>
      <c r="H726" s="1"/>
      <c r="I726" s="1" t="s">
        <v>10</v>
      </c>
      <c r="J726" s="1">
        <v>928</v>
      </c>
      <c r="K726" s="1"/>
      <c r="L726" s="1">
        <v>1204</v>
      </c>
      <c r="M726" s="1">
        <v>0.59499999999999997</v>
      </c>
      <c r="N726" s="1">
        <v>6.56</v>
      </c>
      <c r="O726" s="1">
        <v>6.4349999999999996</v>
      </c>
      <c r="P726" s="9">
        <v>6.5</v>
      </c>
    </row>
    <row r="727" spans="1:16" x14ac:dyDescent="0.25">
      <c r="A727" s="8">
        <v>7.75</v>
      </c>
      <c r="B727" s="1">
        <v>46.1</v>
      </c>
      <c r="C727" s="1" t="s">
        <v>68</v>
      </c>
      <c r="D727" s="1">
        <v>12740</v>
      </c>
      <c r="E727" s="1">
        <v>11010</v>
      </c>
      <c r="F727" s="1"/>
      <c r="G727" s="1"/>
      <c r="H727" s="1"/>
      <c r="I727" s="1" t="s">
        <v>13</v>
      </c>
      <c r="J727" s="1">
        <v>1074</v>
      </c>
      <c r="K727" s="1"/>
      <c r="L727" s="1">
        <v>1204</v>
      </c>
      <c r="M727" s="1">
        <v>0.59499999999999997</v>
      </c>
      <c r="N727" s="1">
        <v>6.56</v>
      </c>
      <c r="O727" s="1">
        <v>6.4349999999999996</v>
      </c>
      <c r="P727" s="9">
        <v>6.5</v>
      </c>
    </row>
    <row r="728" spans="1:16" x14ac:dyDescent="0.25">
      <c r="A728" s="6">
        <v>7.75</v>
      </c>
      <c r="B728" s="2">
        <v>46.1</v>
      </c>
      <c r="C728" s="2" t="s">
        <v>75</v>
      </c>
      <c r="D728" s="2">
        <v>12740</v>
      </c>
      <c r="E728" s="2">
        <v>11810</v>
      </c>
      <c r="F728" s="2"/>
      <c r="G728" s="2"/>
      <c r="H728" s="2"/>
      <c r="I728" s="2" t="s">
        <v>10</v>
      </c>
      <c r="J728" s="2">
        <v>965</v>
      </c>
      <c r="K728" s="2"/>
      <c r="L728" s="2">
        <v>1204</v>
      </c>
      <c r="M728" s="2">
        <v>0.59499999999999997</v>
      </c>
      <c r="N728" s="2">
        <v>6.56</v>
      </c>
      <c r="O728" s="2">
        <v>6.4349999999999996</v>
      </c>
      <c r="P728" s="7">
        <v>6.5</v>
      </c>
    </row>
    <row r="729" spans="1:16" x14ac:dyDescent="0.25">
      <c r="A729" s="6">
        <v>7.75</v>
      </c>
      <c r="B729" s="2">
        <v>46.1</v>
      </c>
      <c r="C729" s="2" t="s">
        <v>75</v>
      </c>
      <c r="D729" s="2">
        <v>12740</v>
      </c>
      <c r="E729" s="2">
        <v>11010</v>
      </c>
      <c r="F729" s="2"/>
      <c r="G729" s="2"/>
      <c r="H729" s="2"/>
      <c r="I729" s="2" t="s">
        <v>13</v>
      </c>
      <c r="J729" s="2">
        <v>1091</v>
      </c>
      <c r="K729" s="2"/>
      <c r="L729" s="2">
        <v>1204</v>
      </c>
      <c r="M729" s="2">
        <v>0.59499999999999997</v>
      </c>
      <c r="N729" s="2">
        <v>6.56</v>
      </c>
      <c r="O729" s="2">
        <v>6.4349999999999996</v>
      </c>
      <c r="P729" s="7">
        <v>6.5</v>
      </c>
    </row>
    <row r="730" spans="1:16" x14ac:dyDescent="0.25">
      <c r="A730" s="8">
        <v>7.75</v>
      </c>
      <c r="B730" s="1">
        <v>46.1</v>
      </c>
      <c r="C730" s="1" t="s">
        <v>115</v>
      </c>
      <c r="D730" s="1">
        <v>13320</v>
      </c>
      <c r="E730" s="1">
        <v>12460</v>
      </c>
      <c r="F730" s="1"/>
      <c r="G730" s="1"/>
      <c r="H730" s="1"/>
      <c r="I730" s="1" t="s">
        <v>10</v>
      </c>
      <c r="J730" s="1">
        <v>992</v>
      </c>
      <c r="K730" s="1"/>
      <c r="L730" s="1">
        <v>1271</v>
      </c>
      <c r="M730" s="1">
        <v>0.59499999999999997</v>
      </c>
      <c r="N730" s="1">
        <v>6.56</v>
      </c>
      <c r="O730" s="1">
        <v>6.4349999999999996</v>
      </c>
      <c r="P730" s="9">
        <v>6.5</v>
      </c>
    </row>
    <row r="731" spans="1:16" x14ac:dyDescent="0.25">
      <c r="A731" s="8">
        <v>7.75</v>
      </c>
      <c r="B731" s="1">
        <v>46.1</v>
      </c>
      <c r="C731" s="1" t="s">
        <v>115</v>
      </c>
      <c r="D731" s="1">
        <v>13320</v>
      </c>
      <c r="E731" s="1">
        <v>11620</v>
      </c>
      <c r="F731" s="1"/>
      <c r="G731" s="1"/>
      <c r="H731" s="1"/>
      <c r="I731" s="1" t="s">
        <v>13</v>
      </c>
      <c r="J731" s="1">
        <v>1168</v>
      </c>
      <c r="K731" s="1"/>
      <c r="L731" s="1">
        <v>1271</v>
      </c>
      <c r="M731" s="1">
        <v>0.59499999999999997</v>
      </c>
      <c r="N731" s="1">
        <v>6.56</v>
      </c>
      <c r="O731" s="1">
        <v>6.4349999999999996</v>
      </c>
      <c r="P731" s="9">
        <v>6.5</v>
      </c>
    </row>
    <row r="732" spans="1:16" x14ac:dyDescent="0.25">
      <c r="A732" s="6">
        <v>7.75</v>
      </c>
      <c r="B732" s="2">
        <v>46.1</v>
      </c>
      <c r="C732" s="2" t="s">
        <v>116</v>
      </c>
      <c r="D732" s="2">
        <v>13320</v>
      </c>
      <c r="E732" s="2">
        <v>12460</v>
      </c>
      <c r="F732" s="2"/>
      <c r="G732" s="2"/>
      <c r="H732" s="2"/>
      <c r="I732" s="2" t="s">
        <v>10</v>
      </c>
      <c r="J732" s="2">
        <v>978</v>
      </c>
      <c r="K732" s="2"/>
      <c r="L732" s="2">
        <v>1271</v>
      </c>
      <c r="M732" s="2">
        <v>0.59499999999999997</v>
      </c>
      <c r="N732" s="2">
        <v>6.56</v>
      </c>
      <c r="O732" s="2">
        <v>6.4349999999999996</v>
      </c>
      <c r="P732" s="7">
        <v>6.5</v>
      </c>
    </row>
    <row r="733" spans="1:16" x14ac:dyDescent="0.25">
      <c r="A733" s="6">
        <v>7.75</v>
      </c>
      <c r="B733" s="2">
        <v>46.1</v>
      </c>
      <c r="C733" s="2" t="s">
        <v>116</v>
      </c>
      <c r="D733" s="2">
        <v>13320</v>
      </c>
      <c r="E733" s="2">
        <v>11620</v>
      </c>
      <c r="F733" s="2"/>
      <c r="G733" s="2"/>
      <c r="H733" s="2"/>
      <c r="I733" s="2" t="s">
        <v>13</v>
      </c>
      <c r="J733" s="2">
        <v>1129</v>
      </c>
      <c r="K733" s="2"/>
      <c r="L733" s="2">
        <v>1271</v>
      </c>
      <c r="M733" s="2">
        <v>0.59499999999999997</v>
      </c>
      <c r="N733" s="2">
        <v>6.56</v>
      </c>
      <c r="O733" s="2">
        <v>6.4349999999999996</v>
      </c>
      <c r="P733" s="7">
        <v>6.5</v>
      </c>
    </row>
    <row r="734" spans="1:16" x14ac:dyDescent="0.25">
      <c r="A734" s="8">
        <v>7.75</v>
      </c>
      <c r="B734" s="1">
        <v>46.1</v>
      </c>
      <c r="C734" s="1" t="s">
        <v>80</v>
      </c>
      <c r="D734" s="1">
        <v>13320</v>
      </c>
      <c r="E734" s="1">
        <v>12460</v>
      </c>
      <c r="F734" s="1"/>
      <c r="G734" s="1"/>
      <c r="H734" s="1"/>
      <c r="I734" s="1" t="s">
        <v>10</v>
      </c>
      <c r="J734" s="1">
        <v>978</v>
      </c>
      <c r="K734" s="1"/>
      <c r="L734" s="1">
        <v>1271</v>
      </c>
      <c r="M734" s="1">
        <v>0.59499999999999997</v>
      </c>
      <c r="N734" s="1">
        <v>6.56</v>
      </c>
      <c r="O734" s="1">
        <v>6.4349999999999996</v>
      </c>
      <c r="P734" s="9">
        <v>6.5</v>
      </c>
    </row>
    <row r="735" spans="1:16" x14ac:dyDescent="0.25">
      <c r="A735" s="8">
        <v>7.75</v>
      </c>
      <c r="B735" s="1">
        <v>46.1</v>
      </c>
      <c r="C735" s="1" t="s">
        <v>80</v>
      </c>
      <c r="D735" s="1">
        <v>13320</v>
      </c>
      <c r="E735" s="1">
        <v>11620</v>
      </c>
      <c r="F735" s="1"/>
      <c r="G735" s="1"/>
      <c r="H735" s="1"/>
      <c r="I735" s="1" t="s">
        <v>13</v>
      </c>
      <c r="J735" s="1">
        <v>1129</v>
      </c>
      <c r="K735" s="1"/>
      <c r="L735" s="1">
        <v>1271</v>
      </c>
      <c r="M735" s="1">
        <v>0.59499999999999997</v>
      </c>
      <c r="N735" s="1">
        <v>6.56</v>
      </c>
      <c r="O735" s="1">
        <v>6.4349999999999996</v>
      </c>
      <c r="P735" s="9">
        <v>6.5</v>
      </c>
    </row>
    <row r="736" spans="1:16" x14ac:dyDescent="0.25">
      <c r="A736" s="6">
        <v>7.75</v>
      </c>
      <c r="B736" s="2">
        <v>46.1</v>
      </c>
      <c r="C736" s="2" t="s">
        <v>74</v>
      </c>
      <c r="D736" s="2">
        <v>13320</v>
      </c>
      <c r="E736" s="2">
        <v>12460</v>
      </c>
      <c r="F736" s="2"/>
      <c r="G736" s="2"/>
      <c r="H736" s="2"/>
      <c r="I736" s="2" t="s">
        <v>10</v>
      </c>
      <c r="J736" s="2">
        <v>978</v>
      </c>
      <c r="K736" s="2"/>
      <c r="L736" s="2">
        <v>1271</v>
      </c>
      <c r="M736" s="2">
        <v>0.59499999999999997</v>
      </c>
      <c r="N736" s="2">
        <v>6.56</v>
      </c>
      <c r="O736" s="2">
        <v>6.4349999999999996</v>
      </c>
      <c r="P736" s="7">
        <v>6.5</v>
      </c>
    </row>
    <row r="737" spans="1:16" x14ac:dyDescent="0.25">
      <c r="A737" s="6">
        <v>7.75</v>
      </c>
      <c r="B737" s="2">
        <v>46.1</v>
      </c>
      <c r="C737" s="2" t="s">
        <v>74</v>
      </c>
      <c r="D737" s="2">
        <v>13320</v>
      </c>
      <c r="E737" s="2">
        <v>11620</v>
      </c>
      <c r="F737" s="2"/>
      <c r="G737" s="2"/>
      <c r="H737" s="2"/>
      <c r="I737" s="2" t="s">
        <v>13</v>
      </c>
      <c r="J737" s="2">
        <v>1129</v>
      </c>
      <c r="K737" s="2"/>
      <c r="L737" s="2">
        <v>1271</v>
      </c>
      <c r="M737" s="2">
        <v>0.59499999999999997</v>
      </c>
      <c r="N737" s="2">
        <v>6.56</v>
      </c>
      <c r="O737" s="2">
        <v>6.4349999999999996</v>
      </c>
      <c r="P737" s="7">
        <v>6.5</v>
      </c>
    </row>
    <row r="738" spans="1:16" x14ac:dyDescent="0.25">
      <c r="A738" s="8">
        <v>7.75</v>
      </c>
      <c r="B738" s="1">
        <v>46.1</v>
      </c>
      <c r="C738" s="1" t="s">
        <v>113</v>
      </c>
      <c r="D738" s="1">
        <v>14990</v>
      </c>
      <c r="E738" s="1">
        <v>14430</v>
      </c>
      <c r="F738" s="1"/>
      <c r="G738" s="1"/>
      <c r="H738" s="1"/>
      <c r="I738" s="1" t="s">
        <v>10</v>
      </c>
      <c r="J738" s="1">
        <v>1142</v>
      </c>
      <c r="K738" s="1"/>
      <c r="L738" s="1">
        <v>1471</v>
      </c>
      <c r="M738" s="1">
        <v>0.59499999999999997</v>
      </c>
      <c r="N738" s="1">
        <v>6.56</v>
      </c>
      <c r="O738" s="1">
        <v>6.4349999999999996</v>
      </c>
      <c r="P738" s="9">
        <v>6.5</v>
      </c>
    </row>
    <row r="739" spans="1:16" x14ac:dyDescent="0.25">
      <c r="A739" s="8">
        <v>7.75</v>
      </c>
      <c r="B739" s="1">
        <v>46.1</v>
      </c>
      <c r="C739" s="1" t="s">
        <v>113</v>
      </c>
      <c r="D739" s="1">
        <v>14990</v>
      </c>
      <c r="E739" s="1">
        <v>13460</v>
      </c>
      <c r="F739" s="1"/>
      <c r="G739" s="1"/>
      <c r="H739" s="1"/>
      <c r="I739" s="1" t="s">
        <v>13</v>
      </c>
      <c r="J739" s="1">
        <v>1334</v>
      </c>
      <c r="K739" s="1"/>
      <c r="L739" s="1">
        <v>1471</v>
      </c>
      <c r="M739" s="1">
        <v>0.59499999999999997</v>
      </c>
      <c r="N739" s="1">
        <v>6.56</v>
      </c>
      <c r="O739" s="1">
        <v>6.4349999999999996</v>
      </c>
      <c r="P739" s="9">
        <v>6.5</v>
      </c>
    </row>
    <row r="740" spans="1:16" ht="15.75" customHeight="1" thickBot="1" x14ac:dyDescent="0.3">
      <c r="A740" s="13">
        <v>7.75</v>
      </c>
      <c r="B740" s="14">
        <v>46.1</v>
      </c>
      <c r="C740" s="14" t="s">
        <v>114</v>
      </c>
      <c r="D740" s="14">
        <v>16580</v>
      </c>
      <c r="E740" s="14">
        <v>16400</v>
      </c>
      <c r="F740" s="14"/>
      <c r="G740" s="14"/>
      <c r="H740" s="14"/>
      <c r="I740" s="14" t="s">
        <v>10</v>
      </c>
      <c r="J740" s="14">
        <v>1279</v>
      </c>
      <c r="K740" s="14"/>
      <c r="L740" s="14">
        <v>1672</v>
      </c>
      <c r="M740" s="14">
        <v>0.59499999999999997</v>
      </c>
      <c r="N740" s="14">
        <v>6.56</v>
      </c>
      <c r="O740" s="14">
        <v>6.4349999999999996</v>
      </c>
      <c r="P740" s="15">
        <v>6.5</v>
      </c>
    </row>
    <row r="741" spans="1:16" ht="15.75" customHeight="1" thickBot="1" x14ac:dyDescent="0.3">
      <c r="A741" s="13">
        <v>7.75</v>
      </c>
      <c r="B741" s="14">
        <v>46.1</v>
      </c>
      <c r="C741" s="14" t="s">
        <v>114</v>
      </c>
      <c r="D741" s="14">
        <v>16580</v>
      </c>
      <c r="E741" s="14">
        <v>15290</v>
      </c>
      <c r="F741" s="14"/>
      <c r="G741" s="14"/>
      <c r="H741" s="14"/>
      <c r="I741" s="14" t="s">
        <v>13</v>
      </c>
      <c r="J741" s="14">
        <v>1462</v>
      </c>
      <c r="K741" s="14"/>
      <c r="L741" s="14">
        <v>1672</v>
      </c>
      <c r="M741" s="14">
        <v>0.59499999999999997</v>
      </c>
      <c r="N741" s="14">
        <v>6.56</v>
      </c>
      <c r="O741" s="14">
        <v>6.4349999999999996</v>
      </c>
      <c r="P741" s="15">
        <v>6.5</v>
      </c>
    </row>
    <row r="742" spans="1:16" x14ac:dyDescent="0.25">
      <c r="A742" s="3">
        <v>8.625</v>
      </c>
      <c r="B742" s="4">
        <v>24</v>
      </c>
      <c r="C742" s="4" t="s">
        <v>66</v>
      </c>
      <c r="D742" s="4">
        <v>1370</v>
      </c>
      <c r="E742" s="4">
        <v>2950</v>
      </c>
      <c r="F742" s="4"/>
      <c r="G742" s="4"/>
      <c r="H742" s="4"/>
      <c r="I742" s="4" t="s">
        <v>8</v>
      </c>
      <c r="J742" s="4">
        <v>244</v>
      </c>
      <c r="K742" s="4"/>
      <c r="L742" s="4">
        <v>381</v>
      </c>
      <c r="M742" s="4">
        <v>0.26400000000000001</v>
      </c>
      <c r="N742" s="4">
        <v>8.0969999999999995</v>
      </c>
      <c r="O742" s="4">
        <v>7.9720000000000004</v>
      </c>
      <c r="P742" s="5"/>
    </row>
    <row r="743" spans="1:16" x14ac:dyDescent="0.25">
      <c r="A743" s="6">
        <v>8.625</v>
      </c>
      <c r="B743" s="2">
        <v>24</v>
      </c>
      <c r="C743" s="2" t="s">
        <v>110</v>
      </c>
      <c r="D743" s="2">
        <v>1370</v>
      </c>
      <c r="E743" s="2">
        <v>2950</v>
      </c>
      <c r="F743" s="2"/>
      <c r="G743" s="2"/>
      <c r="H743" s="2"/>
      <c r="I743" s="2" t="s">
        <v>8</v>
      </c>
      <c r="J743" s="2">
        <v>263</v>
      </c>
      <c r="K743" s="2"/>
      <c r="L743" s="2">
        <v>381</v>
      </c>
      <c r="M743" s="2">
        <v>0.26400000000000001</v>
      </c>
      <c r="N743" s="2">
        <v>8.0969999999999995</v>
      </c>
      <c r="O743" s="2">
        <v>7.9720000000000004</v>
      </c>
      <c r="P743" s="7"/>
    </row>
    <row r="744" spans="1:16" x14ac:dyDescent="0.25">
      <c r="A744" s="8">
        <v>8.625</v>
      </c>
      <c r="B744" s="1">
        <v>24</v>
      </c>
      <c r="C744" s="1" t="s">
        <v>84</v>
      </c>
      <c r="D744" s="1">
        <v>1780</v>
      </c>
      <c r="E744" s="1">
        <v>2950</v>
      </c>
      <c r="F744" s="1"/>
      <c r="G744" s="1"/>
      <c r="H744" s="1"/>
      <c r="I744" s="1" t="s">
        <v>8</v>
      </c>
      <c r="J744" s="1">
        <v>326</v>
      </c>
      <c r="K744" s="1"/>
      <c r="L744" s="1">
        <v>381</v>
      </c>
      <c r="M744" s="1">
        <v>0.26400000000000001</v>
      </c>
      <c r="N744" s="1">
        <v>8.0969999999999995</v>
      </c>
      <c r="O744" s="1">
        <v>7.9720000000000004</v>
      </c>
      <c r="P744" s="9"/>
    </row>
    <row r="745" spans="1:16" x14ac:dyDescent="0.25">
      <c r="A745" s="6">
        <v>8.625</v>
      </c>
      <c r="B745" s="2">
        <v>28</v>
      </c>
      <c r="C745" s="2" t="s">
        <v>81</v>
      </c>
      <c r="D745" s="2">
        <v>1610</v>
      </c>
      <c r="E745" s="2">
        <v>2470</v>
      </c>
      <c r="F745" s="2"/>
      <c r="G745" s="2"/>
      <c r="H745" s="2"/>
      <c r="I745" s="2" t="s">
        <v>8</v>
      </c>
      <c r="J745" s="2">
        <v>233</v>
      </c>
      <c r="K745" s="2"/>
      <c r="L745" s="2">
        <v>318</v>
      </c>
      <c r="M745" s="2">
        <v>0.30399999999999999</v>
      </c>
      <c r="N745" s="2">
        <v>8.0169999999999995</v>
      </c>
      <c r="O745" s="2">
        <v>7.8920000000000003</v>
      </c>
      <c r="P745" s="7"/>
    </row>
    <row r="746" spans="1:16" x14ac:dyDescent="0.25">
      <c r="A746" s="8">
        <v>8.625</v>
      </c>
      <c r="B746" s="1">
        <v>28</v>
      </c>
      <c r="C746" s="1" t="s">
        <v>84</v>
      </c>
      <c r="D746" s="1">
        <v>2680</v>
      </c>
      <c r="E746" s="1">
        <v>3390</v>
      </c>
      <c r="F746" s="1"/>
      <c r="G746" s="1"/>
      <c r="H746" s="1"/>
      <c r="I746" s="1" t="s">
        <v>8</v>
      </c>
      <c r="J746" s="1">
        <v>414</v>
      </c>
      <c r="K746" s="1"/>
      <c r="L746" s="1">
        <v>437</v>
      </c>
      <c r="M746" s="1">
        <v>0.30399999999999999</v>
      </c>
      <c r="N746" s="1">
        <v>8.0169999999999995</v>
      </c>
      <c r="O746" s="1">
        <v>7.8920000000000003</v>
      </c>
      <c r="P746" s="9"/>
    </row>
    <row r="747" spans="1:16" x14ac:dyDescent="0.25">
      <c r="A747" s="8">
        <v>8.625</v>
      </c>
      <c r="B747" s="1">
        <v>28</v>
      </c>
      <c r="C747" s="1" t="s">
        <v>84</v>
      </c>
      <c r="D747" s="1">
        <v>2680</v>
      </c>
      <c r="E747" s="1">
        <v>3390</v>
      </c>
      <c r="F747" s="1"/>
      <c r="G747" s="1"/>
      <c r="H747" s="1"/>
      <c r="I747" s="1" t="s">
        <v>10</v>
      </c>
      <c r="J747" s="1">
        <v>464</v>
      </c>
      <c r="K747" s="1"/>
      <c r="L747" s="1">
        <v>437</v>
      </c>
      <c r="M747" s="1">
        <v>0.30399999999999999</v>
      </c>
      <c r="N747" s="1">
        <v>8.0169999999999995</v>
      </c>
      <c r="O747" s="1">
        <v>7.8920000000000003</v>
      </c>
      <c r="P747" s="9"/>
    </row>
    <row r="748" spans="1:16" x14ac:dyDescent="0.25">
      <c r="A748" s="8">
        <v>8.625</v>
      </c>
      <c r="B748" s="1">
        <v>28</v>
      </c>
      <c r="C748" s="1" t="s">
        <v>84</v>
      </c>
      <c r="D748" s="1">
        <v>2680</v>
      </c>
      <c r="E748" s="1">
        <v>3390</v>
      </c>
      <c r="F748" s="1"/>
      <c r="G748" s="1"/>
      <c r="H748" s="1"/>
      <c r="I748" s="1" t="s">
        <v>13</v>
      </c>
      <c r="J748" s="1">
        <v>651</v>
      </c>
      <c r="K748" s="1"/>
      <c r="L748" s="1">
        <v>437</v>
      </c>
      <c r="M748" s="1">
        <v>0.30399999999999999</v>
      </c>
      <c r="N748" s="1">
        <v>8.0169999999999995</v>
      </c>
      <c r="O748" s="1">
        <v>7.8920000000000003</v>
      </c>
      <c r="P748" s="9"/>
    </row>
    <row r="749" spans="1:16" x14ac:dyDescent="0.25">
      <c r="A749" s="6">
        <v>8.625</v>
      </c>
      <c r="B749" s="2">
        <v>32</v>
      </c>
      <c r="C749" s="2" t="s">
        <v>81</v>
      </c>
      <c r="D749" s="2">
        <v>2200</v>
      </c>
      <c r="E749" s="2">
        <v>2860</v>
      </c>
      <c r="F749" s="2"/>
      <c r="G749" s="2"/>
      <c r="H749" s="2"/>
      <c r="I749" s="2" t="s">
        <v>8</v>
      </c>
      <c r="J749" s="2">
        <v>279</v>
      </c>
      <c r="K749" s="2"/>
      <c r="L749" s="2">
        <v>366</v>
      </c>
      <c r="M749" s="2">
        <v>0.35199999999999998</v>
      </c>
      <c r="N749" s="2">
        <v>7.9210000000000003</v>
      </c>
      <c r="O749" s="2">
        <v>7.7960000000000003</v>
      </c>
      <c r="P749" s="7">
        <v>7.875</v>
      </c>
    </row>
    <row r="750" spans="1:16" x14ac:dyDescent="0.25">
      <c r="A750" s="8">
        <v>8.625</v>
      </c>
      <c r="B750" s="1">
        <v>32</v>
      </c>
      <c r="C750" s="1" t="s">
        <v>66</v>
      </c>
      <c r="D750" s="1">
        <v>2530</v>
      </c>
      <c r="E750" s="1">
        <v>3930</v>
      </c>
      <c r="F750" s="1"/>
      <c r="G750" s="1"/>
      <c r="H750" s="1"/>
      <c r="I750" s="1" t="s">
        <v>8</v>
      </c>
      <c r="J750" s="1">
        <v>372</v>
      </c>
      <c r="K750" s="1"/>
      <c r="L750" s="1">
        <v>503</v>
      </c>
      <c r="M750" s="1">
        <v>0.35199999999999998</v>
      </c>
      <c r="N750" s="1">
        <v>7.9210000000000003</v>
      </c>
      <c r="O750" s="1">
        <v>7.7960000000000003</v>
      </c>
      <c r="P750" s="9">
        <v>7.875</v>
      </c>
    </row>
    <row r="751" spans="1:16" x14ac:dyDescent="0.25">
      <c r="A751" s="8">
        <v>8.625</v>
      </c>
      <c r="B751" s="1">
        <v>32</v>
      </c>
      <c r="C751" s="1" t="s">
        <v>66</v>
      </c>
      <c r="D751" s="1">
        <v>2530</v>
      </c>
      <c r="E751" s="1">
        <v>3930</v>
      </c>
      <c r="F751" s="1"/>
      <c r="G751" s="1"/>
      <c r="H751" s="1"/>
      <c r="I751" s="1" t="s">
        <v>10</v>
      </c>
      <c r="J751" s="1">
        <v>417</v>
      </c>
      <c r="K751" s="1"/>
      <c r="L751" s="1">
        <v>503</v>
      </c>
      <c r="M751" s="1">
        <v>0.35199999999999998</v>
      </c>
      <c r="N751" s="1">
        <v>7.9210000000000003</v>
      </c>
      <c r="O751" s="1">
        <v>7.7960000000000003</v>
      </c>
      <c r="P751" s="9">
        <v>7.875</v>
      </c>
    </row>
    <row r="752" spans="1:16" x14ac:dyDescent="0.25">
      <c r="A752" s="8">
        <v>8.625</v>
      </c>
      <c r="B752" s="1">
        <v>32</v>
      </c>
      <c r="C752" s="1" t="s">
        <v>66</v>
      </c>
      <c r="D752" s="1">
        <v>2530</v>
      </c>
      <c r="E752" s="1">
        <v>3930</v>
      </c>
      <c r="F752" s="1"/>
      <c r="G752" s="1"/>
      <c r="H752" s="1"/>
      <c r="I752" s="1" t="s">
        <v>13</v>
      </c>
      <c r="J752" s="1">
        <v>579</v>
      </c>
      <c r="K752" s="1"/>
      <c r="L752" s="1">
        <v>503</v>
      </c>
      <c r="M752" s="1">
        <v>0.35199999999999998</v>
      </c>
      <c r="N752" s="1">
        <v>7.9210000000000003</v>
      </c>
      <c r="O752" s="1">
        <v>7.7960000000000003</v>
      </c>
      <c r="P752" s="9">
        <v>7.875</v>
      </c>
    </row>
    <row r="753" spans="1:16" x14ac:dyDescent="0.25">
      <c r="A753" s="6">
        <v>8.625</v>
      </c>
      <c r="B753" s="2">
        <v>32</v>
      </c>
      <c r="C753" s="2" t="s">
        <v>110</v>
      </c>
      <c r="D753" s="2">
        <v>2530</v>
      </c>
      <c r="E753" s="2">
        <v>3930</v>
      </c>
      <c r="F753" s="2"/>
      <c r="G753" s="2"/>
      <c r="H753" s="2"/>
      <c r="I753" s="2" t="s">
        <v>8</v>
      </c>
      <c r="J753" s="2">
        <v>402</v>
      </c>
      <c r="K753" s="2"/>
      <c r="L753" s="2">
        <v>503</v>
      </c>
      <c r="M753" s="2">
        <v>0.35199999999999998</v>
      </c>
      <c r="N753" s="2">
        <v>7.9210000000000003</v>
      </c>
      <c r="O753" s="2">
        <v>7.7960000000000003</v>
      </c>
      <c r="P753" s="7">
        <v>7.875</v>
      </c>
    </row>
    <row r="754" spans="1:16" x14ac:dyDescent="0.25">
      <c r="A754" s="6">
        <v>8.625</v>
      </c>
      <c r="B754" s="2">
        <v>32</v>
      </c>
      <c r="C754" s="2" t="s">
        <v>110</v>
      </c>
      <c r="D754" s="2">
        <v>2530</v>
      </c>
      <c r="E754" s="2">
        <v>3930</v>
      </c>
      <c r="F754" s="2"/>
      <c r="G754" s="2"/>
      <c r="H754" s="2"/>
      <c r="I754" s="2" t="s">
        <v>10</v>
      </c>
      <c r="J754" s="2">
        <v>452</v>
      </c>
      <c r="K754" s="2"/>
      <c r="L754" s="2">
        <v>503</v>
      </c>
      <c r="M754" s="2">
        <v>0.35199999999999998</v>
      </c>
      <c r="N754" s="2">
        <v>7.9210000000000003</v>
      </c>
      <c r="O754" s="2">
        <v>7.7960000000000003</v>
      </c>
      <c r="P754" s="7">
        <v>7.875</v>
      </c>
    </row>
    <row r="755" spans="1:16" x14ac:dyDescent="0.25">
      <c r="A755" s="6">
        <v>8.625</v>
      </c>
      <c r="B755" s="2">
        <v>32</v>
      </c>
      <c r="C755" s="2" t="s">
        <v>110</v>
      </c>
      <c r="D755" s="2">
        <v>2530</v>
      </c>
      <c r="E755" s="2">
        <v>3930</v>
      </c>
      <c r="F755" s="2"/>
      <c r="G755" s="2"/>
      <c r="H755" s="2"/>
      <c r="I755" s="2" t="s">
        <v>13</v>
      </c>
      <c r="J755" s="2">
        <v>690</v>
      </c>
      <c r="K755" s="2"/>
      <c r="L755" s="2">
        <v>503</v>
      </c>
      <c r="M755" s="2">
        <v>0.35199999999999998</v>
      </c>
      <c r="N755" s="2">
        <v>7.9210000000000003</v>
      </c>
      <c r="O755" s="2">
        <v>7.7960000000000003</v>
      </c>
      <c r="P755" s="7">
        <v>7.875</v>
      </c>
    </row>
    <row r="756" spans="1:16" x14ac:dyDescent="0.25">
      <c r="A756" s="8">
        <v>8.625</v>
      </c>
      <c r="B756" s="1">
        <v>32</v>
      </c>
      <c r="C756" s="1" t="s">
        <v>84</v>
      </c>
      <c r="D756" s="1">
        <v>4130</v>
      </c>
      <c r="E756" s="1">
        <v>3930</v>
      </c>
      <c r="F756" s="1"/>
      <c r="G756" s="1"/>
      <c r="H756" s="1"/>
      <c r="I756" s="1" t="s">
        <v>8</v>
      </c>
      <c r="J756" s="1">
        <v>497</v>
      </c>
      <c r="K756" s="1"/>
      <c r="L756" s="1">
        <v>503</v>
      </c>
      <c r="M756" s="1">
        <v>0.35199999999999998</v>
      </c>
      <c r="N756" s="1">
        <v>7.9210000000000003</v>
      </c>
      <c r="O756" s="1">
        <v>7.7960000000000003</v>
      </c>
      <c r="P756" s="9">
        <v>7.875</v>
      </c>
    </row>
    <row r="757" spans="1:16" x14ac:dyDescent="0.25">
      <c r="A757" s="8">
        <v>8.625</v>
      </c>
      <c r="B757" s="1">
        <v>32</v>
      </c>
      <c r="C757" s="1" t="s">
        <v>84</v>
      </c>
      <c r="D757" s="1">
        <v>4130</v>
      </c>
      <c r="E757" s="1">
        <v>3930</v>
      </c>
      <c r="F757" s="1"/>
      <c r="G757" s="1"/>
      <c r="H757" s="1"/>
      <c r="I757" s="1" t="s">
        <v>10</v>
      </c>
      <c r="J757" s="1">
        <v>556</v>
      </c>
      <c r="K757" s="1"/>
      <c r="L757" s="1">
        <v>503</v>
      </c>
      <c r="M757" s="1">
        <v>0.35199999999999998</v>
      </c>
      <c r="N757" s="1">
        <v>7.9210000000000003</v>
      </c>
      <c r="O757" s="1">
        <v>7.7960000000000003</v>
      </c>
      <c r="P757" s="9">
        <v>7.875</v>
      </c>
    </row>
    <row r="758" spans="1:16" x14ac:dyDescent="0.25">
      <c r="A758" s="8">
        <v>8.625</v>
      </c>
      <c r="B758" s="1">
        <v>32</v>
      </c>
      <c r="C758" s="1" t="s">
        <v>84</v>
      </c>
      <c r="D758" s="1">
        <v>4130</v>
      </c>
      <c r="E758" s="1">
        <v>3930</v>
      </c>
      <c r="F758" s="1"/>
      <c r="G758" s="1"/>
      <c r="H758" s="1"/>
      <c r="I758" s="1" t="s">
        <v>13</v>
      </c>
      <c r="J758" s="1">
        <v>749</v>
      </c>
      <c r="K758" s="1"/>
      <c r="L758" s="1">
        <v>503</v>
      </c>
      <c r="M758" s="1">
        <v>0.35199999999999998</v>
      </c>
      <c r="N758" s="1">
        <v>7.9210000000000003</v>
      </c>
      <c r="O758" s="1">
        <v>7.7960000000000003</v>
      </c>
      <c r="P758" s="9">
        <v>7.875</v>
      </c>
    </row>
    <row r="759" spans="1:16" x14ac:dyDescent="0.25">
      <c r="A759" s="6">
        <v>8.625</v>
      </c>
      <c r="B759" s="2">
        <v>36</v>
      </c>
      <c r="C759" s="2" t="s">
        <v>66</v>
      </c>
      <c r="D759" s="2">
        <v>3450</v>
      </c>
      <c r="E759" s="2">
        <v>4460</v>
      </c>
      <c r="F759" s="2"/>
      <c r="G759" s="2"/>
      <c r="H759" s="2"/>
      <c r="I759" s="2" t="s">
        <v>8</v>
      </c>
      <c r="J759" s="2">
        <v>434</v>
      </c>
      <c r="K759" s="2"/>
      <c r="L759" s="2">
        <v>568</v>
      </c>
      <c r="M759" s="2">
        <v>0.4</v>
      </c>
      <c r="N759" s="2">
        <v>7.8250000000000002</v>
      </c>
      <c r="O759" s="2">
        <v>7.7</v>
      </c>
      <c r="P759" s="7"/>
    </row>
    <row r="760" spans="1:16" x14ac:dyDescent="0.25">
      <c r="A760" s="6">
        <v>8.625</v>
      </c>
      <c r="B760" s="2">
        <v>36</v>
      </c>
      <c r="C760" s="2" t="s">
        <v>66</v>
      </c>
      <c r="D760" s="2">
        <v>3450</v>
      </c>
      <c r="E760" s="2">
        <v>4460</v>
      </c>
      <c r="F760" s="2"/>
      <c r="G760" s="2"/>
      <c r="H760" s="2"/>
      <c r="I760" s="2" t="s">
        <v>10</v>
      </c>
      <c r="J760" s="2">
        <v>486</v>
      </c>
      <c r="K760" s="2"/>
      <c r="L760" s="2">
        <v>568</v>
      </c>
      <c r="M760" s="2">
        <v>0.4</v>
      </c>
      <c r="N760" s="2">
        <v>7.8250000000000002</v>
      </c>
      <c r="O760" s="2">
        <v>7.7</v>
      </c>
      <c r="P760" s="7"/>
    </row>
    <row r="761" spans="1:16" x14ac:dyDescent="0.25">
      <c r="A761" s="6">
        <v>8.625</v>
      </c>
      <c r="B761" s="2">
        <v>36</v>
      </c>
      <c r="C761" s="2" t="s">
        <v>66</v>
      </c>
      <c r="D761" s="2">
        <v>3450</v>
      </c>
      <c r="E761" s="2">
        <v>4460</v>
      </c>
      <c r="F761" s="2"/>
      <c r="G761" s="2"/>
      <c r="H761" s="2"/>
      <c r="I761" s="2" t="s">
        <v>13</v>
      </c>
      <c r="J761" s="2">
        <v>654</v>
      </c>
      <c r="K761" s="2"/>
      <c r="L761" s="2">
        <v>568</v>
      </c>
      <c r="M761" s="2">
        <v>0.4</v>
      </c>
      <c r="N761" s="2">
        <v>7.8250000000000002</v>
      </c>
      <c r="O761" s="2">
        <v>7.7</v>
      </c>
      <c r="P761" s="7"/>
    </row>
    <row r="762" spans="1:16" x14ac:dyDescent="0.25">
      <c r="A762" s="8">
        <v>8.625</v>
      </c>
      <c r="B762" s="1">
        <v>36</v>
      </c>
      <c r="C762" s="1" t="s">
        <v>110</v>
      </c>
      <c r="D762" s="1">
        <v>3450</v>
      </c>
      <c r="E762" s="1">
        <v>4460</v>
      </c>
      <c r="F762" s="1"/>
      <c r="G762" s="1"/>
      <c r="H762" s="1"/>
      <c r="I762" s="1" t="s">
        <v>8</v>
      </c>
      <c r="J762" s="1">
        <v>468</v>
      </c>
      <c r="K762" s="1"/>
      <c r="L762" s="1">
        <v>568</v>
      </c>
      <c r="M762" s="1">
        <v>0.4</v>
      </c>
      <c r="N762" s="1">
        <v>7.8250000000000002</v>
      </c>
      <c r="O762" s="1">
        <v>7.7</v>
      </c>
      <c r="P762" s="9"/>
    </row>
    <row r="763" spans="1:16" x14ac:dyDescent="0.25">
      <c r="A763" s="8">
        <v>8.625</v>
      </c>
      <c r="B763" s="1">
        <v>36</v>
      </c>
      <c r="C763" s="1" t="s">
        <v>110</v>
      </c>
      <c r="D763" s="1">
        <v>3450</v>
      </c>
      <c r="E763" s="1">
        <v>4460</v>
      </c>
      <c r="F763" s="1"/>
      <c r="G763" s="1"/>
      <c r="H763" s="1"/>
      <c r="I763" s="1" t="s">
        <v>10</v>
      </c>
      <c r="J763" s="1">
        <v>526</v>
      </c>
      <c r="K763" s="1"/>
      <c r="L763" s="1">
        <v>568</v>
      </c>
      <c r="M763" s="1">
        <v>0.4</v>
      </c>
      <c r="N763" s="1">
        <v>7.8250000000000002</v>
      </c>
      <c r="O763" s="1">
        <v>7.7</v>
      </c>
      <c r="P763" s="9"/>
    </row>
    <row r="764" spans="1:16" x14ac:dyDescent="0.25">
      <c r="A764" s="8">
        <v>8.625</v>
      </c>
      <c r="B764" s="1">
        <v>36</v>
      </c>
      <c r="C764" s="1" t="s">
        <v>110</v>
      </c>
      <c r="D764" s="1">
        <v>3450</v>
      </c>
      <c r="E764" s="1">
        <v>4460</v>
      </c>
      <c r="F764" s="1"/>
      <c r="G764" s="1"/>
      <c r="H764" s="1"/>
      <c r="I764" s="1" t="s">
        <v>13</v>
      </c>
      <c r="J764" s="1">
        <v>780</v>
      </c>
      <c r="K764" s="1"/>
      <c r="L764" s="1">
        <v>568</v>
      </c>
      <c r="M764" s="1">
        <v>0.4</v>
      </c>
      <c r="N764" s="1">
        <v>7.8250000000000002</v>
      </c>
      <c r="O764" s="1">
        <v>7.7</v>
      </c>
      <c r="P764" s="9"/>
    </row>
    <row r="765" spans="1:16" x14ac:dyDescent="0.25">
      <c r="A765" s="6">
        <v>8.625</v>
      </c>
      <c r="B765" s="2">
        <v>36</v>
      </c>
      <c r="C765" s="2" t="s">
        <v>84</v>
      </c>
      <c r="D765" s="2">
        <v>5300</v>
      </c>
      <c r="E765" s="2">
        <v>4460</v>
      </c>
      <c r="F765" s="2"/>
      <c r="G765" s="2"/>
      <c r="H765" s="2"/>
      <c r="I765" s="2" t="s">
        <v>8</v>
      </c>
      <c r="J765" s="2">
        <v>579</v>
      </c>
      <c r="K765" s="2"/>
      <c r="L765" s="2">
        <v>568</v>
      </c>
      <c r="M765" s="2">
        <v>0.4</v>
      </c>
      <c r="N765" s="2">
        <v>7.8250000000000002</v>
      </c>
      <c r="O765" s="2">
        <v>7.7</v>
      </c>
      <c r="P765" s="7"/>
    </row>
    <row r="766" spans="1:16" x14ac:dyDescent="0.25">
      <c r="A766" s="6">
        <v>8.625</v>
      </c>
      <c r="B766" s="2">
        <v>36</v>
      </c>
      <c r="C766" s="2" t="s">
        <v>84</v>
      </c>
      <c r="D766" s="2">
        <v>5300</v>
      </c>
      <c r="E766" s="2">
        <v>4460</v>
      </c>
      <c r="F766" s="2"/>
      <c r="G766" s="2"/>
      <c r="H766" s="2"/>
      <c r="I766" s="2" t="s">
        <v>10</v>
      </c>
      <c r="J766" s="2">
        <v>648</v>
      </c>
      <c r="K766" s="2"/>
      <c r="L766" s="2">
        <v>568</v>
      </c>
      <c r="M766" s="2">
        <v>0.4</v>
      </c>
      <c r="N766" s="2">
        <v>7.8250000000000002</v>
      </c>
      <c r="O766" s="2">
        <v>7.7</v>
      </c>
      <c r="P766" s="7"/>
    </row>
    <row r="767" spans="1:16" x14ac:dyDescent="0.25">
      <c r="A767" s="6">
        <v>8.625</v>
      </c>
      <c r="B767" s="2">
        <v>36</v>
      </c>
      <c r="C767" s="2" t="s">
        <v>84</v>
      </c>
      <c r="D767" s="2">
        <v>5300</v>
      </c>
      <c r="E767" s="2">
        <v>4460</v>
      </c>
      <c r="F767" s="2"/>
      <c r="G767" s="2"/>
      <c r="H767" s="2"/>
      <c r="I767" s="2" t="s">
        <v>13</v>
      </c>
      <c r="J767" s="2">
        <v>847</v>
      </c>
      <c r="K767" s="2"/>
      <c r="L767" s="2">
        <v>568</v>
      </c>
      <c r="M767" s="2">
        <v>0.4</v>
      </c>
      <c r="N767" s="2">
        <v>7.8250000000000002</v>
      </c>
      <c r="O767" s="2">
        <v>7.7</v>
      </c>
      <c r="P767" s="7"/>
    </row>
    <row r="768" spans="1:16" x14ac:dyDescent="0.25">
      <c r="A768" s="8">
        <v>8.625</v>
      </c>
      <c r="B768" s="1">
        <v>36</v>
      </c>
      <c r="C768" s="1" t="s">
        <v>111</v>
      </c>
      <c r="D768" s="1">
        <v>4100</v>
      </c>
      <c r="E768" s="1">
        <v>6490</v>
      </c>
      <c r="F768" s="1"/>
      <c r="G768" s="1"/>
      <c r="H768" s="1"/>
      <c r="I768" s="1" t="s">
        <v>10</v>
      </c>
      <c r="J768" s="1">
        <v>678</v>
      </c>
      <c r="K768" s="1"/>
      <c r="L768" s="1">
        <v>827</v>
      </c>
      <c r="M768" s="1">
        <v>0.4</v>
      </c>
      <c r="N768" s="1">
        <v>7.8250000000000002</v>
      </c>
      <c r="O768" s="1">
        <v>7.7</v>
      </c>
      <c r="P768" s="9"/>
    </row>
    <row r="769" spans="1:16" x14ac:dyDescent="0.25">
      <c r="A769" s="8">
        <v>8.625</v>
      </c>
      <c r="B769" s="1">
        <v>36</v>
      </c>
      <c r="C769" s="1" t="s">
        <v>111</v>
      </c>
      <c r="D769" s="1">
        <v>4100</v>
      </c>
      <c r="E769" s="1">
        <v>6490</v>
      </c>
      <c r="F769" s="1"/>
      <c r="G769" s="1"/>
      <c r="H769" s="1"/>
      <c r="I769" s="1" t="s">
        <v>13</v>
      </c>
      <c r="J769" s="1">
        <v>864</v>
      </c>
      <c r="K769" s="1"/>
      <c r="L769" s="1">
        <v>827</v>
      </c>
      <c r="M769" s="1">
        <v>0.4</v>
      </c>
      <c r="N769" s="1">
        <v>7.8250000000000002</v>
      </c>
      <c r="O769" s="1">
        <v>7.7</v>
      </c>
      <c r="P769" s="9"/>
    </row>
    <row r="770" spans="1:16" x14ac:dyDescent="0.25">
      <c r="A770" s="6">
        <v>8.625</v>
      </c>
      <c r="B770" s="2">
        <v>36</v>
      </c>
      <c r="C770" s="2" t="s">
        <v>88</v>
      </c>
      <c r="D770" s="2">
        <v>6060</v>
      </c>
      <c r="E770" s="2">
        <v>6490</v>
      </c>
      <c r="F770" s="2"/>
      <c r="G770" s="2"/>
      <c r="H770" s="2"/>
      <c r="I770" s="2" t="s">
        <v>10</v>
      </c>
      <c r="J770" s="2">
        <v>779</v>
      </c>
      <c r="K770" s="2"/>
      <c r="L770" s="2">
        <v>827</v>
      </c>
      <c r="M770" s="2">
        <v>0.4</v>
      </c>
      <c r="N770" s="2">
        <v>7.8250000000000002</v>
      </c>
      <c r="O770" s="2">
        <v>7.7</v>
      </c>
      <c r="P770" s="7"/>
    </row>
    <row r="771" spans="1:16" x14ac:dyDescent="0.25">
      <c r="A771" s="6">
        <v>8.625</v>
      </c>
      <c r="B771" s="2">
        <v>36</v>
      </c>
      <c r="C771" s="2" t="s">
        <v>88</v>
      </c>
      <c r="D771" s="2">
        <v>6060</v>
      </c>
      <c r="E771" s="2">
        <v>6490</v>
      </c>
      <c r="F771" s="2"/>
      <c r="G771" s="2"/>
      <c r="H771" s="2"/>
      <c r="I771" s="2" t="s">
        <v>13</v>
      </c>
      <c r="J771" s="2">
        <v>945</v>
      </c>
      <c r="K771" s="2"/>
      <c r="L771" s="2">
        <v>827</v>
      </c>
      <c r="M771" s="2">
        <v>0.4</v>
      </c>
      <c r="N771" s="2">
        <v>7.8250000000000002</v>
      </c>
      <c r="O771" s="2">
        <v>7.7</v>
      </c>
      <c r="P771" s="7"/>
    </row>
    <row r="772" spans="1:16" x14ac:dyDescent="0.25">
      <c r="A772" s="8">
        <v>8.625</v>
      </c>
      <c r="B772" s="1">
        <v>36</v>
      </c>
      <c r="C772" s="1" t="s">
        <v>112</v>
      </c>
      <c r="D772" s="1">
        <v>4100</v>
      </c>
      <c r="E772" s="1">
        <v>6490</v>
      </c>
      <c r="F772" s="1"/>
      <c r="G772" s="1"/>
      <c r="H772" s="1"/>
      <c r="I772" s="1" t="s">
        <v>10</v>
      </c>
      <c r="J772" s="1">
        <v>688</v>
      </c>
      <c r="K772" s="1"/>
      <c r="L772" s="1">
        <v>827</v>
      </c>
      <c r="M772" s="1">
        <v>0.4</v>
      </c>
      <c r="N772" s="1">
        <v>7.8250000000000002</v>
      </c>
      <c r="O772" s="1">
        <v>7.7</v>
      </c>
      <c r="P772" s="9"/>
    </row>
    <row r="773" spans="1:16" x14ac:dyDescent="0.25">
      <c r="A773" s="8">
        <v>8.625</v>
      </c>
      <c r="B773" s="1">
        <v>36</v>
      </c>
      <c r="C773" s="1" t="s">
        <v>112</v>
      </c>
      <c r="D773" s="1">
        <v>4100</v>
      </c>
      <c r="E773" s="1">
        <v>6490</v>
      </c>
      <c r="F773" s="1"/>
      <c r="G773" s="1"/>
      <c r="H773" s="1"/>
      <c r="I773" s="1" t="s">
        <v>13</v>
      </c>
      <c r="J773" s="1">
        <v>895</v>
      </c>
      <c r="K773" s="1"/>
      <c r="L773" s="1">
        <v>827</v>
      </c>
      <c r="M773" s="1">
        <v>0.4</v>
      </c>
      <c r="N773" s="1">
        <v>7.8250000000000002</v>
      </c>
      <c r="O773" s="1">
        <v>7.7</v>
      </c>
      <c r="P773" s="9"/>
    </row>
    <row r="774" spans="1:16" x14ac:dyDescent="0.25">
      <c r="A774" s="6">
        <v>8.625</v>
      </c>
      <c r="B774" s="2">
        <v>36</v>
      </c>
      <c r="C774" s="2" t="s">
        <v>93</v>
      </c>
      <c r="D774" s="2">
        <v>6060</v>
      </c>
      <c r="E774" s="2">
        <v>6490</v>
      </c>
      <c r="F774" s="2"/>
      <c r="G774" s="2"/>
      <c r="H774" s="2"/>
      <c r="I774" s="2" t="s">
        <v>10</v>
      </c>
      <c r="J774" s="2">
        <v>779</v>
      </c>
      <c r="K774" s="2"/>
      <c r="L774" s="2">
        <v>827</v>
      </c>
      <c r="M774" s="2">
        <v>0.4</v>
      </c>
      <c r="N774" s="2">
        <v>7.8250000000000002</v>
      </c>
      <c r="O774" s="2">
        <v>7.7</v>
      </c>
      <c r="P774" s="7"/>
    </row>
    <row r="775" spans="1:16" x14ac:dyDescent="0.25">
      <c r="A775" s="6">
        <v>8.625</v>
      </c>
      <c r="B775" s="2">
        <v>36</v>
      </c>
      <c r="C775" s="2" t="s">
        <v>93</v>
      </c>
      <c r="D775" s="2">
        <v>6060</v>
      </c>
      <c r="E775" s="2">
        <v>6490</v>
      </c>
      <c r="F775" s="2"/>
      <c r="G775" s="2"/>
      <c r="H775" s="2"/>
      <c r="I775" s="2" t="s">
        <v>13</v>
      </c>
      <c r="J775" s="2">
        <v>945</v>
      </c>
      <c r="K775" s="2"/>
      <c r="L775" s="2">
        <v>827</v>
      </c>
      <c r="M775" s="2">
        <v>0.4</v>
      </c>
      <c r="N775" s="2">
        <v>7.8250000000000002</v>
      </c>
      <c r="O775" s="2">
        <v>7.7</v>
      </c>
      <c r="P775" s="7"/>
    </row>
    <row r="776" spans="1:16" x14ac:dyDescent="0.25">
      <c r="A776" s="8">
        <v>8.625</v>
      </c>
      <c r="B776" s="1">
        <v>40</v>
      </c>
      <c r="C776" s="1" t="s">
        <v>111</v>
      </c>
      <c r="D776" s="1">
        <v>5520</v>
      </c>
      <c r="E776" s="1">
        <v>7300</v>
      </c>
      <c r="F776" s="1"/>
      <c r="G776" s="1"/>
      <c r="H776" s="1"/>
      <c r="I776" s="1" t="s">
        <v>10</v>
      </c>
      <c r="J776" s="1">
        <v>776</v>
      </c>
      <c r="K776" s="1"/>
      <c r="L776" s="1">
        <v>925</v>
      </c>
      <c r="M776" s="1">
        <v>0.45</v>
      </c>
      <c r="N776" s="1">
        <v>7.7249999999999996</v>
      </c>
      <c r="O776" s="1">
        <v>7.6</v>
      </c>
      <c r="P776" s="9">
        <v>7.625</v>
      </c>
    </row>
    <row r="777" spans="1:16" x14ac:dyDescent="0.25">
      <c r="A777" s="8">
        <v>8.625</v>
      </c>
      <c r="B777" s="1">
        <v>40</v>
      </c>
      <c r="C777" s="1" t="s">
        <v>111</v>
      </c>
      <c r="D777" s="1">
        <v>5520</v>
      </c>
      <c r="E777" s="1">
        <v>7300</v>
      </c>
      <c r="F777" s="1"/>
      <c r="G777" s="1"/>
      <c r="H777" s="1"/>
      <c r="I777" s="1" t="s">
        <v>13</v>
      </c>
      <c r="J777" s="1">
        <v>966</v>
      </c>
      <c r="K777" s="1"/>
      <c r="L777" s="1">
        <v>925</v>
      </c>
      <c r="M777" s="1">
        <v>0.45</v>
      </c>
      <c r="N777" s="1">
        <v>7.7249999999999996</v>
      </c>
      <c r="O777" s="1">
        <v>7.6</v>
      </c>
      <c r="P777" s="9">
        <v>7.625</v>
      </c>
    </row>
    <row r="778" spans="1:16" x14ac:dyDescent="0.25">
      <c r="A778" s="6">
        <v>8.625</v>
      </c>
      <c r="B778" s="2">
        <v>40</v>
      </c>
      <c r="C778" s="2" t="s">
        <v>88</v>
      </c>
      <c r="D778" s="2">
        <v>7900</v>
      </c>
      <c r="E778" s="2">
        <v>7300</v>
      </c>
      <c r="F778" s="2"/>
      <c r="G778" s="2"/>
      <c r="H778" s="2"/>
      <c r="I778" s="2" t="s">
        <v>10</v>
      </c>
      <c r="J778" s="2">
        <v>892</v>
      </c>
      <c r="K778" s="2"/>
      <c r="L778" s="2">
        <v>925</v>
      </c>
      <c r="M778" s="2">
        <v>0.45</v>
      </c>
      <c r="N778" s="2">
        <v>7.7249999999999996</v>
      </c>
      <c r="O778" s="2">
        <v>7.6</v>
      </c>
      <c r="P778" s="7">
        <v>7.625</v>
      </c>
    </row>
    <row r="779" spans="1:16" x14ac:dyDescent="0.25">
      <c r="A779" s="6">
        <v>8.625</v>
      </c>
      <c r="B779" s="2">
        <v>40</v>
      </c>
      <c r="C779" s="2" t="s">
        <v>88</v>
      </c>
      <c r="D779" s="2">
        <v>7900</v>
      </c>
      <c r="E779" s="2">
        <v>7300</v>
      </c>
      <c r="F779" s="2"/>
      <c r="G779" s="2"/>
      <c r="H779" s="2"/>
      <c r="I779" s="2" t="s">
        <v>13</v>
      </c>
      <c r="J779" s="2">
        <v>1057</v>
      </c>
      <c r="K779" s="2"/>
      <c r="L779" s="2">
        <v>925</v>
      </c>
      <c r="M779" s="2">
        <v>0.45</v>
      </c>
      <c r="N779" s="2">
        <v>7.7249999999999996</v>
      </c>
      <c r="O779" s="2">
        <v>7.6</v>
      </c>
      <c r="P779" s="7">
        <v>7.625</v>
      </c>
    </row>
    <row r="780" spans="1:16" x14ac:dyDescent="0.25">
      <c r="A780" s="8">
        <v>8.625</v>
      </c>
      <c r="B780" s="1">
        <v>40</v>
      </c>
      <c r="C780" s="1" t="s">
        <v>112</v>
      </c>
      <c r="D780" s="1">
        <v>5520</v>
      </c>
      <c r="E780" s="1">
        <v>7300</v>
      </c>
      <c r="F780" s="1"/>
      <c r="G780" s="1"/>
      <c r="H780" s="1"/>
      <c r="I780" s="1" t="s">
        <v>10</v>
      </c>
      <c r="J780" s="1">
        <v>788</v>
      </c>
      <c r="K780" s="1"/>
      <c r="L780" s="1">
        <v>925</v>
      </c>
      <c r="M780" s="1">
        <v>0.45</v>
      </c>
      <c r="N780" s="1">
        <v>7.7249999999999996</v>
      </c>
      <c r="O780" s="1">
        <v>7.6</v>
      </c>
      <c r="P780" s="9">
        <v>7.625</v>
      </c>
    </row>
    <row r="781" spans="1:16" x14ac:dyDescent="0.25">
      <c r="A781" s="8">
        <v>8.625</v>
      </c>
      <c r="B781" s="1">
        <v>40</v>
      </c>
      <c r="C781" s="1" t="s">
        <v>112</v>
      </c>
      <c r="D781" s="1">
        <v>5520</v>
      </c>
      <c r="E781" s="1">
        <v>7300</v>
      </c>
      <c r="F781" s="1"/>
      <c r="G781" s="1"/>
      <c r="H781" s="1"/>
      <c r="I781" s="1" t="s">
        <v>13</v>
      </c>
      <c r="J781" s="1">
        <v>1001</v>
      </c>
      <c r="K781" s="1"/>
      <c r="L781" s="1">
        <v>925</v>
      </c>
      <c r="M781" s="1">
        <v>0.45</v>
      </c>
      <c r="N781" s="1">
        <v>7.7249999999999996</v>
      </c>
      <c r="O781" s="1">
        <v>7.6</v>
      </c>
      <c r="P781" s="9">
        <v>7.625</v>
      </c>
    </row>
    <row r="782" spans="1:16" x14ac:dyDescent="0.25">
      <c r="A782" s="6">
        <v>8.625</v>
      </c>
      <c r="B782" s="2">
        <v>40</v>
      </c>
      <c r="C782" s="2" t="s">
        <v>93</v>
      </c>
      <c r="D782" s="2">
        <v>7900</v>
      </c>
      <c r="E782" s="2">
        <v>7300</v>
      </c>
      <c r="F782" s="2"/>
      <c r="G782" s="2"/>
      <c r="H782" s="2"/>
      <c r="I782" s="2" t="s">
        <v>10</v>
      </c>
      <c r="J782" s="2">
        <v>892</v>
      </c>
      <c r="K782" s="2"/>
      <c r="L782" s="2">
        <v>925</v>
      </c>
      <c r="M782" s="2">
        <v>0.45</v>
      </c>
      <c r="N782" s="2">
        <v>7.7249999999999996</v>
      </c>
      <c r="O782" s="2">
        <v>7.6</v>
      </c>
      <c r="P782" s="7">
        <v>7.625</v>
      </c>
    </row>
    <row r="783" spans="1:16" x14ac:dyDescent="0.25">
      <c r="A783" s="6">
        <v>8.625</v>
      </c>
      <c r="B783" s="2">
        <v>40</v>
      </c>
      <c r="C783" s="2" t="s">
        <v>93</v>
      </c>
      <c r="D783" s="2">
        <v>7900</v>
      </c>
      <c r="E783" s="2">
        <v>7300</v>
      </c>
      <c r="F783" s="2"/>
      <c r="G783" s="2"/>
      <c r="H783" s="2"/>
      <c r="I783" s="2" t="s">
        <v>13</v>
      </c>
      <c r="J783" s="2">
        <v>1057</v>
      </c>
      <c r="K783" s="2"/>
      <c r="L783" s="2">
        <v>925</v>
      </c>
      <c r="M783" s="2">
        <v>0.45</v>
      </c>
      <c r="N783" s="2">
        <v>7.7249999999999996</v>
      </c>
      <c r="O783" s="2">
        <v>7.6</v>
      </c>
      <c r="P783" s="7">
        <v>7.625</v>
      </c>
    </row>
    <row r="784" spans="1:16" x14ac:dyDescent="0.25">
      <c r="A784" s="8">
        <v>8.625</v>
      </c>
      <c r="B784" s="1">
        <v>40</v>
      </c>
      <c r="C784" s="1" t="s">
        <v>68</v>
      </c>
      <c r="D784" s="1">
        <v>5870</v>
      </c>
      <c r="E784" s="1">
        <v>8220</v>
      </c>
      <c r="F784" s="1"/>
      <c r="G784" s="1"/>
      <c r="H784" s="1"/>
      <c r="I784" s="1" t="s">
        <v>10</v>
      </c>
      <c r="J784" s="1">
        <v>858</v>
      </c>
      <c r="K784" s="1"/>
      <c r="L784" s="1">
        <v>1040</v>
      </c>
      <c r="M784" s="1">
        <v>0.45</v>
      </c>
      <c r="N784" s="1">
        <v>7.7249999999999996</v>
      </c>
      <c r="O784" s="1">
        <v>7.6</v>
      </c>
      <c r="P784" s="9">
        <v>7.625</v>
      </c>
    </row>
    <row r="785" spans="1:16" x14ac:dyDescent="0.25">
      <c r="A785" s="8">
        <v>8.625</v>
      </c>
      <c r="B785" s="1">
        <v>40</v>
      </c>
      <c r="C785" s="1" t="s">
        <v>68</v>
      </c>
      <c r="D785" s="1">
        <v>5870</v>
      </c>
      <c r="E785" s="1">
        <v>8220</v>
      </c>
      <c r="F785" s="1"/>
      <c r="G785" s="1"/>
      <c r="H785" s="1"/>
      <c r="I785" s="1" t="s">
        <v>13</v>
      </c>
      <c r="J785" s="1">
        <v>1038</v>
      </c>
      <c r="K785" s="1"/>
      <c r="L785" s="1">
        <v>1040</v>
      </c>
      <c r="M785" s="1">
        <v>0.45</v>
      </c>
      <c r="N785" s="1">
        <v>7.7249999999999996</v>
      </c>
      <c r="O785" s="1">
        <v>7.6</v>
      </c>
      <c r="P785" s="9">
        <v>7.625</v>
      </c>
    </row>
    <row r="786" spans="1:16" x14ac:dyDescent="0.25">
      <c r="A786" s="6">
        <v>8.625</v>
      </c>
      <c r="B786" s="2">
        <v>40</v>
      </c>
      <c r="C786" s="2" t="s">
        <v>75</v>
      </c>
      <c r="D786" s="2">
        <v>7900</v>
      </c>
      <c r="E786" s="2">
        <v>8220</v>
      </c>
      <c r="F786" s="2"/>
      <c r="G786" s="2"/>
      <c r="H786" s="2"/>
      <c r="I786" s="2" t="s">
        <v>10</v>
      </c>
      <c r="J786" s="2">
        <v>892</v>
      </c>
      <c r="K786" s="2"/>
      <c r="L786" s="2">
        <v>1040</v>
      </c>
      <c r="M786" s="2">
        <v>0.45</v>
      </c>
      <c r="N786" s="2">
        <v>7.7249999999999996</v>
      </c>
      <c r="O786" s="2">
        <v>7.6</v>
      </c>
      <c r="P786" s="7">
        <v>7.625</v>
      </c>
    </row>
    <row r="787" spans="1:16" x14ac:dyDescent="0.25">
      <c r="A787" s="6">
        <v>8.625</v>
      </c>
      <c r="B787" s="2">
        <v>40</v>
      </c>
      <c r="C787" s="2" t="s">
        <v>75</v>
      </c>
      <c r="D787" s="2">
        <v>7900</v>
      </c>
      <c r="E787" s="2">
        <v>8220</v>
      </c>
      <c r="F787" s="2"/>
      <c r="G787" s="2"/>
      <c r="H787" s="2"/>
      <c r="I787" s="2" t="s">
        <v>13</v>
      </c>
      <c r="J787" s="2">
        <v>1057</v>
      </c>
      <c r="K787" s="2"/>
      <c r="L787" s="2">
        <v>1040</v>
      </c>
      <c r="M787" s="2">
        <v>0.45</v>
      </c>
      <c r="N787" s="2">
        <v>7.7249999999999996</v>
      </c>
      <c r="O787" s="2">
        <v>7.6</v>
      </c>
      <c r="P787" s="7">
        <v>7.625</v>
      </c>
    </row>
    <row r="788" spans="1:16" x14ac:dyDescent="0.25">
      <c r="A788" s="8">
        <v>8.625</v>
      </c>
      <c r="B788" s="1">
        <v>40</v>
      </c>
      <c r="C788" s="1" t="s">
        <v>115</v>
      </c>
      <c r="D788" s="1">
        <v>7900</v>
      </c>
      <c r="E788" s="1">
        <v>8670</v>
      </c>
      <c r="F788" s="1"/>
      <c r="G788" s="1"/>
      <c r="H788" s="1"/>
      <c r="I788" s="1" t="s">
        <v>10</v>
      </c>
      <c r="J788" s="1">
        <v>915</v>
      </c>
      <c r="K788" s="1"/>
      <c r="L788" s="1">
        <v>1098</v>
      </c>
      <c r="M788" s="1">
        <v>0.45</v>
      </c>
      <c r="N788" s="1">
        <v>7.7249999999999996</v>
      </c>
      <c r="O788" s="1">
        <v>7.6</v>
      </c>
      <c r="P788" s="9">
        <v>7.625</v>
      </c>
    </row>
    <row r="789" spans="1:16" x14ac:dyDescent="0.25">
      <c r="A789" s="8">
        <v>8.625</v>
      </c>
      <c r="B789" s="1">
        <v>40</v>
      </c>
      <c r="C789" s="1" t="s">
        <v>115</v>
      </c>
      <c r="D789" s="1">
        <v>7900</v>
      </c>
      <c r="E789" s="1">
        <v>8670</v>
      </c>
      <c r="F789" s="1"/>
      <c r="G789" s="1"/>
      <c r="H789" s="1"/>
      <c r="I789" s="1" t="s">
        <v>13</v>
      </c>
      <c r="J789" s="1">
        <v>1127</v>
      </c>
      <c r="K789" s="1"/>
      <c r="L789" s="1">
        <v>1098</v>
      </c>
      <c r="M789" s="1">
        <v>0.45</v>
      </c>
      <c r="N789" s="1">
        <v>7.7249999999999996</v>
      </c>
      <c r="O789" s="1">
        <v>7.6</v>
      </c>
      <c r="P789" s="9">
        <v>7.625</v>
      </c>
    </row>
    <row r="790" spans="1:16" x14ac:dyDescent="0.25">
      <c r="A790" s="6">
        <v>8.625</v>
      </c>
      <c r="B790" s="2">
        <v>40</v>
      </c>
      <c r="C790" s="2" t="s">
        <v>116</v>
      </c>
      <c r="D790" s="2">
        <v>6020</v>
      </c>
      <c r="E790" s="2">
        <v>8670</v>
      </c>
      <c r="F790" s="2"/>
      <c r="G790" s="2"/>
      <c r="H790" s="2"/>
      <c r="I790" s="2" t="s">
        <v>10</v>
      </c>
      <c r="J790" s="2">
        <v>904</v>
      </c>
      <c r="K790" s="2"/>
      <c r="L790" s="2">
        <v>1098</v>
      </c>
      <c r="M790" s="2">
        <v>0.45</v>
      </c>
      <c r="N790" s="2">
        <v>7.7249999999999996</v>
      </c>
      <c r="O790" s="2">
        <v>7.6</v>
      </c>
      <c r="P790" s="7">
        <v>7.625</v>
      </c>
    </row>
    <row r="791" spans="1:16" x14ac:dyDescent="0.25">
      <c r="A791" s="6">
        <v>8.625</v>
      </c>
      <c r="B791" s="2">
        <v>40</v>
      </c>
      <c r="C791" s="2" t="s">
        <v>116</v>
      </c>
      <c r="D791" s="2">
        <v>6020</v>
      </c>
      <c r="E791" s="2">
        <v>8670</v>
      </c>
      <c r="F791" s="2"/>
      <c r="G791" s="2"/>
      <c r="H791" s="2"/>
      <c r="I791" s="2" t="s">
        <v>13</v>
      </c>
      <c r="J791" s="2">
        <v>1092</v>
      </c>
      <c r="K791" s="2"/>
      <c r="L791" s="2">
        <v>1098</v>
      </c>
      <c r="M791" s="2">
        <v>0.45</v>
      </c>
      <c r="N791" s="2">
        <v>7.7249999999999996</v>
      </c>
      <c r="O791" s="2">
        <v>7.6</v>
      </c>
      <c r="P791" s="7">
        <v>7.625</v>
      </c>
    </row>
    <row r="792" spans="1:16" x14ac:dyDescent="0.25">
      <c r="A792" s="8">
        <v>8.625</v>
      </c>
      <c r="B792" s="1">
        <v>40</v>
      </c>
      <c r="C792" s="1" t="s">
        <v>80</v>
      </c>
      <c r="D792" s="1">
        <v>7900</v>
      </c>
      <c r="E792" s="1">
        <v>8670</v>
      </c>
      <c r="F792" s="1"/>
      <c r="G792" s="1"/>
      <c r="H792" s="1"/>
      <c r="I792" s="1" t="s">
        <v>10</v>
      </c>
      <c r="J792" s="1">
        <v>904</v>
      </c>
      <c r="K792" s="1"/>
      <c r="L792" s="1">
        <v>1098</v>
      </c>
      <c r="M792" s="1">
        <v>0.45</v>
      </c>
      <c r="N792" s="1">
        <v>7.7249999999999996</v>
      </c>
      <c r="O792" s="1">
        <v>7.6</v>
      </c>
      <c r="P792" s="9">
        <v>7.625</v>
      </c>
    </row>
    <row r="793" spans="1:16" x14ac:dyDescent="0.25">
      <c r="A793" s="8">
        <v>8.625</v>
      </c>
      <c r="B793" s="1">
        <v>40</v>
      </c>
      <c r="C793" s="1" t="s">
        <v>80</v>
      </c>
      <c r="D793" s="1">
        <v>7900</v>
      </c>
      <c r="E793" s="1">
        <v>8670</v>
      </c>
      <c r="F793" s="1"/>
      <c r="G793" s="1"/>
      <c r="H793" s="1"/>
      <c r="I793" s="1" t="s">
        <v>13</v>
      </c>
      <c r="J793" s="1">
        <v>1092</v>
      </c>
      <c r="K793" s="1"/>
      <c r="L793" s="1">
        <v>1098</v>
      </c>
      <c r="M793" s="1">
        <v>0.45</v>
      </c>
      <c r="N793" s="1">
        <v>7.7249999999999996</v>
      </c>
      <c r="O793" s="1">
        <v>7.6</v>
      </c>
      <c r="P793" s="9">
        <v>7.625</v>
      </c>
    </row>
    <row r="794" spans="1:16" x14ac:dyDescent="0.25">
      <c r="A794" s="6">
        <v>8.625</v>
      </c>
      <c r="B794" s="2">
        <v>40</v>
      </c>
      <c r="C794" s="2" t="s">
        <v>74</v>
      </c>
      <c r="D794" s="2">
        <v>6020</v>
      </c>
      <c r="E794" s="2">
        <v>8670</v>
      </c>
      <c r="F794" s="2"/>
      <c r="G794" s="2"/>
      <c r="H794" s="2"/>
      <c r="I794" s="2" t="s">
        <v>10</v>
      </c>
      <c r="J794" s="2">
        <v>904</v>
      </c>
      <c r="K794" s="2"/>
      <c r="L794" s="2">
        <v>1098</v>
      </c>
      <c r="M794" s="2">
        <v>0.45</v>
      </c>
      <c r="N794" s="2">
        <v>7.7249999999999996</v>
      </c>
      <c r="O794" s="2">
        <v>7.6</v>
      </c>
      <c r="P794" s="7">
        <v>7.625</v>
      </c>
    </row>
    <row r="795" spans="1:16" x14ac:dyDescent="0.25">
      <c r="A795" s="6">
        <v>8.625</v>
      </c>
      <c r="B795" s="2">
        <v>40</v>
      </c>
      <c r="C795" s="2" t="s">
        <v>74</v>
      </c>
      <c r="D795" s="2">
        <v>6020</v>
      </c>
      <c r="E795" s="2">
        <v>8670</v>
      </c>
      <c r="F795" s="2"/>
      <c r="G795" s="2"/>
      <c r="H795" s="2"/>
      <c r="I795" s="2" t="s">
        <v>13</v>
      </c>
      <c r="J795" s="2">
        <v>1092</v>
      </c>
      <c r="K795" s="2"/>
      <c r="L795" s="2">
        <v>1098</v>
      </c>
      <c r="M795" s="2">
        <v>0.45</v>
      </c>
      <c r="N795" s="2">
        <v>7.7249999999999996</v>
      </c>
      <c r="O795" s="2">
        <v>7.6</v>
      </c>
      <c r="P795" s="7">
        <v>7.625</v>
      </c>
    </row>
    <row r="796" spans="1:16" x14ac:dyDescent="0.25">
      <c r="A796" s="8">
        <v>8.625</v>
      </c>
      <c r="B796" s="1">
        <v>40</v>
      </c>
      <c r="C796" s="1" t="s">
        <v>97</v>
      </c>
      <c r="D796" s="1">
        <v>7900</v>
      </c>
      <c r="E796" s="1">
        <v>10040</v>
      </c>
      <c r="F796" s="1"/>
      <c r="G796" s="1"/>
      <c r="H796" s="1"/>
      <c r="I796" s="1" t="s">
        <v>10</v>
      </c>
      <c r="J796" s="1">
        <v>1055</v>
      </c>
      <c r="K796" s="1"/>
      <c r="L796" s="1">
        <v>1271</v>
      </c>
      <c r="M796" s="1">
        <v>0.45</v>
      </c>
      <c r="N796" s="1">
        <v>7.7249999999999996</v>
      </c>
      <c r="O796" s="1">
        <v>7.6</v>
      </c>
      <c r="P796" s="9">
        <v>7.625</v>
      </c>
    </row>
    <row r="797" spans="1:16" x14ac:dyDescent="0.25">
      <c r="A797" s="8">
        <v>8.625</v>
      </c>
      <c r="B797" s="1">
        <v>40</v>
      </c>
      <c r="C797" s="1" t="s">
        <v>97</v>
      </c>
      <c r="D797" s="1">
        <v>7900</v>
      </c>
      <c r="E797" s="1">
        <v>10040</v>
      </c>
      <c r="F797" s="1"/>
      <c r="G797" s="1"/>
      <c r="H797" s="1"/>
      <c r="I797" s="1" t="s">
        <v>13</v>
      </c>
      <c r="J797" s="1">
        <v>1228</v>
      </c>
      <c r="K797" s="1"/>
      <c r="L797" s="1">
        <v>1271</v>
      </c>
      <c r="M797" s="1">
        <v>0.45</v>
      </c>
      <c r="N797" s="1">
        <v>7.7249999999999996</v>
      </c>
      <c r="O797" s="1">
        <v>7.6</v>
      </c>
      <c r="P797" s="9">
        <v>7.625</v>
      </c>
    </row>
    <row r="798" spans="1:16" x14ac:dyDescent="0.25">
      <c r="A798" s="6">
        <v>8.625</v>
      </c>
      <c r="B798" s="2">
        <v>40</v>
      </c>
      <c r="C798" s="2" t="s">
        <v>113</v>
      </c>
      <c r="D798" s="2">
        <v>6390</v>
      </c>
      <c r="E798" s="2">
        <v>10040</v>
      </c>
      <c r="F798" s="2"/>
      <c r="G798" s="2"/>
      <c r="H798" s="2"/>
      <c r="I798" s="2" t="s">
        <v>10</v>
      </c>
      <c r="J798" s="2">
        <v>1055</v>
      </c>
      <c r="K798" s="2"/>
      <c r="L798" s="2">
        <v>1271</v>
      </c>
      <c r="M798" s="2">
        <v>0.45</v>
      </c>
      <c r="N798" s="2">
        <v>7.7249999999999996</v>
      </c>
      <c r="O798" s="2">
        <v>7.6</v>
      </c>
      <c r="P798" s="7">
        <v>7.625</v>
      </c>
    </row>
    <row r="799" spans="1:16" x14ac:dyDescent="0.25">
      <c r="A799" s="6">
        <v>8.625</v>
      </c>
      <c r="B799" s="2">
        <v>40</v>
      </c>
      <c r="C799" s="2" t="s">
        <v>113</v>
      </c>
      <c r="D799" s="2">
        <v>6390</v>
      </c>
      <c r="E799" s="2">
        <v>10040</v>
      </c>
      <c r="F799" s="2"/>
      <c r="G799" s="2"/>
      <c r="H799" s="2"/>
      <c r="I799" s="2" t="s">
        <v>13</v>
      </c>
      <c r="J799" s="2">
        <v>1228</v>
      </c>
      <c r="K799" s="2"/>
      <c r="L799" s="2">
        <v>1271</v>
      </c>
      <c r="M799" s="2">
        <v>0.45</v>
      </c>
      <c r="N799" s="2">
        <v>7.7249999999999996</v>
      </c>
      <c r="O799" s="2">
        <v>7.6</v>
      </c>
      <c r="P799" s="7">
        <v>7.625</v>
      </c>
    </row>
    <row r="800" spans="1:16" x14ac:dyDescent="0.25">
      <c r="A800" s="8">
        <v>8.625</v>
      </c>
      <c r="B800" s="1">
        <v>49</v>
      </c>
      <c r="C800" s="1" t="s">
        <v>111</v>
      </c>
      <c r="D800" s="1">
        <v>8580</v>
      </c>
      <c r="E800" s="1">
        <v>9040</v>
      </c>
      <c r="F800" s="1"/>
      <c r="G800" s="1"/>
      <c r="H800" s="1"/>
      <c r="I800" s="1" t="s">
        <v>10</v>
      </c>
      <c r="J800" s="1">
        <v>983</v>
      </c>
      <c r="K800" s="1"/>
      <c r="L800" s="1">
        <v>1129</v>
      </c>
      <c r="M800" s="1">
        <v>0.55700000000000005</v>
      </c>
      <c r="N800" s="1">
        <v>7.5110000000000001</v>
      </c>
      <c r="O800" s="1">
        <v>7.3860000000000001</v>
      </c>
      <c r="P800" s="9"/>
    </row>
    <row r="801" spans="1:16" x14ac:dyDescent="0.25">
      <c r="A801" s="8">
        <v>8.625</v>
      </c>
      <c r="B801" s="1">
        <v>49</v>
      </c>
      <c r="C801" s="1" t="s">
        <v>111</v>
      </c>
      <c r="D801" s="1">
        <v>8580</v>
      </c>
      <c r="E801" s="1">
        <v>9040</v>
      </c>
      <c r="F801" s="1"/>
      <c r="G801" s="1"/>
      <c r="H801" s="1"/>
      <c r="I801" s="1" t="s">
        <v>13</v>
      </c>
      <c r="J801" s="1">
        <v>1180</v>
      </c>
      <c r="K801" s="1"/>
      <c r="L801" s="1">
        <v>1129</v>
      </c>
      <c r="M801" s="1">
        <v>0.55700000000000005</v>
      </c>
      <c r="N801" s="1">
        <v>7.5110000000000001</v>
      </c>
      <c r="O801" s="1">
        <v>7.3860000000000001</v>
      </c>
      <c r="P801" s="9"/>
    </row>
    <row r="802" spans="1:16" x14ac:dyDescent="0.25">
      <c r="A802" s="6">
        <v>8.625</v>
      </c>
      <c r="B802" s="2">
        <v>49</v>
      </c>
      <c r="C802" s="2" t="s">
        <v>88</v>
      </c>
      <c r="D802" s="2">
        <v>10400</v>
      </c>
      <c r="E802" s="2">
        <v>9040</v>
      </c>
      <c r="F802" s="2"/>
      <c r="G802" s="2"/>
      <c r="H802" s="2"/>
      <c r="I802" s="2" t="s">
        <v>10</v>
      </c>
      <c r="J802" s="2">
        <v>1129</v>
      </c>
      <c r="K802" s="2"/>
      <c r="L802" s="2">
        <v>1129</v>
      </c>
      <c r="M802" s="2">
        <v>0.55700000000000005</v>
      </c>
      <c r="N802" s="2">
        <v>7.5110000000000001</v>
      </c>
      <c r="O802" s="2">
        <v>7.3860000000000001</v>
      </c>
      <c r="P802" s="7"/>
    </row>
    <row r="803" spans="1:16" x14ac:dyDescent="0.25">
      <c r="A803" s="6">
        <v>8.625</v>
      </c>
      <c r="B803" s="2">
        <v>49</v>
      </c>
      <c r="C803" s="2" t="s">
        <v>88</v>
      </c>
      <c r="D803" s="2">
        <v>10400</v>
      </c>
      <c r="E803" s="2">
        <v>9040</v>
      </c>
      <c r="F803" s="2"/>
      <c r="G803" s="2"/>
      <c r="H803" s="2"/>
      <c r="I803" s="2" t="s">
        <v>13</v>
      </c>
      <c r="J803" s="2">
        <v>1291</v>
      </c>
      <c r="K803" s="2"/>
      <c r="L803" s="2">
        <v>1129</v>
      </c>
      <c r="M803" s="2">
        <v>0.55700000000000005</v>
      </c>
      <c r="N803" s="2">
        <v>7.5110000000000001</v>
      </c>
      <c r="O803" s="2">
        <v>7.3860000000000001</v>
      </c>
      <c r="P803" s="7"/>
    </row>
    <row r="804" spans="1:16" x14ac:dyDescent="0.25">
      <c r="A804" s="8">
        <v>8.625</v>
      </c>
      <c r="B804" s="1">
        <v>49</v>
      </c>
      <c r="C804" s="1" t="s">
        <v>112</v>
      </c>
      <c r="D804" s="1">
        <v>8580</v>
      </c>
      <c r="E804" s="1">
        <v>9040</v>
      </c>
      <c r="F804" s="1"/>
      <c r="G804" s="1"/>
      <c r="H804" s="1"/>
      <c r="I804" s="1" t="s">
        <v>10</v>
      </c>
      <c r="J804" s="1">
        <v>997</v>
      </c>
      <c r="K804" s="1"/>
      <c r="L804" s="1">
        <v>1129</v>
      </c>
      <c r="M804" s="1">
        <v>0.55700000000000005</v>
      </c>
      <c r="N804" s="1">
        <v>7.5110000000000001</v>
      </c>
      <c r="O804" s="1">
        <v>7.3860000000000001</v>
      </c>
      <c r="P804" s="9"/>
    </row>
    <row r="805" spans="1:16" x14ac:dyDescent="0.25">
      <c r="A805" s="8">
        <v>8.625</v>
      </c>
      <c r="B805" s="1">
        <v>49</v>
      </c>
      <c r="C805" s="1" t="s">
        <v>112</v>
      </c>
      <c r="D805" s="1">
        <v>8580</v>
      </c>
      <c r="E805" s="1">
        <v>9040</v>
      </c>
      <c r="F805" s="1"/>
      <c r="G805" s="1"/>
      <c r="H805" s="1"/>
      <c r="I805" s="1" t="s">
        <v>13</v>
      </c>
      <c r="J805" s="1">
        <v>1222</v>
      </c>
      <c r="K805" s="1"/>
      <c r="L805" s="1">
        <v>1129</v>
      </c>
      <c r="M805" s="1">
        <v>0.55700000000000005</v>
      </c>
      <c r="N805" s="1">
        <v>7.5110000000000001</v>
      </c>
      <c r="O805" s="1">
        <v>7.3860000000000001</v>
      </c>
      <c r="P805" s="9"/>
    </row>
    <row r="806" spans="1:16" x14ac:dyDescent="0.25">
      <c r="A806" s="6">
        <v>8.625</v>
      </c>
      <c r="B806" s="2">
        <v>49</v>
      </c>
      <c r="C806" s="2" t="s">
        <v>93</v>
      </c>
      <c r="D806" s="2">
        <v>10400</v>
      </c>
      <c r="E806" s="2">
        <v>9040</v>
      </c>
      <c r="F806" s="2"/>
      <c r="G806" s="2"/>
      <c r="H806" s="2"/>
      <c r="I806" s="2" t="s">
        <v>10</v>
      </c>
      <c r="J806" s="2">
        <v>1129</v>
      </c>
      <c r="K806" s="2"/>
      <c r="L806" s="2">
        <v>1129</v>
      </c>
      <c r="M806" s="2">
        <v>0.55700000000000005</v>
      </c>
      <c r="N806" s="2">
        <v>7.5110000000000001</v>
      </c>
      <c r="O806" s="2">
        <v>7.3860000000000001</v>
      </c>
      <c r="P806" s="7"/>
    </row>
    <row r="807" spans="1:16" x14ac:dyDescent="0.25">
      <c r="A807" s="6">
        <v>8.625</v>
      </c>
      <c r="B807" s="2">
        <v>49</v>
      </c>
      <c r="C807" s="2" t="s">
        <v>93</v>
      </c>
      <c r="D807" s="2">
        <v>10400</v>
      </c>
      <c r="E807" s="2">
        <v>9040</v>
      </c>
      <c r="F807" s="2"/>
      <c r="G807" s="2"/>
      <c r="H807" s="2"/>
      <c r="I807" s="2" t="s">
        <v>13</v>
      </c>
      <c r="J807" s="2">
        <v>1291</v>
      </c>
      <c r="K807" s="2"/>
      <c r="L807" s="2">
        <v>1129</v>
      </c>
      <c r="M807" s="2">
        <v>0.55700000000000005</v>
      </c>
      <c r="N807" s="2">
        <v>7.5110000000000001</v>
      </c>
      <c r="O807" s="2">
        <v>7.3860000000000001</v>
      </c>
      <c r="P807" s="7"/>
    </row>
    <row r="808" spans="1:16" x14ac:dyDescent="0.25">
      <c r="A808" s="8">
        <v>8.625</v>
      </c>
      <c r="B808" s="1">
        <v>49</v>
      </c>
      <c r="C808" s="1" t="s">
        <v>68</v>
      </c>
      <c r="D808" s="1">
        <v>9340</v>
      </c>
      <c r="E808" s="1">
        <v>10170</v>
      </c>
      <c r="F808" s="1"/>
      <c r="G808" s="1"/>
      <c r="H808" s="1"/>
      <c r="I808" s="1" t="s">
        <v>10</v>
      </c>
      <c r="J808" s="1">
        <v>1085</v>
      </c>
      <c r="K808" s="1"/>
      <c r="L808" s="1">
        <v>1271</v>
      </c>
      <c r="M808" s="1">
        <v>0.55700000000000005</v>
      </c>
      <c r="N808" s="1">
        <v>7.5110000000000001</v>
      </c>
      <c r="O808" s="1">
        <v>7.3860000000000001</v>
      </c>
      <c r="P808" s="9"/>
    </row>
    <row r="809" spans="1:16" x14ac:dyDescent="0.25">
      <c r="A809" s="8">
        <v>8.625</v>
      </c>
      <c r="B809" s="1">
        <v>49</v>
      </c>
      <c r="C809" s="1" t="s">
        <v>68</v>
      </c>
      <c r="D809" s="1">
        <v>9340</v>
      </c>
      <c r="E809" s="1">
        <v>10170</v>
      </c>
      <c r="F809" s="1"/>
      <c r="G809" s="1"/>
      <c r="H809" s="1"/>
      <c r="I809" s="1" t="s">
        <v>13</v>
      </c>
      <c r="J809" s="1">
        <v>1268</v>
      </c>
      <c r="K809" s="1"/>
      <c r="L809" s="1">
        <v>1271</v>
      </c>
      <c r="M809" s="1">
        <v>0.55700000000000005</v>
      </c>
      <c r="N809" s="1">
        <v>7.5110000000000001</v>
      </c>
      <c r="O809" s="1">
        <v>7.3860000000000001</v>
      </c>
      <c r="P809" s="9"/>
    </row>
    <row r="810" spans="1:16" x14ac:dyDescent="0.25">
      <c r="A810" s="6">
        <v>8.625</v>
      </c>
      <c r="B810" s="2">
        <v>49</v>
      </c>
      <c r="C810" s="2" t="s">
        <v>75</v>
      </c>
      <c r="D810" s="2">
        <v>10400</v>
      </c>
      <c r="E810" s="2">
        <v>10170</v>
      </c>
      <c r="F810" s="2"/>
      <c r="G810" s="2"/>
      <c r="H810" s="2"/>
      <c r="I810" s="2" t="s">
        <v>10</v>
      </c>
      <c r="J810" s="2">
        <v>1129</v>
      </c>
      <c r="K810" s="2"/>
      <c r="L810" s="2">
        <v>1271</v>
      </c>
      <c r="M810" s="2">
        <v>0.55700000000000005</v>
      </c>
      <c r="N810" s="2">
        <v>7.5110000000000001</v>
      </c>
      <c r="O810" s="2">
        <v>7.3860000000000001</v>
      </c>
      <c r="P810" s="7"/>
    </row>
    <row r="811" spans="1:16" x14ac:dyDescent="0.25">
      <c r="A811" s="6">
        <v>8.625</v>
      </c>
      <c r="B811" s="2">
        <v>49</v>
      </c>
      <c r="C811" s="2" t="s">
        <v>75</v>
      </c>
      <c r="D811" s="2">
        <v>10400</v>
      </c>
      <c r="E811" s="2">
        <v>10170</v>
      </c>
      <c r="F811" s="2"/>
      <c r="G811" s="2"/>
      <c r="H811" s="2"/>
      <c r="I811" s="2" t="s">
        <v>13</v>
      </c>
      <c r="J811" s="2">
        <v>1291</v>
      </c>
      <c r="K811" s="2"/>
      <c r="L811" s="2">
        <v>1271</v>
      </c>
      <c r="M811" s="2">
        <v>0.55700000000000005</v>
      </c>
      <c r="N811" s="2">
        <v>7.5110000000000001</v>
      </c>
      <c r="O811" s="2">
        <v>7.3860000000000001</v>
      </c>
      <c r="P811" s="7"/>
    </row>
    <row r="812" spans="1:16" x14ac:dyDescent="0.25">
      <c r="A812" s="8">
        <v>8.625</v>
      </c>
      <c r="B812" s="1">
        <v>49</v>
      </c>
      <c r="C812" s="1" t="s">
        <v>115</v>
      </c>
      <c r="D812" s="1">
        <v>10400</v>
      </c>
      <c r="E812" s="1">
        <v>10740</v>
      </c>
      <c r="F812" s="1"/>
      <c r="G812" s="1"/>
      <c r="H812" s="1"/>
      <c r="I812" s="1" t="s">
        <v>10</v>
      </c>
      <c r="J812" s="1">
        <v>1159</v>
      </c>
      <c r="K812" s="1"/>
      <c r="L812" s="1">
        <v>1341</v>
      </c>
      <c r="M812" s="1">
        <v>0.55700000000000005</v>
      </c>
      <c r="N812" s="1">
        <v>7.5110000000000001</v>
      </c>
      <c r="O812" s="1">
        <v>7.3860000000000001</v>
      </c>
      <c r="P812" s="9"/>
    </row>
    <row r="813" spans="1:16" x14ac:dyDescent="0.25">
      <c r="A813" s="8">
        <v>8.625</v>
      </c>
      <c r="B813" s="1">
        <v>49</v>
      </c>
      <c r="C813" s="1" t="s">
        <v>115</v>
      </c>
      <c r="D813" s="1">
        <v>10400</v>
      </c>
      <c r="E813" s="1">
        <v>10740</v>
      </c>
      <c r="F813" s="1"/>
      <c r="G813" s="1"/>
      <c r="H813" s="1"/>
      <c r="I813" s="1" t="s">
        <v>13</v>
      </c>
      <c r="J813" s="1">
        <v>1377</v>
      </c>
      <c r="K813" s="1"/>
      <c r="L813" s="1">
        <v>1341</v>
      </c>
      <c r="M813" s="1">
        <v>0.55700000000000005</v>
      </c>
      <c r="N813" s="1">
        <v>7.5110000000000001</v>
      </c>
      <c r="O813" s="1">
        <v>7.3860000000000001</v>
      </c>
      <c r="P813" s="9"/>
    </row>
    <row r="814" spans="1:16" x14ac:dyDescent="0.25">
      <c r="A814" s="6">
        <v>8.625</v>
      </c>
      <c r="B814" s="2">
        <v>49</v>
      </c>
      <c r="C814" s="2" t="s">
        <v>116</v>
      </c>
      <c r="D814" s="2">
        <v>9710</v>
      </c>
      <c r="E814" s="2">
        <v>10740</v>
      </c>
      <c r="F814" s="2"/>
      <c r="G814" s="2"/>
      <c r="H814" s="2"/>
      <c r="I814" s="2" t="s">
        <v>10</v>
      </c>
      <c r="J814" s="2">
        <v>1144</v>
      </c>
      <c r="K814" s="2"/>
      <c r="L814" s="2">
        <v>1341</v>
      </c>
      <c r="M814" s="2">
        <v>0.55700000000000005</v>
      </c>
      <c r="N814" s="2">
        <v>7.5110000000000001</v>
      </c>
      <c r="O814" s="2">
        <v>7.3860000000000001</v>
      </c>
      <c r="P814" s="7"/>
    </row>
    <row r="815" spans="1:16" x14ac:dyDescent="0.25">
      <c r="A815" s="6">
        <v>8.625</v>
      </c>
      <c r="B815" s="2">
        <v>49</v>
      </c>
      <c r="C815" s="2" t="s">
        <v>116</v>
      </c>
      <c r="D815" s="2">
        <v>9710</v>
      </c>
      <c r="E815" s="2">
        <v>10740</v>
      </c>
      <c r="F815" s="2"/>
      <c r="G815" s="2"/>
      <c r="H815" s="2"/>
      <c r="I815" s="2" t="s">
        <v>13</v>
      </c>
      <c r="J815" s="2">
        <v>1334</v>
      </c>
      <c r="K815" s="2"/>
      <c r="L815" s="2">
        <v>1341</v>
      </c>
      <c r="M815" s="2">
        <v>0.55700000000000005</v>
      </c>
      <c r="N815" s="2">
        <v>7.5110000000000001</v>
      </c>
      <c r="O815" s="2">
        <v>7.3860000000000001</v>
      </c>
      <c r="P815" s="7"/>
    </row>
    <row r="816" spans="1:16" x14ac:dyDescent="0.25">
      <c r="A816" s="8">
        <v>8.625</v>
      </c>
      <c r="B816" s="1">
        <v>49</v>
      </c>
      <c r="C816" s="1" t="s">
        <v>80</v>
      </c>
      <c r="D816" s="1">
        <v>10400</v>
      </c>
      <c r="E816" s="1">
        <v>10740</v>
      </c>
      <c r="F816" s="1"/>
      <c r="G816" s="1"/>
      <c r="H816" s="1"/>
      <c r="I816" s="1" t="s">
        <v>10</v>
      </c>
      <c r="J816" s="1">
        <v>1144</v>
      </c>
      <c r="K816" s="1"/>
      <c r="L816" s="1">
        <v>1341</v>
      </c>
      <c r="M816" s="1">
        <v>0.55700000000000005</v>
      </c>
      <c r="N816" s="1">
        <v>7.5110000000000001</v>
      </c>
      <c r="O816" s="1">
        <v>7.3860000000000001</v>
      </c>
      <c r="P816" s="9"/>
    </row>
    <row r="817" spans="1:16" x14ac:dyDescent="0.25">
      <c r="A817" s="8">
        <v>8.625</v>
      </c>
      <c r="B817" s="1">
        <v>49</v>
      </c>
      <c r="C817" s="1" t="s">
        <v>80</v>
      </c>
      <c r="D817" s="1">
        <v>10400</v>
      </c>
      <c r="E817" s="1">
        <v>10740</v>
      </c>
      <c r="F817" s="1"/>
      <c r="G817" s="1"/>
      <c r="H817" s="1"/>
      <c r="I817" s="1" t="s">
        <v>13</v>
      </c>
      <c r="J817" s="1">
        <v>1334</v>
      </c>
      <c r="K817" s="1"/>
      <c r="L817" s="1">
        <v>1341</v>
      </c>
      <c r="M817" s="1">
        <v>0.55700000000000005</v>
      </c>
      <c r="N817" s="1">
        <v>7.5110000000000001</v>
      </c>
      <c r="O817" s="1">
        <v>7.3860000000000001</v>
      </c>
      <c r="P817" s="9"/>
    </row>
    <row r="818" spans="1:16" x14ac:dyDescent="0.25">
      <c r="A818" s="6">
        <v>8.625</v>
      </c>
      <c r="B818" s="2">
        <v>49</v>
      </c>
      <c r="C818" s="2" t="s">
        <v>74</v>
      </c>
      <c r="D818" s="2">
        <v>9710</v>
      </c>
      <c r="E818" s="2">
        <v>10740</v>
      </c>
      <c r="F818" s="2"/>
      <c r="G818" s="2"/>
      <c r="H818" s="2"/>
      <c r="I818" s="2" t="s">
        <v>10</v>
      </c>
      <c r="J818" s="2">
        <v>1144</v>
      </c>
      <c r="K818" s="2"/>
      <c r="L818" s="2">
        <v>1341</v>
      </c>
      <c r="M818" s="2">
        <v>0.55700000000000005</v>
      </c>
      <c r="N818" s="2">
        <v>7.5110000000000001</v>
      </c>
      <c r="O818" s="2">
        <v>7.3860000000000001</v>
      </c>
      <c r="P818" s="7"/>
    </row>
    <row r="819" spans="1:16" x14ac:dyDescent="0.25">
      <c r="A819" s="6">
        <v>8.625</v>
      </c>
      <c r="B819" s="2">
        <v>49</v>
      </c>
      <c r="C819" s="2" t="s">
        <v>74</v>
      </c>
      <c r="D819" s="2">
        <v>9710</v>
      </c>
      <c r="E819" s="2">
        <v>10740</v>
      </c>
      <c r="F819" s="2"/>
      <c r="G819" s="2"/>
      <c r="H819" s="2"/>
      <c r="I819" s="2" t="s">
        <v>13</v>
      </c>
      <c r="J819" s="2">
        <v>1334</v>
      </c>
      <c r="K819" s="2"/>
      <c r="L819" s="2">
        <v>1341</v>
      </c>
      <c r="M819" s="2">
        <v>0.55700000000000005</v>
      </c>
      <c r="N819" s="2">
        <v>7.5110000000000001</v>
      </c>
      <c r="O819" s="2">
        <v>7.3860000000000001</v>
      </c>
      <c r="P819" s="7"/>
    </row>
    <row r="820" spans="1:16" x14ac:dyDescent="0.25">
      <c r="A820" s="8">
        <v>8.625</v>
      </c>
      <c r="B820" s="1">
        <v>49</v>
      </c>
      <c r="C820" s="1" t="s">
        <v>113</v>
      </c>
      <c r="D820" s="1">
        <v>10740</v>
      </c>
      <c r="E820" s="1">
        <v>12430</v>
      </c>
      <c r="F820" s="1"/>
      <c r="G820" s="1"/>
      <c r="H820" s="1"/>
      <c r="I820" s="1" t="s">
        <v>10</v>
      </c>
      <c r="J820" s="1">
        <v>1335</v>
      </c>
      <c r="K820" s="1"/>
      <c r="L820" s="1">
        <v>1553</v>
      </c>
      <c r="M820" s="1">
        <v>0.55700000000000005</v>
      </c>
      <c r="N820" s="1">
        <v>7.5110000000000001</v>
      </c>
      <c r="O820" s="1">
        <v>7.3860000000000001</v>
      </c>
      <c r="P820" s="9"/>
    </row>
    <row r="821" spans="1:16" x14ac:dyDescent="0.25">
      <c r="A821" s="8">
        <v>8.625</v>
      </c>
      <c r="B821" s="1">
        <v>49</v>
      </c>
      <c r="C821" s="1" t="s">
        <v>113</v>
      </c>
      <c r="D821" s="1">
        <v>10740</v>
      </c>
      <c r="E821" s="1">
        <v>12430</v>
      </c>
      <c r="F821" s="1"/>
      <c r="G821" s="1"/>
      <c r="H821" s="1"/>
      <c r="I821" s="1" t="s">
        <v>13</v>
      </c>
      <c r="J821" s="1">
        <v>1574</v>
      </c>
      <c r="K821" s="1"/>
      <c r="L821" s="1">
        <v>1553</v>
      </c>
      <c r="M821" s="1">
        <v>0.55700000000000005</v>
      </c>
      <c r="N821" s="1">
        <v>7.5110000000000001</v>
      </c>
      <c r="O821" s="1">
        <v>7.3860000000000001</v>
      </c>
      <c r="P821" s="9"/>
    </row>
    <row r="822" spans="1:16" x14ac:dyDescent="0.25">
      <c r="A822" s="6">
        <v>8.625</v>
      </c>
      <c r="B822" s="2">
        <v>49</v>
      </c>
      <c r="C822" s="2" t="s">
        <v>114</v>
      </c>
      <c r="D822" s="2">
        <v>11650</v>
      </c>
      <c r="E822" s="2">
        <v>14130</v>
      </c>
      <c r="F822" s="2"/>
      <c r="G822" s="2"/>
      <c r="H822" s="2"/>
      <c r="I822" s="2" t="s">
        <v>10</v>
      </c>
      <c r="J822" s="2">
        <v>1496</v>
      </c>
      <c r="K822" s="2"/>
      <c r="L822" s="2">
        <v>1765</v>
      </c>
      <c r="M822" s="2">
        <v>0.55700000000000005</v>
      </c>
      <c r="N822" s="2">
        <v>7.5110000000000001</v>
      </c>
      <c r="O822" s="2">
        <v>7.3860000000000001</v>
      </c>
      <c r="P822" s="7"/>
    </row>
    <row r="823" spans="1:16" x14ac:dyDescent="0.25">
      <c r="A823" s="6">
        <v>8.625</v>
      </c>
      <c r="B823" s="2">
        <v>49</v>
      </c>
      <c r="C823" s="2" t="s">
        <v>114</v>
      </c>
      <c r="D823" s="2">
        <v>11650</v>
      </c>
      <c r="E823" s="2">
        <v>14130</v>
      </c>
      <c r="F823" s="2"/>
      <c r="G823" s="2"/>
      <c r="H823" s="2"/>
      <c r="I823" s="2" t="s">
        <v>13</v>
      </c>
      <c r="J823" s="2">
        <v>1728</v>
      </c>
      <c r="K823" s="2"/>
      <c r="L823" s="2">
        <v>1765</v>
      </c>
      <c r="M823" s="2">
        <v>0.55700000000000005</v>
      </c>
      <c r="N823" s="2">
        <v>7.5110000000000001</v>
      </c>
      <c r="O823" s="2">
        <v>7.3860000000000001</v>
      </c>
      <c r="P823" s="7"/>
    </row>
    <row r="824" spans="1:16" x14ac:dyDescent="0.25">
      <c r="A824" s="8">
        <v>8.625</v>
      </c>
      <c r="B824" s="1">
        <v>49</v>
      </c>
      <c r="C824" s="1" t="s">
        <v>117</v>
      </c>
      <c r="D824" s="1">
        <v>12950</v>
      </c>
      <c r="E824" s="1">
        <v>16950</v>
      </c>
      <c r="F824" s="1"/>
      <c r="G824" s="1"/>
      <c r="H824" s="1"/>
      <c r="I824" s="1" t="s">
        <v>10</v>
      </c>
      <c r="J824" s="1">
        <v>1789</v>
      </c>
      <c r="K824" s="1"/>
      <c r="L824" s="1">
        <v>2118</v>
      </c>
      <c r="M824" s="1">
        <v>0.55700000000000005</v>
      </c>
      <c r="N824" s="1">
        <v>7.5110000000000001</v>
      </c>
      <c r="O824" s="1">
        <v>7.3860000000000001</v>
      </c>
      <c r="P824" s="9"/>
    </row>
    <row r="825" spans="1:16" x14ac:dyDescent="0.25">
      <c r="A825" s="8">
        <v>8.625</v>
      </c>
      <c r="B825" s="1">
        <v>49</v>
      </c>
      <c r="C825" s="1" t="s">
        <v>117</v>
      </c>
      <c r="D825" s="1">
        <v>12950</v>
      </c>
      <c r="E825" s="1">
        <v>16950</v>
      </c>
      <c r="F825" s="1"/>
      <c r="G825" s="1"/>
      <c r="H825" s="1"/>
      <c r="I825" s="1" t="s">
        <v>13</v>
      </c>
      <c r="J825" s="1">
        <v>2056</v>
      </c>
      <c r="K825" s="1"/>
      <c r="L825" s="1">
        <v>2118</v>
      </c>
      <c r="M825" s="1">
        <v>0.55700000000000005</v>
      </c>
      <c r="N825" s="1">
        <v>7.5110000000000001</v>
      </c>
      <c r="O825" s="1">
        <v>7.3860000000000001</v>
      </c>
      <c r="P825" s="9"/>
    </row>
    <row r="826" spans="1:16" x14ac:dyDescent="0.25">
      <c r="A826" s="6">
        <v>8.625</v>
      </c>
      <c r="B826" s="2">
        <v>44</v>
      </c>
      <c r="C826" s="2" t="s">
        <v>111</v>
      </c>
      <c r="D826" s="2">
        <v>6950</v>
      </c>
      <c r="E826" s="2">
        <v>8120</v>
      </c>
      <c r="F826" s="2"/>
      <c r="G826" s="2"/>
      <c r="H826" s="2"/>
      <c r="I826" s="2" t="s">
        <v>10</v>
      </c>
      <c r="J826" s="2">
        <v>874</v>
      </c>
      <c r="K826" s="2"/>
      <c r="L826" s="2">
        <v>1021</v>
      </c>
      <c r="M826" s="2">
        <v>5</v>
      </c>
      <c r="N826" s="2">
        <v>7.625</v>
      </c>
      <c r="O826" s="2">
        <v>7.5</v>
      </c>
      <c r="P826" s="7"/>
    </row>
    <row r="827" spans="1:16" x14ac:dyDescent="0.25">
      <c r="A827" s="6">
        <v>8.625</v>
      </c>
      <c r="B827" s="2">
        <v>44</v>
      </c>
      <c r="C827" s="2" t="s">
        <v>111</v>
      </c>
      <c r="D827" s="2">
        <v>6950</v>
      </c>
      <c r="E827" s="2">
        <v>8120</v>
      </c>
      <c r="F827" s="2"/>
      <c r="G827" s="2"/>
      <c r="H827" s="2"/>
      <c r="I827" s="2" t="s">
        <v>13</v>
      </c>
      <c r="J827" s="2">
        <v>1066</v>
      </c>
      <c r="K827" s="2"/>
      <c r="L827" s="2">
        <v>1021</v>
      </c>
      <c r="M827" s="2">
        <v>5</v>
      </c>
      <c r="N827" s="2">
        <v>7.625</v>
      </c>
      <c r="O827" s="2">
        <v>7.5</v>
      </c>
      <c r="P827" s="7"/>
    </row>
    <row r="828" spans="1:16" x14ac:dyDescent="0.25">
      <c r="A828" s="8">
        <v>8.625</v>
      </c>
      <c r="B828" s="1">
        <v>44</v>
      </c>
      <c r="C828" s="1" t="s">
        <v>88</v>
      </c>
      <c r="D828" s="1">
        <v>9100</v>
      </c>
      <c r="E828" s="1">
        <v>8120</v>
      </c>
      <c r="F828" s="1"/>
      <c r="G828" s="1"/>
      <c r="H828" s="1"/>
      <c r="I828" s="1" t="s">
        <v>10</v>
      </c>
      <c r="J828" s="1">
        <v>1004</v>
      </c>
      <c r="K828" s="1"/>
      <c r="L828" s="1">
        <v>1021</v>
      </c>
      <c r="M828" s="1">
        <v>5</v>
      </c>
      <c r="N828" s="1">
        <v>7.625</v>
      </c>
      <c r="O828" s="1">
        <v>7.5</v>
      </c>
      <c r="P828" s="9"/>
    </row>
    <row r="829" spans="1:16" x14ac:dyDescent="0.25">
      <c r="A829" s="8">
        <v>8.625</v>
      </c>
      <c r="B829" s="1">
        <v>44</v>
      </c>
      <c r="C829" s="1" t="s">
        <v>88</v>
      </c>
      <c r="D829" s="1">
        <v>9100</v>
      </c>
      <c r="E829" s="1">
        <v>8120</v>
      </c>
      <c r="F829" s="1"/>
      <c r="G829" s="1"/>
      <c r="H829" s="1"/>
      <c r="I829" s="1" t="s">
        <v>13</v>
      </c>
      <c r="J829" s="1">
        <v>1167</v>
      </c>
      <c r="K829" s="1"/>
      <c r="L829" s="1">
        <v>1021</v>
      </c>
      <c r="M829" s="1">
        <v>5</v>
      </c>
      <c r="N829" s="1">
        <v>7.625</v>
      </c>
      <c r="O829" s="1">
        <v>7.5</v>
      </c>
      <c r="P829" s="9"/>
    </row>
    <row r="830" spans="1:16" x14ac:dyDescent="0.25">
      <c r="A830" s="6">
        <v>8.625</v>
      </c>
      <c r="B830" s="2">
        <v>44</v>
      </c>
      <c r="C830" s="2" t="s">
        <v>112</v>
      </c>
      <c r="D830" s="2">
        <v>6950</v>
      </c>
      <c r="E830" s="2">
        <v>8120</v>
      </c>
      <c r="F830" s="2"/>
      <c r="G830" s="2"/>
      <c r="H830" s="2"/>
      <c r="I830" s="2" t="s">
        <v>10</v>
      </c>
      <c r="J830" s="2">
        <v>887</v>
      </c>
      <c r="K830" s="2"/>
      <c r="L830" s="2">
        <v>1021</v>
      </c>
      <c r="M830" s="2">
        <v>5</v>
      </c>
      <c r="N830" s="2">
        <v>7.625</v>
      </c>
      <c r="O830" s="2">
        <v>7.5</v>
      </c>
      <c r="P830" s="7"/>
    </row>
    <row r="831" spans="1:16" x14ac:dyDescent="0.25">
      <c r="A831" s="6">
        <v>8.625</v>
      </c>
      <c r="B831" s="2">
        <v>44</v>
      </c>
      <c r="C831" s="2" t="s">
        <v>112</v>
      </c>
      <c r="D831" s="2">
        <v>6950</v>
      </c>
      <c r="E831" s="2">
        <v>8120</v>
      </c>
      <c r="F831" s="2"/>
      <c r="G831" s="2"/>
      <c r="H831" s="2"/>
      <c r="I831" s="2" t="s">
        <v>13</v>
      </c>
      <c r="J831" s="2">
        <v>1105</v>
      </c>
      <c r="K831" s="2"/>
      <c r="L831" s="2">
        <v>1021</v>
      </c>
      <c r="M831" s="2">
        <v>5</v>
      </c>
      <c r="N831" s="2">
        <v>7.625</v>
      </c>
      <c r="O831" s="2">
        <v>7.5</v>
      </c>
      <c r="P831" s="7"/>
    </row>
    <row r="832" spans="1:16" x14ac:dyDescent="0.25">
      <c r="A832" s="8">
        <v>8.625</v>
      </c>
      <c r="B832" s="1">
        <v>44</v>
      </c>
      <c r="C832" s="1" t="s">
        <v>93</v>
      </c>
      <c r="D832" s="1">
        <v>9100</v>
      </c>
      <c r="E832" s="1">
        <v>8120</v>
      </c>
      <c r="F832" s="1"/>
      <c r="G832" s="1"/>
      <c r="H832" s="1"/>
      <c r="I832" s="1" t="s">
        <v>10</v>
      </c>
      <c r="J832" s="1">
        <v>1004</v>
      </c>
      <c r="K832" s="1"/>
      <c r="L832" s="1">
        <v>1021</v>
      </c>
      <c r="M832" s="1">
        <v>5</v>
      </c>
      <c r="N832" s="1">
        <v>7.625</v>
      </c>
      <c r="O832" s="1">
        <v>7.5</v>
      </c>
      <c r="P832" s="9"/>
    </row>
    <row r="833" spans="1:16" x14ac:dyDescent="0.25">
      <c r="A833" s="8">
        <v>8.625</v>
      </c>
      <c r="B833" s="1">
        <v>44</v>
      </c>
      <c r="C833" s="1" t="s">
        <v>93</v>
      </c>
      <c r="D833" s="1">
        <v>9100</v>
      </c>
      <c r="E833" s="1">
        <v>8120</v>
      </c>
      <c r="F833" s="1"/>
      <c r="G833" s="1"/>
      <c r="H833" s="1"/>
      <c r="I833" s="1" t="s">
        <v>13</v>
      </c>
      <c r="J833" s="1">
        <v>1167</v>
      </c>
      <c r="K833" s="1"/>
      <c r="L833" s="1">
        <v>1021</v>
      </c>
      <c r="M833" s="1">
        <v>5</v>
      </c>
      <c r="N833" s="1">
        <v>7.625</v>
      </c>
      <c r="O833" s="1">
        <v>7.5</v>
      </c>
      <c r="P833" s="9"/>
    </row>
    <row r="834" spans="1:16" x14ac:dyDescent="0.25">
      <c r="A834" s="6">
        <v>8.625</v>
      </c>
      <c r="B834" s="2">
        <v>44</v>
      </c>
      <c r="C834" s="2" t="s">
        <v>68</v>
      </c>
      <c r="D834" s="2">
        <v>7490</v>
      </c>
      <c r="E834" s="2">
        <v>9130</v>
      </c>
      <c r="F834" s="2"/>
      <c r="G834" s="2"/>
      <c r="H834" s="2"/>
      <c r="I834" s="2" t="s">
        <v>10</v>
      </c>
      <c r="J834" s="2">
        <v>965</v>
      </c>
      <c r="K834" s="2"/>
      <c r="L834" s="2">
        <v>1149</v>
      </c>
      <c r="M834" s="2">
        <v>5</v>
      </c>
      <c r="N834" s="2">
        <v>7.625</v>
      </c>
      <c r="O834" s="2">
        <v>7.5</v>
      </c>
      <c r="P834" s="7"/>
    </row>
    <row r="835" spans="1:16" x14ac:dyDescent="0.25">
      <c r="A835" s="6">
        <v>8.625</v>
      </c>
      <c r="B835" s="2">
        <v>44</v>
      </c>
      <c r="C835" s="2" t="s">
        <v>68</v>
      </c>
      <c r="D835" s="2">
        <v>7490</v>
      </c>
      <c r="E835" s="2">
        <v>9130</v>
      </c>
      <c r="F835" s="2"/>
      <c r="G835" s="2"/>
      <c r="H835" s="2"/>
      <c r="I835" s="2" t="s">
        <v>13</v>
      </c>
      <c r="J835" s="2">
        <v>1146</v>
      </c>
      <c r="K835" s="2"/>
      <c r="L835" s="2">
        <v>1149</v>
      </c>
      <c r="M835" s="2">
        <v>5</v>
      </c>
      <c r="N835" s="2">
        <v>7.625</v>
      </c>
      <c r="O835" s="2">
        <v>7.5</v>
      </c>
      <c r="P835" s="7"/>
    </row>
    <row r="836" spans="1:16" x14ac:dyDescent="0.25">
      <c r="A836" s="8">
        <v>8.625</v>
      </c>
      <c r="B836" s="1">
        <v>44</v>
      </c>
      <c r="C836" s="1" t="s">
        <v>75</v>
      </c>
      <c r="D836" s="1">
        <v>9100</v>
      </c>
      <c r="E836" s="1">
        <v>9130</v>
      </c>
      <c r="F836" s="1"/>
      <c r="G836" s="1"/>
      <c r="H836" s="1"/>
      <c r="I836" s="1" t="s">
        <v>10</v>
      </c>
      <c r="J836" s="1">
        <v>1004</v>
      </c>
      <c r="K836" s="1"/>
      <c r="L836" s="1">
        <v>1149</v>
      </c>
      <c r="M836" s="1">
        <v>5</v>
      </c>
      <c r="N836" s="1">
        <v>7.625</v>
      </c>
      <c r="O836" s="1">
        <v>7.5</v>
      </c>
      <c r="P836" s="9"/>
    </row>
    <row r="837" spans="1:16" x14ac:dyDescent="0.25">
      <c r="A837" s="8">
        <v>8.625</v>
      </c>
      <c r="B837" s="1">
        <v>44</v>
      </c>
      <c r="C837" s="1" t="s">
        <v>75</v>
      </c>
      <c r="D837" s="1">
        <v>9100</v>
      </c>
      <c r="E837" s="1">
        <v>9130</v>
      </c>
      <c r="F837" s="1"/>
      <c r="G837" s="1"/>
      <c r="H837" s="1"/>
      <c r="I837" s="1" t="s">
        <v>13</v>
      </c>
      <c r="J837" s="1">
        <v>1167</v>
      </c>
      <c r="K837" s="1"/>
      <c r="L837" s="1">
        <v>1149</v>
      </c>
      <c r="M837" s="1">
        <v>5</v>
      </c>
      <c r="N837" s="1">
        <v>7.625</v>
      </c>
      <c r="O837" s="1">
        <v>7.5</v>
      </c>
      <c r="P837" s="9"/>
    </row>
    <row r="838" spans="1:16" x14ac:dyDescent="0.25">
      <c r="A838" s="6">
        <v>8.625</v>
      </c>
      <c r="B838" s="2">
        <v>44</v>
      </c>
      <c r="C838" s="2" t="s">
        <v>115</v>
      </c>
      <c r="D838" s="2">
        <v>9100</v>
      </c>
      <c r="E838" s="2">
        <v>9640</v>
      </c>
      <c r="F838" s="2"/>
      <c r="G838" s="2"/>
      <c r="H838" s="2"/>
      <c r="I838" s="2" t="s">
        <v>10</v>
      </c>
      <c r="J838" s="2">
        <v>1030</v>
      </c>
      <c r="K838" s="2"/>
      <c r="L838" s="2">
        <v>1212</v>
      </c>
      <c r="M838" s="2">
        <v>5</v>
      </c>
      <c r="N838" s="2">
        <v>7.625</v>
      </c>
      <c r="O838" s="2">
        <v>7.5</v>
      </c>
      <c r="P838" s="7"/>
    </row>
    <row r="839" spans="1:16" x14ac:dyDescent="0.25">
      <c r="A839" s="6">
        <v>8.625</v>
      </c>
      <c r="B839" s="2">
        <v>44</v>
      </c>
      <c r="C839" s="2" t="s">
        <v>115</v>
      </c>
      <c r="D839" s="2">
        <v>9100</v>
      </c>
      <c r="E839" s="2">
        <v>9640</v>
      </c>
      <c r="F839" s="2"/>
      <c r="G839" s="2"/>
      <c r="H839" s="2"/>
      <c r="I839" s="2" t="s">
        <v>13</v>
      </c>
      <c r="J839" s="2">
        <v>1244</v>
      </c>
      <c r="K839" s="2"/>
      <c r="L839" s="2">
        <v>1212</v>
      </c>
      <c r="M839" s="2">
        <v>5</v>
      </c>
      <c r="N839" s="2">
        <v>7.625</v>
      </c>
      <c r="O839" s="2">
        <v>7.5</v>
      </c>
      <c r="P839" s="7"/>
    </row>
    <row r="840" spans="1:16" x14ac:dyDescent="0.25">
      <c r="A840" s="8">
        <v>8.625</v>
      </c>
      <c r="B840" s="1">
        <v>44</v>
      </c>
      <c r="C840" s="1" t="s">
        <v>116</v>
      </c>
      <c r="D840" s="1">
        <v>7740</v>
      </c>
      <c r="E840" s="1">
        <v>9640</v>
      </c>
      <c r="F840" s="1"/>
      <c r="G840" s="1"/>
      <c r="H840" s="1"/>
      <c r="I840" s="1" t="s">
        <v>10</v>
      </c>
      <c r="J840" s="1">
        <v>1017</v>
      </c>
      <c r="K840" s="1"/>
      <c r="L840" s="1">
        <v>1212</v>
      </c>
      <c r="M840" s="1">
        <v>5</v>
      </c>
      <c r="N840" s="1">
        <v>7.625</v>
      </c>
      <c r="O840" s="1">
        <v>7.5</v>
      </c>
      <c r="P840" s="9"/>
    </row>
    <row r="841" spans="1:16" x14ac:dyDescent="0.25">
      <c r="A841" s="8">
        <v>8.625</v>
      </c>
      <c r="B841" s="1">
        <v>44</v>
      </c>
      <c r="C841" s="1" t="s">
        <v>116</v>
      </c>
      <c r="D841" s="1">
        <v>7740</v>
      </c>
      <c r="E841" s="1">
        <v>9640</v>
      </c>
      <c r="F841" s="1"/>
      <c r="G841" s="1"/>
      <c r="H841" s="1"/>
      <c r="I841" s="1" t="s">
        <v>13</v>
      </c>
      <c r="J841" s="1">
        <v>1206</v>
      </c>
      <c r="K841" s="1"/>
      <c r="L841" s="1">
        <v>1212</v>
      </c>
      <c r="M841" s="1">
        <v>5</v>
      </c>
      <c r="N841" s="1">
        <v>7.625</v>
      </c>
      <c r="O841" s="1">
        <v>7.5</v>
      </c>
      <c r="P841" s="9"/>
    </row>
    <row r="842" spans="1:16" x14ac:dyDescent="0.25">
      <c r="A842" s="6">
        <v>8.625</v>
      </c>
      <c r="B842" s="2">
        <v>44</v>
      </c>
      <c r="C842" s="2" t="s">
        <v>80</v>
      </c>
      <c r="D842" s="2">
        <v>9100</v>
      </c>
      <c r="E842" s="2">
        <v>9640</v>
      </c>
      <c r="F842" s="2"/>
      <c r="G842" s="2"/>
      <c r="H842" s="2"/>
      <c r="I842" s="2" t="s">
        <v>10</v>
      </c>
      <c r="J842" s="2">
        <v>1017</v>
      </c>
      <c r="K842" s="2"/>
      <c r="L842" s="2">
        <v>1212</v>
      </c>
      <c r="M842" s="2">
        <v>5</v>
      </c>
      <c r="N842" s="2">
        <v>7.625</v>
      </c>
      <c r="O842" s="2">
        <v>7.5</v>
      </c>
      <c r="P842" s="7"/>
    </row>
    <row r="843" spans="1:16" x14ac:dyDescent="0.25">
      <c r="A843" s="6">
        <v>8.625</v>
      </c>
      <c r="B843" s="2">
        <v>44</v>
      </c>
      <c r="C843" s="2" t="s">
        <v>80</v>
      </c>
      <c r="D843" s="2">
        <v>9100</v>
      </c>
      <c r="E843" s="2">
        <v>9640</v>
      </c>
      <c r="F843" s="2"/>
      <c r="G843" s="2"/>
      <c r="H843" s="2"/>
      <c r="I843" s="2" t="s">
        <v>13</v>
      </c>
      <c r="J843" s="2">
        <v>1206</v>
      </c>
      <c r="K843" s="2"/>
      <c r="L843" s="2">
        <v>1212</v>
      </c>
      <c r="M843" s="2">
        <v>5</v>
      </c>
      <c r="N843" s="2">
        <v>7.625</v>
      </c>
      <c r="O843" s="2">
        <v>7.5</v>
      </c>
      <c r="P843" s="7"/>
    </row>
    <row r="844" spans="1:16" x14ac:dyDescent="0.25">
      <c r="A844" s="8">
        <v>8.625</v>
      </c>
      <c r="B844" s="1">
        <v>44</v>
      </c>
      <c r="C844" s="1" t="s">
        <v>74</v>
      </c>
      <c r="D844" s="1">
        <v>7740</v>
      </c>
      <c r="E844" s="1">
        <v>9640</v>
      </c>
      <c r="F844" s="1"/>
      <c r="G844" s="1"/>
      <c r="H844" s="1"/>
      <c r="I844" s="1" t="s">
        <v>10</v>
      </c>
      <c r="J844" s="1">
        <v>1017</v>
      </c>
      <c r="K844" s="1"/>
      <c r="L844" s="1">
        <v>1212</v>
      </c>
      <c r="M844" s="1">
        <v>5</v>
      </c>
      <c r="N844" s="1">
        <v>7.625</v>
      </c>
      <c r="O844" s="1">
        <v>7.5</v>
      </c>
      <c r="P844" s="9"/>
    </row>
    <row r="845" spans="1:16" x14ac:dyDescent="0.25">
      <c r="A845" s="8">
        <v>8.625</v>
      </c>
      <c r="B845" s="1">
        <v>44</v>
      </c>
      <c r="C845" s="1" t="s">
        <v>74</v>
      </c>
      <c r="D845" s="1">
        <v>7740</v>
      </c>
      <c r="E845" s="1">
        <v>9640</v>
      </c>
      <c r="F845" s="1"/>
      <c r="G845" s="1"/>
      <c r="H845" s="1"/>
      <c r="I845" s="1" t="s">
        <v>13</v>
      </c>
      <c r="J845" s="1">
        <v>1206</v>
      </c>
      <c r="K845" s="1"/>
      <c r="L845" s="1">
        <v>1212</v>
      </c>
      <c r="M845" s="1">
        <v>5</v>
      </c>
      <c r="N845" s="1">
        <v>7.625</v>
      </c>
      <c r="O845" s="1">
        <v>7.5</v>
      </c>
      <c r="P845" s="9"/>
    </row>
    <row r="846" spans="1:16" x14ac:dyDescent="0.25">
      <c r="A846" s="6">
        <v>8.625</v>
      </c>
      <c r="B846" s="2">
        <v>44</v>
      </c>
      <c r="C846" s="2" t="s">
        <v>97</v>
      </c>
      <c r="D846" s="2">
        <v>9100</v>
      </c>
      <c r="E846" s="2">
        <v>11160</v>
      </c>
      <c r="F846" s="2"/>
      <c r="G846" s="2"/>
      <c r="H846" s="2"/>
      <c r="I846" s="2" t="s">
        <v>10</v>
      </c>
      <c r="J846" s="2">
        <v>1186</v>
      </c>
      <c r="K846" s="2"/>
      <c r="L846" s="2">
        <v>1404</v>
      </c>
      <c r="M846" s="2">
        <v>5</v>
      </c>
      <c r="N846" s="2">
        <v>7.625</v>
      </c>
      <c r="O846" s="2">
        <v>7.5</v>
      </c>
      <c r="P846" s="7"/>
    </row>
    <row r="847" spans="1:16" x14ac:dyDescent="0.25">
      <c r="A847" s="6">
        <v>8.625</v>
      </c>
      <c r="B847" s="2">
        <v>44</v>
      </c>
      <c r="C847" s="2" t="s">
        <v>97</v>
      </c>
      <c r="D847" s="2">
        <v>9100</v>
      </c>
      <c r="E847" s="2">
        <v>11160</v>
      </c>
      <c r="F847" s="2"/>
      <c r="G847" s="2"/>
      <c r="H847" s="2"/>
      <c r="I847" s="2" t="s">
        <v>13</v>
      </c>
      <c r="J847" s="2">
        <v>1423</v>
      </c>
      <c r="K847" s="2"/>
      <c r="L847" s="2">
        <v>1404</v>
      </c>
      <c r="M847" s="2">
        <v>5</v>
      </c>
      <c r="N847" s="2">
        <v>7.625</v>
      </c>
      <c r="O847" s="2">
        <v>7.5</v>
      </c>
      <c r="P847" s="7"/>
    </row>
    <row r="848" spans="1:16" x14ac:dyDescent="0.25">
      <c r="A848" s="8">
        <v>8.625</v>
      </c>
      <c r="B848" s="1">
        <v>44</v>
      </c>
      <c r="C848" s="1" t="s">
        <v>113</v>
      </c>
      <c r="D848" s="1">
        <v>8420</v>
      </c>
      <c r="E848" s="1">
        <v>11160</v>
      </c>
      <c r="F848" s="1"/>
      <c r="G848" s="1"/>
      <c r="H848" s="1"/>
      <c r="I848" s="1" t="s">
        <v>10</v>
      </c>
      <c r="J848" s="1">
        <v>1186</v>
      </c>
      <c r="K848" s="1"/>
      <c r="L848" s="1">
        <v>1404</v>
      </c>
      <c r="M848" s="1">
        <v>5</v>
      </c>
      <c r="N848" s="1">
        <v>7.625</v>
      </c>
      <c r="O848" s="1">
        <v>7.5</v>
      </c>
      <c r="P848" s="9"/>
    </row>
    <row r="849" spans="1:16" x14ac:dyDescent="0.25">
      <c r="A849" s="8">
        <v>8.625</v>
      </c>
      <c r="B849" s="1">
        <v>44</v>
      </c>
      <c r="C849" s="1" t="s">
        <v>113</v>
      </c>
      <c r="D849" s="1">
        <v>8420</v>
      </c>
      <c r="E849" s="1">
        <v>11160</v>
      </c>
      <c r="F849" s="1"/>
      <c r="G849" s="1"/>
      <c r="H849" s="1"/>
      <c r="I849" s="1" t="s">
        <v>13</v>
      </c>
      <c r="J849" s="1">
        <v>1423</v>
      </c>
      <c r="K849" s="1"/>
      <c r="L849" s="1">
        <v>1404</v>
      </c>
      <c r="M849" s="1">
        <v>5</v>
      </c>
      <c r="N849" s="1">
        <v>7.625</v>
      </c>
      <c r="O849" s="1">
        <v>7.5</v>
      </c>
      <c r="P849" s="9"/>
    </row>
    <row r="850" spans="1:16" x14ac:dyDescent="0.25">
      <c r="A850" s="6">
        <v>8.625</v>
      </c>
      <c r="B850" s="2">
        <v>44</v>
      </c>
      <c r="C850" s="2" t="s">
        <v>99</v>
      </c>
      <c r="D850" s="2">
        <v>9100</v>
      </c>
      <c r="E850" s="2">
        <v>12680</v>
      </c>
      <c r="F850" s="2"/>
      <c r="G850" s="2"/>
      <c r="H850" s="2"/>
      <c r="I850" s="2" t="s">
        <v>10</v>
      </c>
      <c r="J850" s="2">
        <v>1330</v>
      </c>
      <c r="K850" s="2"/>
      <c r="L850" s="2">
        <v>1595</v>
      </c>
      <c r="M850" s="2">
        <v>5</v>
      </c>
      <c r="N850" s="2">
        <v>7.625</v>
      </c>
      <c r="O850" s="2">
        <v>7.5</v>
      </c>
      <c r="P850" s="7"/>
    </row>
    <row r="851" spans="1:16" x14ac:dyDescent="0.25">
      <c r="A851" s="6">
        <v>8.625</v>
      </c>
      <c r="B851" s="2">
        <v>44</v>
      </c>
      <c r="C851" s="2" t="s">
        <v>99</v>
      </c>
      <c r="D851" s="2">
        <v>9100</v>
      </c>
      <c r="E851" s="2">
        <v>12680</v>
      </c>
      <c r="F851" s="2"/>
      <c r="G851" s="2"/>
      <c r="H851" s="2"/>
      <c r="I851" s="2" t="s">
        <v>13</v>
      </c>
      <c r="J851" s="2">
        <v>1562</v>
      </c>
      <c r="K851" s="2"/>
      <c r="L851" s="2">
        <v>1595</v>
      </c>
      <c r="M851" s="2">
        <v>5</v>
      </c>
      <c r="N851" s="2">
        <v>7.625</v>
      </c>
      <c r="O851" s="2">
        <v>7.5</v>
      </c>
      <c r="P851" s="7"/>
    </row>
    <row r="852" spans="1:16" x14ac:dyDescent="0.25">
      <c r="A852" s="8">
        <v>8.625</v>
      </c>
      <c r="B852" s="1">
        <v>44</v>
      </c>
      <c r="C852" s="1" t="s">
        <v>114</v>
      </c>
      <c r="D852" s="1">
        <v>8980</v>
      </c>
      <c r="E852" s="1">
        <v>12680</v>
      </c>
      <c r="F852" s="1"/>
      <c r="G852" s="1"/>
      <c r="H852" s="1"/>
      <c r="I852" s="1" t="s">
        <v>10</v>
      </c>
      <c r="J852" s="1">
        <v>1330</v>
      </c>
      <c r="K852" s="1"/>
      <c r="L852" s="1">
        <v>1595</v>
      </c>
      <c r="M852" s="1">
        <v>5</v>
      </c>
      <c r="N852" s="1">
        <v>7.625</v>
      </c>
      <c r="O852" s="1">
        <v>7.5</v>
      </c>
      <c r="P852" s="9"/>
    </row>
    <row r="853" spans="1:16" x14ac:dyDescent="0.25">
      <c r="A853" s="8">
        <v>8.625</v>
      </c>
      <c r="B853" s="1">
        <v>44</v>
      </c>
      <c r="C853" s="1" t="s">
        <v>114</v>
      </c>
      <c r="D853" s="1">
        <v>8980</v>
      </c>
      <c r="E853" s="1">
        <v>12680</v>
      </c>
      <c r="F853" s="1"/>
      <c r="G853" s="1"/>
      <c r="H853" s="1"/>
      <c r="I853" s="1" t="s">
        <v>13</v>
      </c>
      <c r="J853" s="1">
        <v>1562</v>
      </c>
      <c r="K853" s="1"/>
      <c r="L853" s="1">
        <v>1595</v>
      </c>
      <c r="M853" s="1">
        <v>5</v>
      </c>
      <c r="N853" s="1">
        <v>7.625</v>
      </c>
      <c r="O853" s="1">
        <v>7.5</v>
      </c>
      <c r="P853" s="9"/>
    </row>
    <row r="854" spans="1:16" ht="15.75" customHeight="1" thickBot="1" x14ac:dyDescent="0.3">
      <c r="A854" s="13">
        <v>8.625</v>
      </c>
      <c r="B854" s="14">
        <v>44</v>
      </c>
      <c r="C854" s="14" t="s">
        <v>117</v>
      </c>
      <c r="D854" s="14">
        <v>9640</v>
      </c>
      <c r="E854" s="14">
        <v>15220</v>
      </c>
      <c r="F854" s="14"/>
      <c r="G854" s="14"/>
      <c r="H854" s="14"/>
      <c r="I854" s="14" t="s">
        <v>10</v>
      </c>
      <c r="J854" s="14">
        <v>1591</v>
      </c>
      <c r="K854" s="14"/>
      <c r="L854" s="14">
        <v>1914</v>
      </c>
      <c r="M854" s="14">
        <v>5</v>
      </c>
      <c r="N854" s="14">
        <v>7.625</v>
      </c>
      <c r="O854" s="14">
        <v>7.5</v>
      </c>
      <c r="P854" s="15"/>
    </row>
    <row r="855" spans="1:16" ht="15.75" customHeight="1" thickBot="1" x14ac:dyDescent="0.3">
      <c r="A855" s="13">
        <v>8.625</v>
      </c>
      <c r="B855" s="14">
        <v>44</v>
      </c>
      <c r="C855" s="14" t="s">
        <v>117</v>
      </c>
      <c r="D855" s="14">
        <v>9640</v>
      </c>
      <c r="E855" s="14">
        <v>15220</v>
      </c>
      <c r="F855" s="14"/>
      <c r="G855" s="14"/>
      <c r="H855" s="14"/>
      <c r="I855" s="14" t="s">
        <v>13</v>
      </c>
      <c r="J855" s="14">
        <v>1859</v>
      </c>
      <c r="K855" s="14"/>
      <c r="L855" s="14">
        <v>1914</v>
      </c>
      <c r="M855" s="14">
        <v>5</v>
      </c>
      <c r="N855" s="14">
        <v>7.625</v>
      </c>
      <c r="O855" s="14">
        <v>7.5</v>
      </c>
      <c r="P855" s="15"/>
    </row>
    <row r="856" spans="1:16" x14ac:dyDescent="0.25">
      <c r="A856" s="3">
        <v>9.625</v>
      </c>
      <c r="B856" s="4">
        <v>32.299999999999997</v>
      </c>
      <c r="C856" s="4" t="s">
        <v>81</v>
      </c>
      <c r="D856" s="4">
        <v>1370</v>
      </c>
      <c r="E856" s="4">
        <v>2270</v>
      </c>
      <c r="F856" s="4"/>
      <c r="G856" s="4"/>
      <c r="H856" s="4"/>
      <c r="I856" s="4" t="s">
        <v>8</v>
      </c>
      <c r="J856" s="4">
        <v>254</v>
      </c>
      <c r="K856" s="4"/>
      <c r="L856" s="4">
        <v>365</v>
      </c>
      <c r="M856" s="4">
        <v>0.312</v>
      </c>
      <c r="N856" s="4">
        <v>9.0009999999999994</v>
      </c>
      <c r="O856" s="4">
        <v>8.8450000000000006</v>
      </c>
      <c r="P856" s="5"/>
    </row>
    <row r="857" spans="1:16" x14ac:dyDescent="0.25">
      <c r="A857" s="6">
        <v>9.625</v>
      </c>
      <c r="B857" s="2">
        <v>36</v>
      </c>
      <c r="C857" s="2" t="s">
        <v>81</v>
      </c>
      <c r="D857" s="2">
        <v>1720</v>
      </c>
      <c r="E857" s="2">
        <v>2560</v>
      </c>
      <c r="F857" s="2"/>
      <c r="G857" s="2"/>
      <c r="H857" s="2"/>
      <c r="I857" s="2" t="s">
        <v>8</v>
      </c>
      <c r="J857" s="2">
        <v>294</v>
      </c>
      <c r="K857" s="2"/>
      <c r="L857" s="2">
        <v>410</v>
      </c>
      <c r="M857" s="2">
        <v>0.35199999999999998</v>
      </c>
      <c r="N857" s="2">
        <v>8.9209999999999994</v>
      </c>
      <c r="O857" s="2">
        <v>8.7650000000000006</v>
      </c>
      <c r="P857" s="7"/>
    </row>
    <row r="858" spans="1:16" x14ac:dyDescent="0.25">
      <c r="A858" s="8">
        <v>9.625</v>
      </c>
      <c r="B858" s="1">
        <v>36</v>
      </c>
      <c r="C858" s="1" t="s">
        <v>66</v>
      </c>
      <c r="D858" s="1">
        <v>2020</v>
      </c>
      <c r="E858" s="1">
        <v>3520</v>
      </c>
      <c r="F858" s="1"/>
      <c r="G858" s="1"/>
      <c r="H858" s="1"/>
      <c r="I858" s="1" t="s">
        <v>8</v>
      </c>
      <c r="J858" s="1">
        <v>394</v>
      </c>
      <c r="K858" s="1"/>
      <c r="L858" s="1">
        <v>564</v>
      </c>
      <c r="M858" s="1">
        <v>0.35199999999999998</v>
      </c>
      <c r="N858" s="1">
        <v>8.9209999999999994</v>
      </c>
      <c r="O858" s="1">
        <v>8.7650000000000006</v>
      </c>
      <c r="P858" s="9"/>
    </row>
    <row r="859" spans="1:16" x14ac:dyDescent="0.25">
      <c r="A859" s="8">
        <v>9.625</v>
      </c>
      <c r="B859" s="1">
        <v>36</v>
      </c>
      <c r="C859" s="1" t="s">
        <v>66</v>
      </c>
      <c r="D859" s="1">
        <v>2020</v>
      </c>
      <c r="E859" s="1">
        <v>3520</v>
      </c>
      <c r="F859" s="1"/>
      <c r="G859" s="1"/>
      <c r="H859" s="1"/>
      <c r="I859" s="1" t="s">
        <v>10</v>
      </c>
      <c r="J859" s="1">
        <v>453</v>
      </c>
      <c r="K859" s="1"/>
      <c r="L859" s="1">
        <v>564</v>
      </c>
      <c r="M859" s="1">
        <v>0.35199999999999998</v>
      </c>
      <c r="N859" s="1">
        <v>8.9209999999999994</v>
      </c>
      <c r="O859" s="1">
        <v>8.7650000000000006</v>
      </c>
      <c r="P859" s="9"/>
    </row>
    <row r="860" spans="1:16" x14ac:dyDescent="0.25">
      <c r="A860" s="8">
        <v>9.625</v>
      </c>
      <c r="B860" s="1">
        <v>36</v>
      </c>
      <c r="C860" s="1" t="s">
        <v>66</v>
      </c>
      <c r="D860" s="1">
        <v>2020</v>
      </c>
      <c r="E860" s="1">
        <v>3520</v>
      </c>
      <c r="F860" s="1"/>
      <c r="G860" s="1"/>
      <c r="H860" s="1"/>
      <c r="I860" s="1" t="s">
        <v>13</v>
      </c>
      <c r="J860" s="1">
        <v>639</v>
      </c>
      <c r="K860" s="1"/>
      <c r="L860" s="1">
        <v>564</v>
      </c>
      <c r="M860" s="1">
        <v>0.35199999999999998</v>
      </c>
      <c r="N860" s="1">
        <v>8.9209999999999994</v>
      </c>
      <c r="O860" s="1">
        <v>8.7650000000000006</v>
      </c>
      <c r="P860" s="9"/>
    </row>
    <row r="861" spans="1:16" x14ac:dyDescent="0.25">
      <c r="A861" s="6">
        <v>9.625</v>
      </c>
      <c r="B861" s="2">
        <v>36</v>
      </c>
      <c r="C861" s="2" t="s">
        <v>110</v>
      </c>
      <c r="D861" s="2">
        <v>2020</v>
      </c>
      <c r="E861" s="2">
        <v>3520</v>
      </c>
      <c r="F861" s="2"/>
      <c r="G861" s="2"/>
      <c r="H861" s="2"/>
      <c r="I861" s="2" t="s">
        <v>8</v>
      </c>
      <c r="J861" s="2">
        <v>423</v>
      </c>
      <c r="K861" s="2"/>
      <c r="L861" s="2">
        <v>564</v>
      </c>
      <c r="M861" s="2">
        <v>0.35199999999999998</v>
      </c>
      <c r="N861" s="2">
        <v>8.9209999999999994</v>
      </c>
      <c r="O861" s="2">
        <v>8.7650000000000006</v>
      </c>
      <c r="P861" s="7"/>
    </row>
    <row r="862" spans="1:16" x14ac:dyDescent="0.25">
      <c r="A862" s="6">
        <v>9.625</v>
      </c>
      <c r="B862" s="2">
        <v>36</v>
      </c>
      <c r="C862" s="2" t="s">
        <v>110</v>
      </c>
      <c r="D862" s="2">
        <v>2020</v>
      </c>
      <c r="E862" s="2">
        <v>3520</v>
      </c>
      <c r="F862" s="2"/>
      <c r="G862" s="2"/>
      <c r="H862" s="2"/>
      <c r="I862" s="2" t="s">
        <v>10</v>
      </c>
      <c r="J862" s="2">
        <v>489</v>
      </c>
      <c r="K862" s="2"/>
      <c r="L862" s="2">
        <v>564</v>
      </c>
      <c r="M862" s="2">
        <v>0.35199999999999998</v>
      </c>
      <c r="N862" s="2">
        <v>8.9209999999999994</v>
      </c>
      <c r="O862" s="2">
        <v>8.7650000000000006</v>
      </c>
      <c r="P862" s="7"/>
    </row>
    <row r="863" spans="1:16" x14ac:dyDescent="0.25">
      <c r="A863" s="6">
        <v>9.625</v>
      </c>
      <c r="B863" s="2">
        <v>36</v>
      </c>
      <c r="C863" s="2" t="s">
        <v>110</v>
      </c>
      <c r="D863" s="2">
        <v>2020</v>
      </c>
      <c r="E863" s="2">
        <v>3520</v>
      </c>
      <c r="F863" s="2"/>
      <c r="G863" s="2"/>
      <c r="H863" s="2"/>
      <c r="I863" s="2" t="s">
        <v>13</v>
      </c>
      <c r="J863" s="2">
        <v>755</v>
      </c>
      <c r="K863" s="2"/>
      <c r="L863" s="2">
        <v>564</v>
      </c>
      <c r="M863" s="2">
        <v>0.35199999999999998</v>
      </c>
      <c r="N863" s="2">
        <v>8.9209999999999994</v>
      </c>
      <c r="O863" s="2">
        <v>8.7650000000000006</v>
      </c>
      <c r="P863" s="7"/>
    </row>
    <row r="864" spans="1:16" x14ac:dyDescent="0.25">
      <c r="A864" s="8">
        <v>9.625</v>
      </c>
      <c r="B864" s="1">
        <v>36</v>
      </c>
      <c r="C864" s="1" t="s">
        <v>84</v>
      </c>
      <c r="D864" s="1">
        <v>2980</v>
      </c>
      <c r="E864" s="1">
        <v>3520</v>
      </c>
      <c r="F864" s="1"/>
      <c r="G864" s="1"/>
      <c r="H864" s="1"/>
      <c r="I864" s="1" t="s">
        <v>8</v>
      </c>
      <c r="J864" s="1">
        <v>526</v>
      </c>
      <c r="K864" s="1"/>
      <c r="L864" s="1">
        <v>564</v>
      </c>
      <c r="M864" s="1">
        <v>0.35199999999999998</v>
      </c>
      <c r="N864" s="1">
        <v>8.9209999999999994</v>
      </c>
      <c r="O864" s="1">
        <v>8.7650000000000006</v>
      </c>
      <c r="P864" s="9"/>
    </row>
    <row r="865" spans="1:16" x14ac:dyDescent="0.25">
      <c r="A865" s="8">
        <v>9.625</v>
      </c>
      <c r="B865" s="1">
        <v>36</v>
      </c>
      <c r="C865" s="1" t="s">
        <v>84</v>
      </c>
      <c r="D865" s="1">
        <v>2980</v>
      </c>
      <c r="E865" s="1">
        <v>3520</v>
      </c>
      <c r="F865" s="1"/>
      <c r="G865" s="1"/>
      <c r="H865" s="1"/>
      <c r="I865" s="1" t="s">
        <v>10</v>
      </c>
      <c r="J865" s="1">
        <v>605</v>
      </c>
      <c r="K865" s="1"/>
      <c r="L865" s="1">
        <v>564</v>
      </c>
      <c r="M865" s="1">
        <v>0.35199999999999998</v>
      </c>
      <c r="N865" s="1">
        <v>8.9209999999999994</v>
      </c>
      <c r="O865" s="1">
        <v>8.7650000000000006</v>
      </c>
      <c r="P865" s="9"/>
    </row>
    <row r="866" spans="1:16" x14ac:dyDescent="0.25">
      <c r="A866" s="8">
        <v>9.625</v>
      </c>
      <c r="B866" s="1">
        <v>36</v>
      </c>
      <c r="C866" s="1" t="s">
        <v>84</v>
      </c>
      <c r="D866" s="1">
        <v>2980</v>
      </c>
      <c r="E866" s="1">
        <v>3520</v>
      </c>
      <c r="F866" s="1"/>
      <c r="G866" s="1"/>
      <c r="H866" s="1"/>
      <c r="I866" s="1" t="s">
        <v>13</v>
      </c>
      <c r="J866" s="1">
        <v>829</v>
      </c>
      <c r="K866" s="1"/>
      <c r="L866" s="1">
        <v>564</v>
      </c>
      <c r="M866" s="1">
        <v>0.35199999999999998</v>
      </c>
      <c r="N866" s="1">
        <v>8.9209999999999994</v>
      </c>
      <c r="O866" s="1">
        <v>8.7650000000000006</v>
      </c>
      <c r="P866" s="9"/>
    </row>
    <row r="867" spans="1:16" x14ac:dyDescent="0.25">
      <c r="A867" s="6">
        <v>9.625</v>
      </c>
      <c r="B867" s="2">
        <v>40</v>
      </c>
      <c r="C867" s="2" t="s">
        <v>66</v>
      </c>
      <c r="D867" s="2">
        <v>2570</v>
      </c>
      <c r="E867" s="2">
        <v>3950</v>
      </c>
      <c r="F867" s="2"/>
      <c r="G867" s="2"/>
      <c r="H867" s="2"/>
      <c r="I867" s="2" t="s">
        <v>8</v>
      </c>
      <c r="J867" s="2">
        <v>452</v>
      </c>
      <c r="K867" s="2"/>
      <c r="L867" s="2">
        <v>630</v>
      </c>
      <c r="M867" s="2">
        <v>0.39500000000000002</v>
      </c>
      <c r="N867" s="2">
        <v>8.8350000000000009</v>
      </c>
      <c r="O867" s="2">
        <v>8.6790000000000003</v>
      </c>
      <c r="P867" s="7">
        <v>8.75</v>
      </c>
    </row>
    <row r="868" spans="1:16" x14ac:dyDescent="0.25">
      <c r="A868" s="6">
        <v>9.625</v>
      </c>
      <c r="B868" s="2">
        <v>40</v>
      </c>
      <c r="C868" s="2" t="s">
        <v>66</v>
      </c>
      <c r="D868" s="2">
        <v>2570</v>
      </c>
      <c r="E868" s="2">
        <v>3950</v>
      </c>
      <c r="F868" s="2"/>
      <c r="G868" s="2"/>
      <c r="H868" s="2"/>
      <c r="I868" s="2" t="s">
        <v>10</v>
      </c>
      <c r="J868" s="2">
        <v>520</v>
      </c>
      <c r="K868" s="2"/>
      <c r="L868" s="2">
        <v>630</v>
      </c>
      <c r="M868" s="2">
        <v>0.39500000000000002</v>
      </c>
      <c r="N868" s="2">
        <v>8.8350000000000009</v>
      </c>
      <c r="O868" s="2">
        <v>8.6790000000000003</v>
      </c>
      <c r="P868" s="7">
        <v>8.75</v>
      </c>
    </row>
    <row r="869" spans="1:16" x14ac:dyDescent="0.25">
      <c r="A869" s="6">
        <v>9.625</v>
      </c>
      <c r="B869" s="2">
        <v>40</v>
      </c>
      <c r="C869" s="2" t="s">
        <v>66</v>
      </c>
      <c r="D869" s="2">
        <v>2570</v>
      </c>
      <c r="E869" s="2">
        <v>3950</v>
      </c>
      <c r="F869" s="2"/>
      <c r="G869" s="2"/>
      <c r="H869" s="2"/>
      <c r="I869" s="2" t="s">
        <v>13</v>
      </c>
      <c r="J869" s="2">
        <v>714</v>
      </c>
      <c r="K869" s="2"/>
      <c r="L869" s="2">
        <v>630</v>
      </c>
      <c r="M869" s="2">
        <v>0.39500000000000002</v>
      </c>
      <c r="N869" s="2">
        <v>8.8350000000000009</v>
      </c>
      <c r="O869" s="2">
        <v>8.6790000000000003</v>
      </c>
      <c r="P869" s="7">
        <v>8.75</v>
      </c>
    </row>
    <row r="870" spans="1:16" x14ac:dyDescent="0.25">
      <c r="A870" s="8">
        <v>9.625</v>
      </c>
      <c r="B870" s="1">
        <v>40</v>
      </c>
      <c r="C870" s="1" t="s">
        <v>110</v>
      </c>
      <c r="D870" s="1">
        <v>2570</v>
      </c>
      <c r="E870" s="1">
        <v>3950</v>
      </c>
      <c r="F870" s="1"/>
      <c r="G870" s="1"/>
      <c r="H870" s="1"/>
      <c r="I870" s="1" t="s">
        <v>8</v>
      </c>
      <c r="J870" s="1">
        <v>486</v>
      </c>
      <c r="K870" s="1"/>
      <c r="L870" s="1">
        <v>630</v>
      </c>
      <c r="M870" s="1">
        <v>0.39500000000000002</v>
      </c>
      <c r="N870" s="1">
        <v>8.8350000000000009</v>
      </c>
      <c r="O870" s="1">
        <v>8.6790000000000003</v>
      </c>
      <c r="P870" s="9">
        <v>8.75</v>
      </c>
    </row>
    <row r="871" spans="1:16" x14ac:dyDescent="0.25">
      <c r="A871" s="8">
        <v>9.625</v>
      </c>
      <c r="B871" s="1">
        <v>40</v>
      </c>
      <c r="C871" s="1" t="s">
        <v>110</v>
      </c>
      <c r="D871" s="1">
        <v>2570</v>
      </c>
      <c r="E871" s="1">
        <v>3950</v>
      </c>
      <c r="F871" s="1"/>
      <c r="G871" s="1"/>
      <c r="H871" s="1"/>
      <c r="I871" s="1" t="s">
        <v>10</v>
      </c>
      <c r="J871" s="1">
        <v>561</v>
      </c>
      <c r="K871" s="1"/>
      <c r="L871" s="1">
        <v>630</v>
      </c>
      <c r="M871" s="1">
        <v>0.39500000000000002</v>
      </c>
      <c r="N871" s="1">
        <v>8.8350000000000009</v>
      </c>
      <c r="O871" s="1">
        <v>8.6790000000000003</v>
      </c>
      <c r="P871" s="9">
        <v>8.75</v>
      </c>
    </row>
    <row r="872" spans="1:16" x14ac:dyDescent="0.25">
      <c r="A872" s="8">
        <v>9.625</v>
      </c>
      <c r="B872" s="1">
        <v>40</v>
      </c>
      <c r="C872" s="1" t="s">
        <v>110</v>
      </c>
      <c r="D872" s="1">
        <v>2570</v>
      </c>
      <c r="E872" s="1">
        <v>3950</v>
      </c>
      <c r="F872" s="1"/>
      <c r="G872" s="1"/>
      <c r="H872" s="1"/>
      <c r="I872" s="1" t="s">
        <v>13</v>
      </c>
      <c r="J872" s="1">
        <v>843</v>
      </c>
      <c r="K872" s="1"/>
      <c r="L872" s="1">
        <v>630</v>
      </c>
      <c r="M872" s="1">
        <v>0.39500000000000002</v>
      </c>
      <c r="N872" s="1">
        <v>8.8350000000000009</v>
      </c>
      <c r="O872" s="1">
        <v>8.6790000000000003</v>
      </c>
      <c r="P872" s="9">
        <v>8.75</v>
      </c>
    </row>
    <row r="873" spans="1:16" x14ac:dyDescent="0.25">
      <c r="A873" s="6">
        <v>9.625</v>
      </c>
      <c r="B873" s="2">
        <v>40</v>
      </c>
      <c r="C873" s="2" t="s">
        <v>84</v>
      </c>
      <c r="D873" s="2">
        <v>4230</v>
      </c>
      <c r="E873" s="2">
        <v>3950</v>
      </c>
      <c r="F873" s="2"/>
      <c r="G873" s="2"/>
      <c r="H873" s="2"/>
      <c r="I873" s="2" t="s">
        <v>8</v>
      </c>
      <c r="J873" s="2">
        <v>604</v>
      </c>
      <c r="K873" s="2"/>
      <c r="L873" s="2">
        <v>630</v>
      </c>
      <c r="M873" s="2">
        <v>0.39500000000000002</v>
      </c>
      <c r="N873" s="2">
        <v>8.8350000000000009</v>
      </c>
      <c r="O873" s="2">
        <v>8.6790000000000003</v>
      </c>
      <c r="P873" s="7">
        <v>8.75</v>
      </c>
    </row>
    <row r="874" spans="1:16" x14ac:dyDescent="0.25">
      <c r="A874" s="6">
        <v>9.625</v>
      </c>
      <c r="B874" s="2">
        <v>40</v>
      </c>
      <c r="C874" s="2" t="s">
        <v>84</v>
      </c>
      <c r="D874" s="2">
        <v>4230</v>
      </c>
      <c r="E874" s="2">
        <v>3950</v>
      </c>
      <c r="F874" s="2"/>
      <c r="G874" s="2"/>
      <c r="H874" s="2"/>
      <c r="I874" s="2" t="s">
        <v>10</v>
      </c>
      <c r="J874" s="2">
        <v>694</v>
      </c>
      <c r="K874" s="2"/>
      <c r="L874" s="2">
        <v>630</v>
      </c>
      <c r="M874" s="2">
        <v>0.39500000000000002</v>
      </c>
      <c r="N874" s="2">
        <v>8.8350000000000009</v>
      </c>
      <c r="O874" s="2">
        <v>8.6790000000000003</v>
      </c>
      <c r="P874" s="7">
        <v>8.75</v>
      </c>
    </row>
    <row r="875" spans="1:16" x14ac:dyDescent="0.25">
      <c r="A875" s="6">
        <v>9.625</v>
      </c>
      <c r="B875" s="2">
        <v>40</v>
      </c>
      <c r="C875" s="2" t="s">
        <v>84</v>
      </c>
      <c r="D875" s="2">
        <v>4230</v>
      </c>
      <c r="E875" s="2">
        <v>3950</v>
      </c>
      <c r="F875" s="2"/>
      <c r="G875" s="2"/>
      <c r="H875" s="2"/>
      <c r="I875" s="2" t="s">
        <v>13</v>
      </c>
      <c r="J875" s="2">
        <v>926</v>
      </c>
      <c r="K875" s="2"/>
      <c r="L875" s="2">
        <v>630</v>
      </c>
      <c r="M875" s="2">
        <v>0.39500000000000002</v>
      </c>
      <c r="N875" s="2">
        <v>8.8350000000000009</v>
      </c>
      <c r="O875" s="2">
        <v>8.6790000000000003</v>
      </c>
      <c r="P875" s="7">
        <v>8.75</v>
      </c>
    </row>
    <row r="876" spans="1:16" x14ac:dyDescent="0.25">
      <c r="A876" s="8">
        <v>9.625</v>
      </c>
      <c r="B876" s="1">
        <v>40</v>
      </c>
      <c r="C876" s="1" t="s">
        <v>111</v>
      </c>
      <c r="D876" s="1">
        <v>3090</v>
      </c>
      <c r="E876" s="1">
        <v>5750</v>
      </c>
      <c r="F876" s="1"/>
      <c r="G876" s="1"/>
      <c r="H876" s="1"/>
      <c r="I876" s="1" t="s">
        <v>10</v>
      </c>
      <c r="J876" s="1">
        <v>727</v>
      </c>
      <c r="K876" s="1"/>
      <c r="L876" s="1">
        <v>916</v>
      </c>
      <c r="M876" s="1">
        <v>0.39500000000000002</v>
      </c>
      <c r="N876" s="1">
        <v>8.8350000000000009</v>
      </c>
      <c r="O876" s="1">
        <v>8.6790000000000003</v>
      </c>
      <c r="P876" s="9">
        <v>8.75</v>
      </c>
    </row>
    <row r="877" spans="1:16" x14ac:dyDescent="0.25">
      <c r="A877" s="8">
        <v>9.625</v>
      </c>
      <c r="B877" s="1">
        <v>40</v>
      </c>
      <c r="C877" s="1" t="s">
        <v>111</v>
      </c>
      <c r="D877" s="1">
        <v>3090</v>
      </c>
      <c r="E877" s="1">
        <v>5750</v>
      </c>
      <c r="F877" s="1"/>
      <c r="G877" s="1"/>
      <c r="H877" s="1"/>
      <c r="I877" s="1" t="s">
        <v>13</v>
      </c>
      <c r="J877" s="1">
        <v>947</v>
      </c>
      <c r="K877" s="1"/>
      <c r="L877" s="1">
        <v>916</v>
      </c>
      <c r="M877" s="1">
        <v>0.39500000000000002</v>
      </c>
      <c r="N877" s="1">
        <v>8.8350000000000009</v>
      </c>
      <c r="O877" s="1">
        <v>8.6790000000000003</v>
      </c>
      <c r="P877" s="9">
        <v>8.75</v>
      </c>
    </row>
    <row r="878" spans="1:16" x14ac:dyDescent="0.25">
      <c r="A878" s="6">
        <v>9.625</v>
      </c>
      <c r="B878" s="2">
        <v>40</v>
      </c>
      <c r="C878" s="2" t="s">
        <v>88</v>
      </c>
      <c r="D878" s="2">
        <v>4230</v>
      </c>
      <c r="E878" s="2">
        <v>5750</v>
      </c>
      <c r="F878" s="2"/>
      <c r="G878" s="2"/>
      <c r="H878" s="2"/>
      <c r="I878" s="2" t="s">
        <v>10</v>
      </c>
      <c r="J878" s="2">
        <v>837</v>
      </c>
      <c r="K878" s="2"/>
      <c r="L878" s="2">
        <v>916</v>
      </c>
      <c r="M878" s="2">
        <v>0.39500000000000002</v>
      </c>
      <c r="N878" s="2">
        <v>8.8350000000000009</v>
      </c>
      <c r="O878" s="2">
        <v>8.6790000000000003</v>
      </c>
      <c r="P878" s="7">
        <v>8.75</v>
      </c>
    </row>
    <row r="879" spans="1:16" x14ac:dyDescent="0.25">
      <c r="A879" s="6">
        <v>9.625</v>
      </c>
      <c r="B879" s="2">
        <v>40</v>
      </c>
      <c r="C879" s="2" t="s">
        <v>88</v>
      </c>
      <c r="D879" s="2">
        <v>4230</v>
      </c>
      <c r="E879" s="2">
        <v>5750</v>
      </c>
      <c r="F879" s="2"/>
      <c r="G879" s="2"/>
      <c r="H879" s="2"/>
      <c r="I879" s="2" t="s">
        <v>13</v>
      </c>
      <c r="J879" s="2">
        <v>1042</v>
      </c>
      <c r="K879" s="2"/>
      <c r="L879" s="2">
        <v>916</v>
      </c>
      <c r="M879" s="2">
        <v>0.39500000000000002</v>
      </c>
      <c r="N879" s="2">
        <v>8.8350000000000009</v>
      </c>
      <c r="O879" s="2">
        <v>8.6790000000000003</v>
      </c>
      <c r="P879" s="7">
        <v>8.75</v>
      </c>
    </row>
    <row r="880" spans="1:16" x14ac:dyDescent="0.25">
      <c r="A880" s="8">
        <v>9.625</v>
      </c>
      <c r="B880" s="1">
        <v>40</v>
      </c>
      <c r="C880" s="1" t="s">
        <v>112</v>
      </c>
      <c r="D880" s="1">
        <v>3090</v>
      </c>
      <c r="E880" s="1">
        <v>5750</v>
      </c>
      <c r="F880" s="1"/>
      <c r="G880" s="1"/>
      <c r="H880" s="1"/>
      <c r="I880" s="1" t="s">
        <v>10</v>
      </c>
      <c r="J880" s="1">
        <v>737</v>
      </c>
      <c r="K880" s="1"/>
      <c r="L880" s="1">
        <v>916</v>
      </c>
      <c r="M880" s="1">
        <v>0.39500000000000002</v>
      </c>
      <c r="N880" s="1">
        <v>8.8350000000000009</v>
      </c>
      <c r="O880" s="1">
        <v>8.6790000000000003</v>
      </c>
      <c r="P880" s="9">
        <v>8.75</v>
      </c>
    </row>
    <row r="881" spans="1:16" x14ac:dyDescent="0.25">
      <c r="A881" s="8">
        <v>9.625</v>
      </c>
      <c r="B881" s="1">
        <v>40</v>
      </c>
      <c r="C881" s="1" t="s">
        <v>112</v>
      </c>
      <c r="D881" s="1">
        <v>3090</v>
      </c>
      <c r="E881" s="1">
        <v>5750</v>
      </c>
      <c r="F881" s="1"/>
      <c r="G881" s="1"/>
      <c r="H881" s="1"/>
      <c r="I881" s="1" t="s">
        <v>13</v>
      </c>
      <c r="J881" s="1">
        <v>979</v>
      </c>
      <c r="K881" s="1"/>
      <c r="L881" s="1">
        <v>916</v>
      </c>
      <c r="M881" s="1">
        <v>0.39500000000000002</v>
      </c>
      <c r="N881" s="1">
        <v>8.8350000000000009</v>
      </c>
      <c r="O881" s="1">
        <v>8.6790000000000003</v>
      </c>
      <c r="P881" s="9">
        <v>8.75</v>
      </c>
    </row>
    <row r="882" spans="1:16" x14ac:dyDescent="0.25">
      <c r="A882" s="6">
        <v>9.625</v>
      </c>
      <c r="B882" s="2">
        <v>40</v>
      </c>
      <c r="C882" s="2" t="s">
        <v>93</v>
      </c>
      <c r="D882" s="2">
        <v>4230</v>
      </c>
      <c r="E882" s="2">
        <v>5750</v>
      </c>
      <c r="F882" s="2"/>
      <c r="G882" s="2"/>
      <c r="H882" s="2"/>
      <c r="I882" s="2" t="s">
        <v>10</v>
      </c>
      <c r="J882" s="2">
        <v>837</v>
      </c>
      <c r="K882" s="2"/>
      <c r="L882" s="2">
        <v>916</v>
      </c>
      <c r="M882" s="2">
        <v>0.39500000000000002</v>
      </c>
      <c r="N882" s="2">
        <v>8.8350000000000009</v>
      </c>
      <c r="O882" s="2">
        <v>8.6790000000000003</v>
      </c>
      <c r="P882" s="7">
        <v>8.75</v>
      </c>
    </row>
    <row r="883" spans="1:16" x14ac:dyDescent="0.25">
      <c r="A883" s="6">
        <v>9.625</v>
      </c>
      <c r="B883" s="2">
        <v>40</v>
      </c>
      <c r="C883" s="2" t="s">
        <v>93</v>
      </c>
      <c r="D883" s="2">
        <v>4230</v>
      </c>
      <c r="E883" s="2">
        <v>5750</v>
      </c>
      <c r="F883" s="2"/>
      <c r="G883" s="2"/>
      <c r="H883" s="2"/>
      <c r="I883" s="2" t="s">
        <v>13</v>
      </c>
      <c r="J883" s="2">
        <v>1042</v>
      </c>
      <c r="K883" s="2"/>
      <c r="L883" s="2">
        <v>916</v>
      </c>
      <c r="M883" s="2">
        <v>0.39500000000000002</v>
      </c>
      <c r="N883" s="2">
        <v>8.8350000000000009</v>
      </c>
      <c r="O883" s="2">
        <v>8.6790000000000003</v>
      </c>
      <c r="P883" s="7">
        <v>8.75</v>
      </c>
    </row>
    <row r="884" spans="1:16" x14ac:dyDescent="0.25">
      <c r="A884" s="8">
        <v>9.625</v>
      </c>
      <c r="B884" s="1">
        <v>40</v>
      </c>
      <c r="C884" s="1" t="s">
        <v>68</v>
      </c>
      <c r="D884" s="1">
        <v>3250</v>
      </c>
      <c r="E884" s="1">
        <v>6460</v>
      </c>
      <c r="F884" s="1"/>
      <c r="G884" s="1"/>
      <c r="H884" s="1"/>
      <c r="I884" s="1" t="s">
        <v>10</v>
      </c>
      <c r="J884" s="1">
        <v>804</v>
      </c>
      <c r="K884" s="1"/>
      <c r="L884" s="1">
        <v>1031</v>
      </c>
      <c r="M884" s="1">
        <v>0.39500000000000002</v>
      </c>
      <c r="N884" s="1">
        <v>8.8350000000000009</v>
      </c>
      <c r="O884" s="1">
        <v>8.6790000000000003</v>
      </c>
      <c r="P884" s="9">
        <v>8.75</v>
      </c>
    </row>
    <row r="885" spans="1:16" x14ac:dyDescent="0.25">
      <c r="A885" s="8">
        <v>9.625</v>
      </c>
      <c r="B885" s="1">
        <v>40</v>
      </c>
      <c r="C885" s="1" t="s">
        <v>68</v>
      </c>
      <c r="D885" s="1">
        <v>3250</v>
      </c>
      <c r="E885" s="1">
        <v>6460</v>
      </c>
      <c r="F885" s="1"/>
      <c r="G885" s="1"/>
      <c r="H885" s="1"/>
      <c r="I885" s="1" t="s">
        <v>13</v>
      </c>
      <c r="J885" s="1">
        <v>1021</v>
      </c>
      <c r="K885" s="1"/>
      <c r="L885" s="1">
        <v>1031</v>
      </c>
      <c r="M885" s="1">
        <v>0.39500000000000002</v>
      </c>
      <c r="N885" s="1">
        <v>8.8350000000000009</v>
      </c>
      <c r="O885" s="1">
        <v>8.6790000000000003</v>
      </c>
      <c r="P885" s="9">
        <v>8.75</v>
      </c>
    </row>
    <row r="886" spans="1:16" x14ac:dyDescent="0.25">
      <c r="A886" s="6">
        <v>9.625</v>
      </c>
      <c r="B886" s="2">
        <v>40</v>
      </c>
      <c r="C886" s="2" t="s">
        <v>75</v>
      </c>
      <c r="D886" s="2">
        <v>4230</v>
      </c>
      <c r="E886" s="2">
        <v>6460</v>
      </c>
      <c r="F886" s="2"/>
      <c r="G886" s="2"/>
      <c r="H886" s="2"/>
      <c r="I886" s="2" t="s">
        <v>10</v>
      </c>
      <c r="J886" s="2">
        <v>837</v>
      </c>
      <c r="K886" s="2"/>
      <c r="L886" s="2">
        <v>1031</v>
      </c>
      <c r="M886" s="2">
        <v>0.39500000000000002</v>
      </c>
      <c r="N886" s="2">
        <v>8.8350000000000009</v>
      </c>
      <c r="O886" s="2">
        <v>8.6790000000000003</v>
      </c>
      <c r="P886" s="7">
        <v>8.75</v>
      </c>
    </row>
    <row r="887" spans="1:16" x14ac:dyDescent="0.25">
      <c r="A887" s="6">
        <v>9.625</v>
      </c>
      <c r="B887" s="2">
        <v>40</v>
      </c>
      <c r="C887" s="2" t="s">
        <v>75</v>
      </c>
      <c r="D887" s="2">
        <v>4230</v>
      </c>
      <c r="E887" s="2">
        <v>6460</v>
      </c>
      <c r="F887" s="2"/>
      <c r="G887" s="2"/>
      <c r="H887" s="2"/>
      <c r="I887" s="2" t="s">
        <v>13</v>
      </c>
      <c r="J887" s="2">
        <v>1042</v>
      </c>
      <c r="K887" s="2"/>
      <c r="L887" s="2">
        <v>1031</v>
      </c>
      <c r="M887" s="2">
        <v>0.39500000000000002</v>
      </c>
      <c r="N887" s="2">
        <v>8.8350000000000009</v>
      </c>
      <c r="O887" s="2">
        <v>8.6790000000000003</v>
      </c>
      <c r="P887" s="7">
        <v>8.75</v>
      </c>
    </row>
    <row r="888" spans="1:16" x14ac:dyDescent="0.25">
      <c r="A888" s="8">
        <v>9.625</v>
      </c>
      <c r="B888" s="1">
        <v>40</v>
      </c>
      <c r="C888" s="1" t="s">
        <v>115</v>
      </c>
      <c r="D888" s="1">
        <v>4230</v>
      </c>
      <c r="E888" s="1">
        <v>6820</v>
      </c>
      <c r="F888" s="1"/>
      <c r="G888" s="1"/>
      <c r="H888" s="1"/>
      <c r="I888" s="1" t="s">
        <v>10</v>
      </c>
      <c r="J888" s="1">
        <v>858</v>
      </c>
      <c r="K888" s="1"/>
      <c r="L888" s="1">
        <v>1088</v>
      </c>
      <c r="M888" s="1">
        <v>0.39500000000000002</v>
      </c>
      <c r="N888" s="1">
        <v>8.8350000000000009</v>
      </c>
      <c r="O888" s="1">
        <v>8.6790000000000003</v>
      </c>
      <c r="P888" s="9">
        <v>8.75</v>
      </c>
    </row>
    <row r="889" spans="1:16" x14ac:dyDescent="0.25">
      <c r="A889" s="8">
        <v>9.625</v>
      </c>
      <c r="B889" s="1">
        <v>40</v>
      </c>
      <c r="C889" s="1" t="s">
        <v>115</v>
      </c>
      <c r="D889" s="1">
        <v>4230</v>
      </c>
      <c r="E889" s="1">
        <v>6820</v>
      </c>
      <c r="F889" s="1"/>
      <c r="G889" s="1"/>
      <c r="H889" s="1"/>
      <c r="I889" s="1" t="s">
        <v>13</v>
      </c>
      <c r="J889" s="1">
        <v>1106</v>
      </c>
      <c r="K889" s="1"/>
      <c r="L889" s="1">
        <v>1088</v>
      </c>
      <c r="M889" s="1">
        <v>0.39500000000000002</v>
      </c>
      <c r="N889" s="1">
        <v>8.8350000000000009</v>
      </c>
      <c r="O889" s="1">
        <v>8.6790000000000003</v>
      </c>
      <c r="P889" s="9">
        <v>8.75</v>
      </c>
    </row>
    <row r="890" spans="1:16" x14ac:dyDescent="0.25">
      <c r="A890" s="6">
        <v>9.625</v>
      </c>
      <c r="B890" s="2">
        <v>40</v>
      </c>
      <c r="C890" s="2" t="s">
        <v>116</v>
      </c>
      <c r="D890" s="2">
        <v>3320</v>
      </c>
      <c r="E890" s="2">
        <v>6820</v>
      </c>
      <c r="F890" s="2"/>
      <c r="G890" s="2"/>
      <c r="H890" s="2"/>
      <c r="I890" s="2" t="s">
        <v>10</v>
      </c>
      <c r="J890" s="2">
        <v>847</v>
      </c>
      <c r="K890" s="2"/>
      <c r="L890" s="2">
        <v>1088</v>
      </c>
      <c r="M890" s="2">
        <v>0.39500000000000002</v>
      </c>
      <c r="N890" s="2">
        <v>8.8350000000000009</v>
      </c>
      <c r="O890" s="2">
        <v>8.6790000000000003</v>
      </c>
      <c r="P890" s="7">
        <v>8.75</v>
      </c>
    </row>
    <row r="891" spans="1:16" x14ac:dyDescent="0.25">
      <c r="A891" s="6">
        <v>9.625</v>
      </c>
      <c r="B891" s="2">
        <v>40</v>
      </c>
      <c r="C891" s="2" t="s">
        <v>116</v>
      </c>
      <c r="D891" s="2">
        <v>3320</v>
      </c>
      <c r="E891" s="2">
        <v>6820</v>
      </c>
      <c r="F891" s="2"/>
      <c r="G891" s="2"/>
      <c r="H891" s="2"/>
      <c r="I891" s="2" t="s">
        <v>13</v>
      </c>
      <c r="J891" s="2">
        <v>1074</v>
      </c>
      <c r="K891" s="2"/>
      <c r="L891" s="2">
        <v>1088</v>
      </c>
      <c r="M891" s="2">
        <v>0.39500000000000002</v>
      </c>
      <c r="N891" s="2">
        <v>8.8350000000000009</v>
      </c>
      <c r="O891" s="2">
        <v>8.6790000000000003</v>
      </c>
      <c r="P891" s="7">
        <v>8.75</v>
      </c>
    </row>
    <row r="892" spans="1:16" x14ac:dyDescent="0.25">
      <c r="A892" s="8">
        <v>9.625</v>
      </c>
      <c r="B892" s="1">
        <v>40</v>
      </c>
      <c r="C892" s="1" t="s">
        <v>80</v>
      </c>
      <c r="D892" s="1">
        <v>4230</v>
      </c>
      <c r="E892" s="1">
        <v>6820</v>
      </c>
      <c r="F892" s="1"/>
      <c r="G892" s="1"/>
      <c r="H892" s="1"/>
      <c r="I892" s="1" t="s">
        <v>10</v>
      </c>
      <c r="J892" s="1">
        <v>847</v>
      </c>
      <c r="K892" s="1"/>
      <c r="L892" s="1">
        <v>1088</v>
      </c>
      <c r="M892" s="1">
        <v>0.39500000000000002</v>
      </c>
      <c r="N892" s="1">
        <v>8.8350000000000009</v>
      </c>
      <c r="O892" s="1">
        <v>8.6790000000000003</v>
      </c>
      <c r="P892" s="9">
        <v>8.75</v>
      </c>
    </row>
    <row r="893" spans="1:16" x14ac:dyDescent="0.25">
      <c r="A893" s="8">
        <v>9.625</v>
      </c>
      <c r="B893" s="1">
        <v>40</v>
      </c>
      <c r="C893" s="1" t="s">
        <v>80</v>
      </c>
      <c r="D893" s="1">
        <v>4230</v>
      </c>
      <c r="E893" s="1">
        <v>6820</v>
      </c>
      <c r="F893" s="1"/>
      <c r="G893" s="1"/>
      <c r="H893" s="1"/>
      <c r="I893" s="1" t="s">
        <v>13</v>
      </c>
      <c r="J893" s="1">
        <v>1074</v>
      </c>
      <c r="K893" s="1"/>
      <c r="L893" s="1">
        <v>1088</v>
      </c>
      <c r="M893" s="1">
        <v>0.39500000000000002</v>
      </c>
      <c r="N893" s="1">
        <v>8.8350000000000009</v>
      </c>
      <c r="O893" s="1">
        <v>8.6790000000000003</v>
      </c>
      <c r="P893" s="9">
        <v>8.75</v>
      </c>
    </row>
    <row r="894" spans="1:16" x14ac:dyDescent="0.25">
      <c r="A894" s="6">
        <v>9.625</v>
      </c>
      <c r="B894" s="2">
        <v>40</v>
      </c>
      <c r="C894" s="2" t="s">
        <v>74</v>
      </c>
      <c r="D894" s="2">
        <v>3320</v>
      </c>
      <c r="E894" s="2">
        <v>6820</v>
      </c>
      <c r="F894" s="2"/>
      <c r="G894" s="2"/>
      <c r="H894" s="2"/>
      <c r="I894" s="2" t="s">
        <v>10</v>
      </c>
      <c r="J894" s="2">
        <v>847</v>
      </c>
      <c r="K894" s="2"/>
      <c r="L894" s="2">
        <v>1088</v>
      </c>
      <c r="M894" s="2">
        <v>0.39500000000000002</v>
      </c>
      <c r="N894" s="2">
        <v>8.8350000000000009</v>
      </c>
      <c r="O894" s="2">
        <v>8.6790000000000003</v>
      </c>
      <c r="P894" s="7">
        <v>8.75</v>
      </c>
    </row>
    <row r="895" spans="1:16" x14ac:dyDescent="0.25">
      <c r="A895" s="6">
        <v>9.625</v>
      </c>
      <c r="B895" s="2">
        <v>40</v>
      </c>
      <c r="C895" s="2" t="s">
        <v>74</v>
      </c>
      <c r="D895" s="2">
        <v>3320</v>
      </c>
      <c r="E895" s="2">
        <v>6820</v>
      </c>
      <c r="F895" s="2"/>
      <c r="G895" s="2"/>
      <c r="H895" s="2"/>
      <c r="I895" s="2" t="s">
        <v>13</v>
      </c>
      <c r="J895" s="2">
        <v>1074</v>
      </c>
      <c r="K895" s="2"/>
      <c r="L895" s="2">
        <v>1088</v>
      </c>
      <c r="M895" s="2">
        <v>0.39500000000000002</v>
      </c>
      <c r="N895" s="2">
        <v>8.8350000000000009</v>
      </c>
      <c r="O895" s="2">
        <v>8.6790000000000003</v>
      </c>
      <c r="P895" s="7">
        <v>8.75</v>
      </c>
    </row>
    <row r="896" spans="1:16" x14ac:dyDescent="0.25">
      <c r="A896" s="8">
        <v>9.625</v>
      </c>
      <c r="B896" s="1">
        <v>43.5</v>
      </c>
      <c r="C896" s="1" t="s">
        <v>111</v>
      </c>
      <c r="D896" s="1">
        <v>3810</v>
      </c>
      <c r="E896" s="1">
        <v>6330</v>
      </c>
      <c r="F896" s="1"/>
      <c r="G896" s="1"/>
      <c r="H896" s="1"/>
      <c r="I896" s="1" t="s">
        <v>10</v>
      </c>
      <c r="J896" s="1">
        <v>813</v>
      </c>
      <c r="K896" s="1"/>
      <c r="L896" s="1">
        <v>1005</v>
      </c>
      <c r="M896" s="1">
        <v>0.435</v>
      </c>
      <c r="N896" s="1">
        <v>8.7550000000000008</v>
      </c>
      <c r="O896" s="1">
        <v>8.5990000000000002</v>
      </c>
      <c r="P896" s="9">
        <v>8.625</v>
      </c>
    </row>
    <row r="897" spans="1:16" x14ac:dyDescent="0.25">
      <c r="A897" s="8">
        <v>9.625</v>
      </c>
      <c r="B897" s="1">
        <v>43.5</v>
      </c>
      <c r="C897" s="1" t="s">
        <v>111</v>
      </c>
      <c r="D897" s="1">
        <v>3810</v>
      </c>
      <c r="E897" s="1">
        <v>6330</v>
      </c>
      <c r="F897" s="1"/>
      <c r="G897" s="1"/>
      <c r="H897" s="1"/>
      <c r="I897" s="1" t="s">
        <v>13</v>
      </c>
      <c r="J897" s="1">
        <v>1038</v>
      </c>
      <c r="K897" s="1"/>
      <c r="L897" s="1">
        <v>1005</v>
      </c>
      <c r="M897" s="1">
        <v>0.435</v>
      </c>
      <c r="N897" s="1">
        <v>8.7550000000000008</v>
      </c>
      <c r="O897" s="1">
        <v>8.5990000000000002</v>
      </c>
      <c r="P897" s="9">
        <v>8.625</v>
      </c>
    </row>
    <row r="898" spans="1:16" x14ac:dyDescent="0.25">
      <c r="A898" s="6">
        <v>9.625</v>
      </c>
      <c r="B898" s="2">
        <v>43.5</v>
      </c>
      <c r="C898" s="2" t="s">
        <v>88</v>
      </c>
      <c r="D898" s="2">
        <v>5600</v>
      </c>
      <c r="E898" s="2">
        <v>6330</v>
      </c>
      <c r="F898" s="2"/>
      <c r="G898" s="2"/>
      <c r="H898" s="2"/>
      <c r="I898" s="2" t="s">
        <v>10</v>
      </c>
      <c r="J898" s="2">
        <v>936</v>
      </c>
      <c r="K898" s="2"/>
      <c r="L898" s="2">
        <v>1005</v>
      </c>
      <c r="M898" s="2">
        <v>0.435</v>
      </c>
      <c r="N898" s="2">
        <v>8.7550000000000008</v>
      </c>
      <c r="O898" s="2">
        <v>8.5990000000000002</v>
      </c>
      <c r="P898" s="7">
        <v>8.625</v>
      </c>
    </row>
    <row r="899" spans="1:16" x14ac:dyDescent="0.25">
      <c r="A899" s="6">
        <v>9.625</v>
      </c>
      <c r="B899" s="2">
        <v>43.5</v>
      </c>
      <c r="C899" s="2" t="s">
        <v>88</v>
      </c>
      <c r="D899" s="2">
        <v>5600</v>
      </c>
      <c r="E899" s="2">
        <v>6330</v>
      </c>
      <c r="F899" s="2"/>
      <c r="G899" s="2"/>
      <c r="H899" s="2"/>
      <c r="I899" s="2" t="s">
        <v>13</v>
      </c>
      <c r="J899" s="2">
        <v>1142</v>
      </c>
      <c r="K899" s="2"/>
      <c r="L899" s="2">
        <v>1005</v>
      </c>
      <c r="M899" s="2">
        <v>0.435</v>
      </c>
      <c r="N899" s="2">
        <v>8.7550000000000008</v>
      </c>
      <c r="O899" s="2">
        <v>8.5990000000000002</v>
      </c>
      <c r="P899" s="7">
        <v>8.625</v>
      </c>
    </row>
    <row r="900" spans="1:16" x14ac:dyDescent="0.25">
      <c r="A900" s="8">
        <v>9.625</v>
      </c>
      <c r="B900" s="1">
        <v>43.5</v>
      </c>
      <c r="C900" s="1" t="s">
        <v>112</v>
      </c>
      <c r="D900" s="1">
        <v>3810</v>
      </c>
      <c r="E900" s="1">
        <v>6330</v>
      </c>
      <c r="F900" s="1"/>
      <c r="G900" s="1"/>
      <c r="H900" s="1"/>
      <c r="I900" s="1" t="s">
        <v>10</v>
      </c>
      <c r="J900" s="1">
        <v>825</v>
      </c>
      <c r="K900" s="1"/>
      <c r="L900" s="1">
        <v>1005</v>
      </c>
      <c r="M900" s="1">
        <v>0.435</v>
      </c>
      <c r="N900" s="1">
        <v>8.7550000000000008</v>
      </c>
      <c r="O900" s="1">
        <v>8.5990000000000002</v>
      </c>
      <c r="P900" s="9">
        <v>8.625</v>
      </c>
    </row>
    <row r="901" spans="1:16" x14ac:dyDescent="0.25">
      <c r="A901" s="8">
        <v>9.625</v>
      </c>
      <c r="B901" s="1">
        <v>43.5</v>
      </c>
      <c r="C901" s="1" t="s">
        <v>112</v>
      </c>
      <c r="D901" s="1">
        <v>3810</v>
      </c>
      <c r="E901" s="1">
        <v>6330</v>
      </c>
      <c r="F901" s="1"/>
      <c r="G901" s="1"/>
      <c r="H901" s="1"/>
      <c r="I901" s="1" t="s">
        <v>13</v>
      </c>
      <c r="J901" s="1">
        <v>1074</v>
      </c>
      <c r="K901" s="1"/>
      <c r="L901" s="1">
        <v>1005</v>
      </c>
      <c r="M901" s="1">
        <v>0.435</v>
      </c>
      <c r="N901" s="1">
        <v>8.7550000000000008</v>
      </c>
      <c r="O901" s="1">
        <v>8.5990000000000002</v>
      </c>
      <c r="P901" s="9">
        <v>8.625</v>
      </c>
    </row>
    <row r="902" spans="1:16" x14ac:dyDescent="0.25">
      <c r="A902" s="6">
        <v>9.625</v>
      </c>
      <c r="B902" s="2">
        <v>43.5</v>
      </c>
      <c r="C902" s="2" t="s">
        <v>93</v>
      </c>
      <c r="D902" s="2">
        <v>5600</v>
      </c>
      <c r="E902" s="2">
        <v>6330</v>
      </c>
      <c r="F902" s="2"/>
      <c r="G902" s="2"/>
      <c r="H902" s="2"/>
      <c r="I902" s="2" t="s">
        <v>10</v>
      </c>
      <c r="J902" s="2">
        <v>936</v>
      </c>
      <c r="K902" s="2"/>
      <c r="L902" s="2">
        <v>1005</v>
      </c>
      <c r="M902" s="2">
        <v>0.435</v>
      </c>
      <c r="N902" s="2">
        <v>8.7550000000000008</v>
      </c>
      <c r="O902" s="2">
        <v>8.5990000000000002</v>
      </c>
      <c r="P902" s="7">
        <v>8.625</v>
      </c>
    </row>
    <row r="903" spans="1:16" x14ac:dyDescent="0.25">
      <c r="A903" s="6">
        <v>9.625</v>
      </c>
      <c r="B903" s="2">
        <v>43.5</v>
      </c>
      <c r="C903" s="2" t="s">
        <v>93</v>
      </c>
      <c r="D903" s="2">
        <v>5600</v>
      </c>
      <c r="E903" s="2">
        <v>6330</v>
      </c>
      <c r="F903" s="2"/>
      <c r="G903" s="2"/>
      <c r="H903" s="2"/>
      <c r="I903" s="2" t="s">
        <v>13</v>
      </c>
      <c r="J903" s="2">
        <v>1142</v>
      </c>
      <c r="K903" s="2"/>
      <c r="L903" s="2">
        <v>1005</v>
      </c>
      <c r="M903" s="2">
        <v>0.435</v>
      </c>
      <c r="N903" s="2">
        <v>8.7550000000000008</v>
      </c>
      <c r="O903" s="2">
        <v>8.5990000000000002</v>
      </c>
      <c r="P903" s="7">
        <v>8.625</v>
      </c>
    </row>
    <row r="904" spans="1:16" x14ac:dyDescent="0.25">
      <c r="A904" s="8">
        <v>9.625</v>
      </c>
      <c r="B904" s="1">
        <v>43.5</v>
      </c>
      <c r="C904" s="1" t="s">
        <v>68</v>
      </c>
      <c r="D904" s="1">
        <v>4010</v>
      </c>
      <c r="E904" s="1">
        <v>7120</v>
      </c>
      <c r="F904" s="1"/>
      <c r="G904" s="1"/>
      <c r="H904" s="1"/>
      <c r="I904" s="1" t="s">
        <v>10</v>
      </c>
      <c r="J904" s="1">
        <v>899</v>
      </c>
      <c r="K904" s="1"/>
      <c r="L904" s="1">
        <v>1130</v>
      </c>
      <c r="M904" s="1">
        <v>0.435</v>
      </c>
      <c r="N904" s="1">
        <v>8.7550000000000008</v>
      </c>
      <c r="O904" s="1">
        <v>8.5990000000000002</v>
      </c>
      <c r="P904" s="9"/>
    </row>
    <row r="905" spans="1:16" x14ac:dyDescent="0.25">
      <c r="A905" s="8">
        <v>9.625</v>
      </c>
      <c r="B905" s="1">
        <v>43.5</v>
      </c>
      <c r="C905" s="1" t="s">
        <v>68</v>
      </c>
      <c r="D905" s="1">
        <v>4010</v>
      </c>
      <c r="E905" s="1">
        <v>7120</v>
      </c>
      <c r="F905" s="1"/>
      <c r="G905" s="1"/>
      <c r="H905" s="1"/>
      <c r="I905" s="1" t="s">
        <v>13</v>
      </c>
      <c r="J905" s="1">
        <v>1119</v>
      </c>
      <c r="K905" s="1"/>
      <c r="L905" s="1">
        <v>1130</v>
      </c>
      <c r="M905" s="1">
        <v>0.435</v>
      </c>
      <c r="N905" s="1">
        <v>8.7550000000000008</v>
      </c>
      <c r="O905" s="1">
        <v>8.5990000000000002</v>
      </c>
      <c r="P905" s="9"/>
    </row>
    <row r="906" spans="1:16" x14ac:dyDescent="0.25">
      <c r="A906" s="6">
        <v>9.625</v>
      </c>
      <c r="B906" s="2">
        <v>43.5</v>
      </c>
      <c r="C906" s="2" t="s">
        <v>75</v>
      </c>
      <c r="D906" s="2">
        <v>5600</v>
      </c>
      <c r="E906" s="2">
        <v>7120</v>
      </c>
      <c r="F906" s="2"/>
      <c r="G906" s="2"/>
      <c r="H906" s="2"/>
      <c r="I906" s="2" t="s">
        <v>10</v>
      </c>
      <c r="J906" s="2">
        <v>936</v>
      </c>
      <c r="K906" s="2"/>
      <c r="L906" s="2">
        <v>1130</v>
      </c>
      <c r="M906" s="2">
        <v>0.435</v>
      </c>
      <c r="N906" s="2">
        <v>8.7550000000000008</v>
      </c>
      <c r="O906" s="2">
        <v>8.5990000000000002</v>
      </c>
      <c r="P906" s="7">
        <v>8.625</v>
      </c>
    </row>
    <row r="907" spans="1:16" x14ac:dyDescent="0.25">
      <c r="A907" s="6">
        <v>9.625</v>
      </c>
      <c r="B907" s="2">
        <v>43.5</v>
      </c>
      <c r="C907" s="2" t="s">
        <v>75</v>
      </c>
      <c r="D907" s="2">
        <v>5600</v>
      </c>
      <c r="E907" s="2">
        <v>7120</v>
      </c>
      <c r="F907" s="2"/>
      <c r="G907" s="2"/>
      <c r="H907" s="2"/>
      <c r="I907" s="2" t="s">
        <v>13</v>
      </c>
      <c r="J907" s="2">
        <v>1142</v>
      </c>
      <c r="K907" s="2"/>
      <c r="L907" s="2">
        <v>1130</v>
      </c>
      <c r="M907" s="2">
        <v>0.435</v>
      </c>
      <c r="N907" s="2">
        <v>8.7550000000000008</v>
      </c>
      <c r="O907" s="2">
        <v>8.5990000000000002</v>
      </c>
      <c r="P907" s="7">
        <v>8.625</v>
      </c>
    </row>
    <row r="908" spans="1:16" x14ac:dyDescent="0.25">
      <c r="A908" s="8">
        <v>9.625</v>
      </c>
      <c r="B908" s="1">
        <v>43.5</v>
      </c>
      <c r="C908" s="1" t="s">
        <v>115</v>
      </c>
      <c r="D908" s="1">
        <v>5600</v>
      </c>
      <c r="E908" s="1">
        <v>7510</v>
      </c>
      <c r="F908" s="1"/>
      <c r="G908" s="1"/>
      <c r="H908" s="1"/>
      <c r="I908" s="1" t="s">
        <v>10</v>
      </c>
      <c r="J908" s="1">
        <v>959</v>
      </c>
      <c r="K908" s="1"/>
      <c r="L908" s="1">
        <v>1193</v>
      </c>
      <c r="M908" s="1">
        <v>0.435</v>
      </c>
      <c r="N908" s="1">
        <v>8.7550000000000008</v>
      </c>
      <c r="O908" s="1">
        <v>8.5990000000000002</v>
      </c>
      <c r="P908" s="9">
        <v>8.625</v>
      </c>
    </row>
    <row r="909" spans="1:16" x14ac:dyDescent="0.25">
      <c r="A909" s="8">
        <v>9.625</v>
      </c>
      <c r="B909" s="1">
        <v>43.5</v>
      </c>
      <c r="C909" s="1" t="s">
        <v>115</v>
      </c>
      <c r="D909" s="1">
        <v>5600</v>
      </c>
      <c r="E909" s="1">
        <v>7510</v>
      </c>
      <c r="F909" s="1"/>
      <c r="G909" s="1"/>
      <c r="H909" s="1"/>
      <c r="I909" s="1" t="s">
        <v>13</v>
      </c>
      <c r="J909" s="1">
        <v>1213</v>
      </c>
      <c r="K909" s="1"/>
      <c r="L909" s="1">
        <v>1193</v>
      </c>
      <c r="M909" s="1">
        <v>0.435</v>
      </c>
      <c r="N909" s="1">
        <v>8.7550000000000008</v>
      </c>
      <c r="O909" s="1">
        <v>8.5990000000000002</v>
      </c>
      <c r="P909" s="9">
        <v>8.625</v>
      </c>
    </row>
    <row r="910" spans="1:16" x14ac:dyDescent="0.25">
      <c r="A910" s="6">
        <v>9.625</v>
      </c>
      <c r="B910" s="2">
        <v>43.5</v>
      </c>
      <c r="C910" s="2" t="s">
        <v>116</v>
      </c>
      <c r="D910" s="2">
        <v>4120</v>
      </c>
      <c r="E910" s="2">
        <v>7510</v>
      </c>
      <c r="F910" s="2"/>
      <c r="G910" s="2"/>
      <c r="H910" s="2"/>
      <c r="I910" s="2" t="s">
        <v>10</v>
      </c>
      <c r="J910" s="2">
        <v>948</v>
      </c>
      <c r="K910" s="2"/>
      <c r="L910" s="2">
        <v>1193</v>
      </c>
      <c r="M910" s="2">
        <v>0.435</v>
      </c>
      <c r="N910" s="2">
        <v>8.7550000000000008</v>
      </c>
      <c r="O910" s="2">
        <v>8.5990000000000002</v>
      </c>
      <c r="P910" s="7"/>
    </row>
    <row r="911" spans="1:16" x14ac:dyDescent="0.25">
      <c r="A911" s="6">
        <v>9.625</v>
      </c>
      <c r="B911" s="2">
        <v>43.5</v>
      </c>
      <c r="C911" s="2" t="s">
        <v>116</v>
      </c>
      <c r="D911" s="2">
        <v>4120</v>
      </c>
      <c r="E911" s="2">
        <v>7510</v>
      </c>
      <c r="F911" s="2"/>
      <c r="G911" s="2"/>
      <c r="H911" s="2"/>
      <c r="I911" s="2" t="s">
        <v>13</v>
      </c>
      <c r="J911" s="2">
        <v>1178</v>
      </c>
      <c r="K911" s="2"/>
      <c r="L911" s="2">
        <v>1193</v>
      </c>
      <c r="M911" s="2">
        <v>0.435</v>
      </c>
      <c r="N911" s="2">
        <v>8.7550000000000008</v>
      </c>
      <c r="O911" s="2">
        <v>8.5990000000000002</v>
      </c>
      <c r="P911" s="7"/>
    </row>
    <row r="912" spans="1:16" x14ac:dyDescent="0.25">
      <c r="A912" s="8">
        <v>9.625</v>
      </c>
      <c r="B912" s="1">
        <v>43.5</v>
      </c>
      <c r="C912" s="1" t="s">
        <v>80</v>
      </c>
      <c r="D912" s="1">
        <v>5600</v>
      </c>
      <c r="E912" s="1">
        <v>7510</v>
      </c>
      <c r="F912" s="1"/>
      <c r="G912" s="1"/>
      <c r="H912" s="1"/>
      <c r="I912" s="1" t="s">
        <v>10</v>
      </c>
      <c r="J912" s="1">
        <v>948</v>
      </c>
      <c r="K912" s="1"/>
      <c r="L912" s="1">
        <v>1193</v>
      </c>
      <c r="M912" s="1">
        <v>0.435</v>
      </c>
      <c r="N912" s="1">
        <v>8.7550000000000008</v>
      </c>
      <c r="O912" s="1">
        <v>8.5990000000000002</v>
      </c>
      <c r="P912" s="9">
        <v>8.625</v>
      </c>
    </row>
    <row r="913" spans="1:16" x14ac:dyDescent="0.25">
      <c r="A913" s="8">
        <v>9.625</v>
      </c>
      <c r="B913" s="1">
        <v>43.5</v>
      </c>
      <c r="C913" s="1" t="s">
        <v>80</v>
      </c>
      <c r="D913" s="1">
        <v>5600</v>
      </c>
      <c r="E913" s="1">
        <v>7510</v>
      </c>
      <c r="F913" s="1"/>
      <c r="G913" s="1"/>
      <c r="H913" s="1"/>
      <c r="I913" s="1" t="s">
        <v>13</v>
      </c>
      <c r="J913" s="1">
        <v>1178</v>
      </c>
      <c r="K913" s="1"/>
      <c r="L913" s="1">
        <v>1193</v>
      </c>
      <c r="M913" s="1">
        <v>0.435</v>
      </c>
      <c r="N913" s="1">
        <v>8.7550000000000008</v>
      </c>
      <c r="O913" s="1">
        <v>8.5990000000000002</v>
      </c>
      <c r="P913" s="9">
        <v>8.625</v>
      </c>
    </row>
    <row r="914" spans="1:16" x14ac:dyDescent="0.25">
      <c r="A914" s="6">
        <v>9.625</v>
      </c>
      <c r="B914" s="2">
        <v>43.5</v>
      </c>
      <c r="C914" s="2" t="s">
        <v>74</v>
      </c>
      <c r="D914" s="2">
        <v>4120</v>
      </c>
      <c r="E914" s="2">
        <v>7510</v>
      </c>
      <c r="F914" s="2"/>
      <c r="G914" s="2"/>
      <c r="H914" s="2"/>
      <c r="I914" s="2" t="s">
        <v>10</v>
      </c>
      <c r="J914" s="2">
        <v>948</v>
      </c>
      <c r="K914" s="2"/>
      <c r="L914" s="2">
        <v>1193</v>
      </c>
      <c r="M914" s="2">
        <v>0.435</v>
      </c>
      <c r="N914" s="2">
        <v>8.7550000000000008</v>
      </c>
      <c r="O914" s="2">
        <v>8.5990000000000002</v>
      </c>
      <c r="P914" s="7">
        <v>8.625</v>
      </c>
    </row>
    <row r="915" spans="1:16" x14ac:dyDescent="0.25">
      <c r="A915" s="6">
        <v>9.625</v>
      </c>
      <c r="B915" s="2">
        <v>43.5</v>
      </c>
      <c r="C915" s="2" t="s">
        <v>74</v>
      </c>
      <c r="D915" s="2">
        <v>4120</v>
      </c>
      <c r="E915" s="2">
        <v>7510</v>
      </c>
      <c r="F915" s="2"/>
      <c r="G915" s="2"/>
      <c r="H915" s="2"/>
      <c r="I915" s="2" t="s">
        <v>13</v>
      </c>
      <c r="J915" s="2">
        <v>1178</v>
      </c>
      <c r="K915" s="2"/>
      <c r="L915" s="2">
        <v>1193</v>
      </c>
      <c r="M915" s="2">
        <v>0.435</v>
      </c>
      <c r="N915" s="2">
        <v>8.7550000000000008</v>
      </c>
      <c r="O915" s="2">
        <v>8.5990000000000002</v>
      </c>
      <c r="P915" s="7">
        <v>8.625</v>
      </c>
    </row>
    <row r="916" spans="1:16" x14ac:dyDescent="0.25">
      <c r="A916" s="8">
        <v>9.625</v>
      </c>
      <c r="B916" s="1">
        <v>43.5</v>
      </c>
      <c r="C916" s="1" t="s">
        <v>97</v>
      </c>
      <c r="D916" s="1">
        <v>5600</v>
      </c>
      <c r="E916" s="1">
        <v>8700</v>
      </c>
      <c r="F916" s="1"/>
      <c r="G916" s="1"/>
      <c r="H916" s="1"/>
      <c r="I916" s="1" t="s">
        <v>10</v>
      </c>
      <c r="J916" s="1">
        <v>1106</v>
      </c>
      <c r="K916" s="1"/>
      <c r="L916" s="1">
        <v>1381</v>
      </c>
      <c r="M916" s="1">
        <v>0.435</v>
      </c>
      <c r="N916" s="1">
        <v>8.7550000000000008</v>
      </c>
      <c r="O916" s="1">
        <v>8.5990000000000002</v>
      </c>
      <c r="P916" s="9">
        <v>8.625</v>
      </c>
    </row>
    <row r="917" spans="1:16" x14ac:dyDescent="0.25">
      <c r="A917" s="8">
        <v>9.625</v>
      </c>
      <c r="B917" s="1">
        <v>43.5</v>
      </c>
      <c r="C917" s="1" t="s">
        <v>97</v>
      </c>
      <c r="D917" s="1">
        <v>5600</v>
      </c>
      <c r="E917" s="1">
        <v>8700</v>
      </c>
      <c r="F917" s="1"/>
      <c r="G917" s="1"/>
      <c r="H917" s="1"/>
      <c r="I917" s="1" t="s">
        <v>13</v>
      </c>
      <c r="J917" s="1">
        <v>1388</v>
      </c>
      <c r="K917" s="1"/>
      <c r="L917" s="1">
        <v>1381</v>
      </c>
      <c r="M917" s="1">
        <v>0.435</v>
      </c>
      <c r="N917" s="1">
        <v>8.7550000000000008</v>
      </c>
      <c r="O917" s="1">
        <v>8.5990000000000002</v>
      </c>
      <c r="P917" s="9">
        <v>8.625</v>
      </c>
    </row>
    <row r="918" spans="1:16" x14ac:dyDescent="0.25">
      <c r="A918" s="6">
        <v>9.625</v>
      </c>
      <c r="B918" s="2">
        <v>43.5</v>
      </c>
      <c r="C918" s="2" t="s">
        <v>113</v>
      </c>
      <c r="D918" s="2">
        <v>4420</v>
      </c>
      <c r="E918" s="2">
        <v>8700</v>
      </c>
      <c r="F918" s="2"/>
      <c r="G918" s="2"/>
      <c r="H918" s="2"/>
      <c r="I918" s="2" t="s">
        <v>10</v>
      </c>
      <c r="J918" s="2">
        <v>1106</v>
      </c>
      <c r="K918" s="2"/>
      <c r="L918" s="2">
        <v>1381</v>
      </c>
      <c r="M918" s="2">
        <v>0.435</v>
      </c>
      <c r="N918" s="2">
        <v>8.7550000000000008</v>
      </c>
      <c r="O918" s="2">
        <v>8.5990000000000002</v>
      </c>
      <c r="P918" s="7">
        <v>8.625</v>
      </c>
    </row>
    <row r="919" spans="1:16" x14ac:dyDescent="0.25">
      <c r="A919" s="6">
        <v>9.625</v>
      </c>
      <c r="B919" s="2">
        <v>43.5</v>
      </c>
      <c r="C919" s="2" t="s">
        <v>113</v>
      </c>
      <c r="D919" s="2">
        <v>4420</v>
      </c>
      <c r="E919" s="2">
        <v>8700</v>
      </c>
      <c r="F919" s="2"/>
      <c r="G919" s="2"/>
      <c r="H919" s="2"/>
      <c r="I919" s="2" t="s">
        <v>13</v>
      </c>
      <c r="J919" s="2">
        <v>1388</v>
      </c>
      <c r="K919" s="2"/>
      <c r="L919" s="2">
        <v>1381</v>
      </c>
      <c r="M919" s="2">
        <v>0.435</v>
      </c>
      <c r="N919" s="2">
        <v>8.7550000000000008</v>
      </c>
      <c r="O919" s="2">
        <v>8.5990000000000002</v>
      </c>
      <c r="P919" s="7">
        <v>8.625</v>
      </c>
    </row>
    <row r="920" spans="1:16" x14ac:dyDescent="0.25">
      <c r="A920" s="8">
        <v>9.625</v>
      </c>
      <c r="B920" s="1">
        <v>43.5</v>
      </c>
      <c r="C920" s="1" t="s">
        <v>99</v>
      </c>
      <c r="D920" s="1">
        <v>5600</v>
      </c>
      <c r="E920" s="1">
        <v>9890</v>
      </c>
      <c r="F920" s="1"/>
      <c r="G920" s="1"/>
      <c r="H920" s="1"/>
      <c r="I920" s="1" t="s">
        <v>10</v>
      </c>
      <c r="J920" s="1">
        <v>1240</v>
      </c>
      <c r="K920" s="1"/>
      <c r="L920" s="1">
        <v>1570</v>
      </c>
      <c r="M920" s="1">
        <v>0.435</v>
      </c>
      <c r="N920" s="1">
        <v>8.7550000000000008</v>
      </c>
      <c r="O920" s="1">
        <v>8.5990000000000002</v>
      </c>
      <c r="P920" s="9">
        <v>8.625</v>
      </c>
    </row>
    <row r="921" spans="1:16" x14ac:dyDescent="0.25">
      <c r="A921" s="8">
        <v>9.625</v>
      </c>
      <c r="B921" s="1">
        <v>43.5</v>
      </c>
      <c r="C921" s="1" t="s">
        <v>99</v>
      </c>
      <c r="D921" s="1">
        <v>5600</v>
      </c>
      <c r="E921" s="1">
        <v>9890</v>
      </c>
      <c r="F921" s="1"/>
      <c r="G921" s="1"/>
      <c r="H921" s="1"/>
      <c r="I921" s="1" t="s">
        <v>13</v>
      </c>
      <c r="J921" s="1">
        <v>1527</v>
      </c>
      <c r="K921" s="1"/>
      <c r="L921" s="1">
        <v>1570</v>
      </c>
      <c r="M921" s="1">
        <v>0.435</v>
      </c>
      <c r="N921" s="1">
        <v>8.7550000000000008</v>
      </c>
      <c r="O921" s="1">
        <v>8.5990000000000002</v>
      </c>
      <c r="P921" s="9">
        <v>8.625</v>
      </c>
    </row>
    <row r="922" spans="1:16" x14ac:dyDescent="0.25">
      <c r="A922" s="6">
        <v>9.625</v>
      </c>
      <c r="B922" s="2">
        <v>43.5</v>
      </c>
      <c r="C922" s="2" t="s">
        <v>114</v>
      </c>
      <c r="D922" s="2">
        <v>4620</v>
      </c>
      <c r="E922" s="2">
        <v>9890</v>
      </c>
      <c r="F922" s="2"/>
      <c r="G922" s="2"/>
      <c r="H922" s="2"/>
      <c r="I922" s="2" t="s">
        <v>10</v>
      </c>
      <c r="J922" s="2">
        <v>1240</v>
      </c>
      <c r="K922" s="2"/>
      <c r="L922" s="2">
        <v>1570</v>
      </c>
      <c r="M922" s="2">
        <v>0.435</v>
      </c>
      <c r="N922" s="2">
        <v>8.7550000000000008</v>
      </c>
      <c r="O922" s="2">
        <v>8.5990000000000002</v>
      </c>
      <c r="P922" s="7">
        <v>8.625</v>
      </c>
    </row>
    <row r="923" spans="1:16" x14ac:dyDescent="0.25">
      <c r="A923" s="6">
        <v>9.625</v>
      </c>
      <c r="B923" s="2">
        <v>43.5</v>
      </c>
      <c r="C923" s="2" t="s">
        <v>114</v>
      </c>
      <c r="D923" s="2">
        <v>4620</v>
      </c>
      <c r="E923" s="2">
        <v>9890</v>
      </c>
      <c r="F923" s="2"/>
      <c r="G923" s="2"/>
      <c r="H923" s="2"/>
      <c r="I923" s="2" t="s">
        <v>13</v>
      </c>
      <c r="J923" s="2">
        <v>1527</v>
      </c>
      <c r="K923" s="2"/>
      <c r="L923" s="2">
        <v>1570</v>
      </c>
      <c r="M923" s="2">
        <v>0.435</v>
      </c>
      <c r="N923" s="2">
        <v>8.7550000000000008</v>
      </c>
      <c r="O923" s="2">
        <v>8.5990000000000002</v>
      </c>
      <c r="P923" s="7">
        <v>8.625</v>
      </c>
    </row>
    <row r="924" spans="1:16" x14ac:dyDescent="0.25">
      <c r="A924" s="8">
        <v>9.625</v>
      </c>
      <c r="B924" s="1">
        <v>47</v>
      </c>
      <c r="C924" s="1" t="s">
        <v>111</v>
      </c>
      <c r="D924" s="1">
        <v>4760</v>
      </c>
      <c r="E924" s="1">
        <v>6870</v>
      </c>
      <c r="F924" s="1"/>
      <c r="G924" s="1"/>
      <c r="H924" s="1"/>
      <c r="I924" s="1" t="s">
        <v>10</v>
      </c>
      <c r="J924" s="1">
        <v>893</v>
      </c>
      <c r="K924" s="1"/>
      <c r="L924" s="1">
        <v>1086</v>
      </c>
      <c r="M924" s="1">
        <v>0.47199999999999998</v>
      </c>
      <c r="N924" s="1">
        <v>8.6809999999999992</v>
      </c>
      <c r="O924" s="1">
        <v>8.5250000000000004</v>
      </c>
      <c r="P924" s="9">
        <v>8.625</v>
      </c>
    </row>
    <row r="925" spans="1:16" x14ac:dyDescent="0.25">
      <c r="A925" s="8">
        <v>9.625</v>
      </c>
      <c r="B925" s="1">
        <v>47</v>
      </c>
      <c r="C925" s="1" t="s">
        <v>111</v>
      </c>
      <c r="D925" s="1">
        <v>4760</v>
      </c>
      <c r="E925" s="1">
        <v>6870</v>
      </c>
      <c r="F925" s="1"/>
      <c r="G925" s="1"/>
      <c r="H925" s="1"/>
      <c r="I925" s="1" t="s">
        <v>13</v>
      </c>
      <c r="J925" s="1">
        <v>1122</v>
      </c>
      <c r="K925" s="1"/>
      <c r="L925" s="1">
        <v>1086</v>
      </c>
      <c r="M925" s="1">
        <v>0.47199999999999998</v>
      </c>
      <c r="N925" s="1">
        <v>8.6809999999999992</v>
      </c>
      <c r="O925" s="1">
        <v>8.5250000000000004</v>
      </c>
      <c r="P925" s="9">
        <v>8.625</v>
      </c>
    </row>
    <row r="926" spans="1:16" x14ac:dyDescent="0.25">
      <c r="A926" s="6">
        <v>9.625</v>
      </c>
      <c r="B926" s="2">
        <v>47</v>
      </c>
      <c r="C926" s="2" t="s">
        <v>88</v>
      </c>
      <c r="D926" s="2">
        <v>7100</v>
      </c>
      <c r="E926" s="2">
        <v>6870</v>
      </c>
      <c r="F926" s="2"/>
      <c r="G926" s="2"/>
      <c r="H926" s="2"/>
      <c r="I926" s="2" t="s">
        <v>10</v>
      </c>
      <c r="J926" s="2">
        <v>1027</v>
      </c>
      <c r="K926" s="2"/>
      <c r="L926" s="2">
        <v>1086</v>
      </c>
      <c r="M926" s="2">
        <v>0.47199999999999998</v>
      </c>
      <c r="N926" s="2">
        <v>8.6809999999999992</v>
      </c>
      <c r="O926" s="2">
        <v>8.5250000000000004</v>
      </c>
      <c r="P926" s="7">
        <v>8.625</v>
      </c>
    </row>
    <row r="927" spans="1:16" x14ac:dyDescent="0.25">
      <c r="A927" s="6">
        <v>9.625</v>
      </c>
      <c r="B927" s="2">
        <v>47</v>
      </c>
      <c r="C927" s="2" t="s">
        <v>88</v>
      </c>
      <c r="D927" s="2">
        <v>7100</v>
      </c>
      <c r="E927" s="2">
        <v>6870</v>
      </c>
      <c r="F927" s="2"/>
      <c r="G927" s="2"/>
      <c r="H927" s="2"/>
      <c r="I927" s="2" t="s">
        <v>13</v>
      </c>
      <c r="J927" s="2">
        <v>1234</v>
      </c>
      <c r="K927" s="2"/>
      <c r="L927" s="2">
        <v>1086</v>
      </c>
      <c r="M927" s="2">
        <v>0.47199999999999998</v>
      </c>
      <c r="N927" s="2">
        <v>8.6809999999999992</v>
      </c>
      <c r="O927" s="2">
        <v>8.5250000000000004</v>
      </c>
      <c r="P927" s="7">
        <v>8.625</v>
      </c>
    </row>
    <row r="928" spans="1:16" x14ac:dyDescent="0.25">
      <c r="A928" s="8">
        <v>9.625</v>
      </c>
      <c r="B928" s="1">
        <v>47</v>
      </c>
      <c r="C928" s="1" t="s">
        <v>112</v>
      </c>
      <c r="D928" s="1">
        <v>4760</v>
      </c>
      <c r="E928" s="1">
        <v>6870</v>
      </c>
      <c r="F928" s="1"/>
      <c r="G928" s="1"/>
      <c r="H928" s="1"/>
      <c r="I928" s="1" t="s">
        <v>10</v>
      </c>
      <c r="J928" s="1">
        <v>905</v>
      </c>
      <c r="K928" s="1"/>
      <c r="L928" s="1">
        <v>1086</v>
      </c>
      <c r="M928" s="1">
        <v>0.47199999999999998</v>
      </c>
      <c r="N928" s="1">
        <v>8.6809999999999992</v>
      </c>
      <c r="O928" s="1">
        <v>8.5250000000000004</v>
      </c>
      <c r="P928" s="9">
        <v>8.625</v>
      </c>
    </row>
    <row r="929" spans="1:16" x14ac:dyDescent="0.25">
      <c r="A929" s="8">
        <v>9.625</v>
      </c>
      <c r="B929" s="1">
        <v>47</v>
      </c>
      <c r="C929" s="1" t="s">
        <v>112</v>
      </c>
      <c r="D929" s="1">
        <v>4760</v>
      </c>
      <c r="E929" s="1">
        <v>6870</v>
      </c>
      <c r="F929" s="1"/>
      <c r="G929" s="1"/>
      <c r="H929" s="1"/>
      <c r="I929" s="1" t="s">
        <v>13</v>
      </c>
      <c r="J929" s="1">
        <v>1161</v>
      </c>
      <c r="K929" s="1"/>
      <c r="L929" s="1">
        <v>1086</v>
      </c>
      <c r="M929" s="1">
        <v>0.47199999999999998</v>
      </c>
      <c r="N929" s="1">
        <v>8.6809999999999992</v>
      </c>
      <c r="O929" s="1">
        <v>8.5250000000000004</v>
      </c>
      <c r="P929" s="9">
        <v>8.625</v>
      </c>
    </row>
    <row r="930" spans="1:16" x14ac:dyDescent="0.25">
      <c r="A930" s="6">
        <v>9.625</v>
      </c>
      <c r="B930" s="2">
        <v>47</v>
      </c>
      <c r="C930" s="2" t="s">
        <v>93</v>
      </c>
      <c r="D930" s="2">
        <v>7100</v>
      </c>
      <c r="E930" s="2">
        <v>6870</v>
      </c>
      <c r="F930" s="2"/>
      <c r="G930" s="2"/>
      <c r="H930" s="2"/>
      <c r="I930" s="2" t="s">
        <v>10</v>
      </c>
      <c r="J930" s="2">
        <v>1027</v>
      </c>
      <c r="K930" s="2"/>
      <c r="L930" s="2">
        <v>1086</v>
      </c>
      <c r="M930" s="2">
        <v>0.47199999999999998</v>
      </c>
      <c r="N930" s="2">
        <v>8.6809999999999992</v>
      </c>
      <c r="O930" s="2">
        <v>8.5250000000000004</v>
      </c>
      <c r="P930" s="7">
        <v>8.625</v>
      </c>
    </row>
    <row r="931" spans="1:16" x14ac:dyDescent="0.25">
      <c r="A931" s="6">
        <v>9.625</v>
      </c>
      <c r="B931" s="2">
        <v>47</v>
      </c>
      <c r="C931" s="2" t="s">
        <v>93</v>
      </c>
      <c r="D931" s="2">
        <v>7100</v>
      </c>
      <c r="E931" s="2">
        <v>6870</v>
      </c>
      <c r="F931" s="2"/>
      <c r="G931" s="2"/>
      <c r="H931" s="2"/>
      <c r="I931" s="2" t="s">
        <v>13</v>
      </c>
      <c r="J931" s="2">
        <v>1234</v>
      </c>
      <c r="K931" s="2"/>
      <c r="L931" s="2">
        <v>1086</v>
      </c>
      <c r="M931" s="2">
        <v>0.47199999999999998</v>
      </c>
      <c r="N931" s="2">
        <v>8.6809999999999992</v>
      </c>
      <c r="O931" s="2">
        <v>8.5250000000000004</v>
      </c>
      <c r="P931" s="7">
        <v>8.625</v>
      </c>
    </row>
    <row r="932" spans="1:16" x14ac:dyDescent="0.25">
      <c r="A932" s="8">
        <v>9.625</v>
      </c>
      <c r="B932" s="1">
        <v>47</v>
      </c>
      <c r="C932" s="1" t="s">
        <v>68</v>
      </c>
      <c r="D932" s="1">
        <v>5000</v>
      </c>
      <c r="E932" s="1">
        <v>7720</v>
      </c>
      <c r="F932" s="1"/>
      <c r="G932" s="1"/>
      <c r="H932" s="1"/>
      <c r="I932" s="1" t="s">
        <v>10</v>
      </c>
      <c r="J932" s="1">
        <v>987</v>
      </c>
      <c r="K932" s="1"/>
      <c r="L932" s="1">
        <v>1221</v>
      </c>
      <c r="M932" s="1">
        <v>0.47199999999999998</v>
      </c>
      <c r="N932" s="1">
        <v>8.6809999999999992</v>
      </c>
      <c r="O932" s="1">
        <v>8.5250000000000004</v>
      </c>
      <c r="P932" s="9"/>
    </row>
    <row r="933" spans="1:16" x14ac:dyDescent="0.25">
      <c r="A933" s="8">
        <v>9.625</v>
      </c>
      <c r="B933" s="1">
        <v>47</v>
      </c>
      <c r="C933" s="1" t="s">
        <v>68</v>
      </c>
      <c r="D933" s="1">
        <v>5000</v>
      </c>
      <c r="E933" s="1">
        <v>7720</v>
      </c>
      <c r="F933" s="1"/>
      <c r="G933" s="1"/>
      <c r="H933" s="1"/>
      <c r="I933" s="1" t="s">
        <v>13</v>
      </c>
      <c r="J933" s="1">
        <v>1210</v>
      </c>
      <c r="K933" s="1"/>
      <c r="L933" s="1">
        <v>1221</v>
      </c>
      <c r="M933" s="1">
        <v>0.47199999999999998</v>
      </c>
      <c r="N933" s="1">
        <v>8.6809999999999992</v>
      </c>
      <c r="O933" s="1">
        <v>8.5250000000000004</v>
      </c>
      <c r="P933" s="9"/>
    </row>
    <row r="934" spans="1:16" x14ac:dyDescent="0.25">
      <c r="A934" s="6">
        <v>9.625</v>
      </c>
      <c r="B934" s="2">
        <v>47</v>
      </c>
      <c r="C934" s="2" t="s">
        <v>75</v>
      </c>
      <c r="D934" s="2">
        <v>7100</v>
      </c>
      <c r="E934" s="2">
        <v>7720</v>
      </c>
      <c r="F934" s="2"/>
      <c r="G934" s="2"/>
      <c r="H934" s="2"/>
      <c r="I934" s="2" t="s">
        <v>10</v>
      </c>
      <c r="J934" s="2">
        <v>1027</v>
      </c>
      <c r="K934" s="2"/>
      <c r="L934" s="2">
        <v>1221</v>
      </c>
      <c r="M934" s="2">
        <v>0.47199999999999998</v>
      </c>
      <c r="N934" s="2">
        <v>8.6809999999999992</v>
      </c>
      <c r="O934" s="2">
        <v>8.5250000000000004</v>
      </c>
      <c r="P934" s="7">
        <v>8.625</v>
      </c>
    </row>
    <row r="935" spans="1:16" x14ac:dyDescent="0.25">
      <c r="A935" s="6">
        <v>9.625</v>
      </c>
      <c r="B935" s="2">
        <v>47</v>
      </c>
      <c r="C935" s="2" t="s">
        <v>75</v>
      </c>
      <c r="D935" s="2">
        <v>7100</v>
      </c>
      <c r="E935" s="2">
        <v>7720</v>
      </c>
      <c r="F935" s="2"/>
      <c r="G935" s="2"/>
      <c r="H935" s="2"/>
      <c r="I935" s="2" t="s">
        <v>13</v>
      </c>
      <c r="J935" s="2">
        <v>1234</v>
      </c>
      <c r="K935" s="2"/>
      <c r="L935" s="2">
        <v>1221</v>
      </c>
      <c r="M935" s="2">
        <v>0.47199999999999998</v>
      </c>
      <c r="N935" s="2">
        <v>8.6809999999999992</v>
      </c>
      <c r="O935" s="2">
        <v>8.5250000000000004</v>
      </c>
      <c r="P935" s="7">
        <v>8.625</v>
      </c>
    </row>
    <row r="936" spans="1:16" x14ac:dyDescent="0.25">
      <c r="A936" s="8">
        <v>9.625</v>
      </c>
      <c r="B936" s="1">
        <v>47</v>
      </c>
      <c r="C936" s="1" t="s">
        <v>115</v>
      </c>
      <c r="D936" s="1">
        <v>7100</v>
      </c>
      <c r="E936" s="1">
        <v>8150</v>
      </c>
      <c r="F936" s="1"/>
      <c r="G936" s="1"/>
      <c r="H936" s="1"/>
      <c r="I936" s="1" t="s">
        <v>10</v>
      </c>
      <c r="J936" s="1">
        <v>1053</v>
      </c>
      <c r="K936" s="1"/>
      <c r="L936" s="1">
        <v>1289</v>
      </c>
      <c r="M936" s="1">
        <v>0.47199999999999998</v>
      </c>
      <c r="N936" s="1">
        <v>8.6809999999999992</v>
      </c>
      <c r="O936" s="1">
        <v>8.5250000000000004</v>
      </c>
      <c r="P936" s="9">
        <v>8.625</v>
      </c>
    </row>
    <row r="937" spans="1:16" x14ac:dyDescent="0.25">
      <c r="A937" s="8">
        <v>9.625</v>
      </c>
      <c r="B937" s="1">
        <v>47</v>
      </c>
      <c r="C937" s="1" t="s">
        <v>115</v>
      </c>
      <c r="D937" s="1">
        <v>7100</v>
      </c>
      <c r="E937" s="1">
        <v>8150</v>
      </c>
      <c r="F937" s="1"/>
      <c r="G937" s="1"/>
      <c r="H937" s="1"/>
      <c r="I937" s="1" t="s">
        <v>13</v>
      </c>
      <c r="J937" s="1">
        <v>1311</v>
      </c>
      <c r="K937" s="1"/>
      <c r="L937" s="1">
        <v>1289</v>
      </c>
      <c r="M937" s="1">
        <v>0.47199999999999998</v>
      </c>
      <c r="N937" s="1">
        <v>8.6809999999999992</v>
      </c>
      <c r="O937" s="1">
        <v>8.5250000000000004</v>
      </c>
      <c r="P937" s="9">
        <v>8.625</v>
      </c>
    </row>
    <row r="938" spans="1:16" x14ac:dyDescent="0.25">
      <c r="A938" s="6">
        <v>9.625</v>
      </c>
      <c r="B938" s="2">
        <v>47</v>
      </c>
      <c r="C938" s="2" t="s">
        <v>116</v>
      </c>
      <c r="D938" s="2">
        <v>5090</v>
      </c>
      <c r="E938" s="2">
        <v>8150</v>
      </c>
      <c r="F938" s="2"/>
      <c r="G938" s="2"/>
      <c r="H938" s="2"/>
      <c r="I938" s="2" t="s">
        <v>10</v>
      </c>
      <c r="J938" s="2">
        <v>1040</v>
      </c>
      <c r="K938" s="2"/>
      <c r="L938" s="2">
        <v>1289</v>
      </c>
      <c r="M938" s="2">
        <v>0.47199999999999998</v>
      </c>
      <c r="N938" s="2">
        <v>8.6809999999999992</v>
      </c>
      <c r="O938" s="2">
        <v>8.5250000000000004</v>
      </c>
      <c r="P938" s="7"/>
    </row>
    <row r="939" spans="1:16" x14ac:dyDescent="0.25">
      <c r="A939" s="6">
        <v>9.625</v>
      </c>
      <c r="B939" s="2">
        <v>47</v>
      </c>
      <c r="C939" s="2" t="s">
        <v>116</v>
      </c>
      <c r="D939" s="2">
        <v>5090</v>
      </c>
      <c r="E939" s="2">
        <v>8150</v>
      </c>
      <c r="F939" s="2"/>
      <c r="G939" s="2"/>
      <c r="H939" s="2"/>
      <c r="I939" s="2" t="s">
        <v>13</v>
      </c>
      <c r="J939" s="2">
        <v>1273</v>
      </c>
      <c r="K939" s="2"/>
      <c r="L939" s="2">
        <v>1289</v>
      </c>
      <c r="M939" s="2">
        <v>0.47199999999999998</v>
      </c>
      <c r="N939" s="2">
        <v>8.6809999999999992</v>
      </c>
      <c r="O939" s="2">
        <v>8.5250000000000004</v>
      </c>
      <c r="P939" s="7"/>
    </row>
    <row r="940" spans="1:16" x14ac:dyDescent="0.25">
      <c r="A940" s="8">
        <v>9.625</v>
      </c>
      <c r="B940" s="1">
        <v>47</v>
      </c>
      <c r="C940" s="1" t="s">
        <v>80</v>
      </c>
      <c r="D940" s="1">
        <v>7100</v>
      </c>
      <c r="E940" s="1">
        <v>8150</v>
      </c>
      <c r="F940" s="1"/>
      <c r="G940" s="1"/>
      <c r="H940" s="1"/>
      <c r="I940" s="1" t="s">
        <v>10</v>
      </c>
      <c r="J940" s="1">
        <v>1040</v>
      </c>
      <c r="K940" s="1"/>
      <c r="L940" s="1">
        <v>1289</v>
      </c>
      <c r="M940" s="1">
        <v>0.47199999999999998</v>
      </c>
      <c r="N940" s="1">
        <v>8.6809999999999992</v>
      </c>
      <c r="O940" s="1">
        <v>8.5250000000000004</v>
      </c>
      <c r="P940" s="9">
        <v>8.625</v>
      </c>
    </row>
    <row r="941" spans="1:16" x14ac:dyDescent="0.25">
      <c r="A941" s="8">
        <v>9.625</v>
      </c>
      <c r="B941" s="1">
        <v>47</v>
      </c>
      <c r="C941" s="1" t="s">
        <v>80</v>
      </c>
      <c r="D941" s="1">
        <v>7100</v>
      </c>
      <c r="E941" s="1">
        <v>8150</v>
      </c>
      <c r="F941" s="1"/>
      <c r="G941" s="1"/>
      <c r="H941" s="1"/>
      <c r="I941" s="1" t="s">
        <v>13</v>
      </c>
      <c r="J941" s="1">
        <v>1273</v>
      </c>
      <c r="K941" s="1"/>
      <c r="L941" s="1">
        <v>1289</v>
      </c>
      <c r="M941" s="1">
        <v>0.47199999999999998</v>
      </c>
      <c r="N941" s="1">
        <v>8.6809999999999992</v>
      </c>
      <c r="O941" s="1">
        <v>8.5250000000000004</v>
      </c>
      <c r="P941" s="9">
        <v>8.625</v>
      </c>
    </row>
    <row r="942" spans="1:16" x14ac:dyDescent="0.25">
      <c r="A942" s="6">
        <v>9.625</v>
      </c>
      <c r="B942" s="2">
        <v>47</v>
      </c>
      <c r="C942" s="2" t="s">
        <v>74</v>
      </c>
      <c r="D942" s="2">
        <v>5090</v>
      </c>
      <c r="E942" s="2">
        <v>8150</v>
      </c>
      <c r="F942" s="2"/>
      <c r="G942" s="2"/>
      <c r="H942" s="2"/>
      <c r="I942" s="2" t="s">
        <v>10</v>
      </c>
      <c r="J942" s="2">
        <v>1040</v>
      </c>
      <c r="K942" s="2"/>
      <c r="L942" s="2">
        <v>1289</v>
      </c>
      <c r="M942" s="2">
        <v>0.47199999999999998</v>
      </c>
      <c r="N942" s="2">
        <v>8.6809999999999992</v>
      </c>
      <c r="O942" s="2">
        <v>8.5250000000000004</v>
      </c>
      <c r="P942" s="7">
        <v>8.625</v>
      </c>
    </row>
    <row r="943" spans="1:16" x14ac:dyDescent="0.25">
      <c r="A943" s="6">
        <v>9.625</v>
      </c>
      <c r="B943" s="2">
        <v>47</v>
      </c>
      <c r="C943" s="2" t="s">
        <v>74</v>
      </c>
      <c r="D943" s="2">
        <v>5090</v>
      </c>
      <c r="E943" s="2">
        <v>8150</v>
      </c>
      <c r="F943" s="2"/>
      <c r="G943" s="2"/>
      <c r="H943" s="2"/>
      <c r="I943" s="2" t="s">
        <v>13</v>
      </c>
      <c r="J943" s="2">
        <v>1273</v>
      </c>
      <c r="K943" s="2"/>
      <c r="L943" s="2">
        <v>1289</v>
      </c>
      <c r="M943" s="2">
        <v>0.47199999999999998</v>
      </c>
      <c r="N943" s="2">
        <v>8.6809999999999992</v>
      </c>
      <c r="O943" s="2">
        <v>8.5250000000000004</v>
      </c>
      <c r="P943" s="7">
        <v>8.625</v>
      </c>
    </row>
    <row r="944" spans="1:16" x14ac:dyDescent="0.25">
      <c r="A944" s="8">
        <v>9.625</v>
      </c>
      <c r="B944" s="1">
        <v>47</v>
      </c>
      <c r="C944" s="1" t="s">
        <v>97</v>
      </c>
      <c r="D944" s="1">
        <v>7100</v>
      </c>
      <c r="E944" s="1">
        <v>9440</v>
      </c>
      <c r="F944" s="1"/>
      <c r="G944" s="1"/>
      <c r="H944" s="1"/>
      <c r="I944" s="1" t="s">
        <v>10</v>
      </c>
      <c r="J944" s="1">
        <v>1213</v>
      </c>
      <c r="K944" s="1"/>
      <c r="L944" s="1">
        <v>1493</v>
      </c>
      <c r="M944" s="1">
        <v>0.47199999999999998</v>
      </c>
      <c r="N944" s="1">
        <v>8.6809999999999992</v>
      </c>
      <c r="O944" s="1">
        <v>8.5250000000000004</v>
      </c>
      <c r="P944" s="9">
        <v>8.625</v>
      </c>
    </row>
    <row r="945" spans="1:16" x14ac:dyDescent="0.25">
      <c r="A945" s="8">
        <v>9.625</v>
      </c>
      <c r="B945" s="1">
        <v>47</v>
      </c>
      <c r="C945" s="1" t="s">
        <v>97</v>
      </c>
      <c r="D945" s="1">
        <v>7100</v>
      </c>
      <c r="E945" s="1">
        <v>9440</v>
      </c>
      <c r="F945" s="1"/>
      <c r="G945" s="1"/>
      <c r="H945" s="1"/>
      <c r="I945" s="1" t="s">
        <v>13</v>
      </c>
      <c r="J945" s="1">
        <v>1500</v>
      </c>
      <c r="K945" s="1"/>
      <c r="L945" s="1">
        <v>1493</v>
      </c>
      <c r="M945" s="1">
        <v>0.47199999999999998</v>
      </c>
      <c r="N945" s="1">
        <v>8.6809999999999992</v>
      </c>
      <c r="O945" s="1">
        <v>8.5250000000000004</v>
      </c>
      <c r="P945" s="9">
        <v>8.625</v>
      </c>
    </row>
    <row r="946" spans="1:16" x14ac:dyDescent="0.25">
      <c r="A946" s="6">
        <v>9.625</v>
      </c>
      <c r="B946" s="2">
        <v>47</v>
      </c>
      <c r="C946" s="2" t="s">
        <v>113</v>
      </c>
      <c r="D946" s="2">
        <v>5300</v>
      </c>
      <c r="E946" s="2">
        <v>9440</v>
      </c>
      <c r="F946" s="2"/>
      <c r="G946" s="2"/>
      <c r="H946" s="2"/>
      <c r="I946" s="2" t="s">
        <v>10</v>
      </c>
      <c r="J946" s="2">
        <v>1213</v>
      </c>
      <c r="K946" s="2"/>
      <c r="L946" s="2">
        <v>1493</v>
      </c>
      <c r="M946" s="2">
        <v>0.47199999999999998</v>
      </c>
      <c r="N946" s="2">
        <v>8.6809999999999992</v>
      </c>
      <c r="O946" s="2">
        <v>8.5250000000000004</v>
      </c>
      <c r="P946" s="7">
        <v>8.625</v>
      </c>
    </row>
    <row r="947" spans="1:16" x14ac:dyDescent="0.25">
      <c r="A947" s="6">
        <v>9.625</v>
      </c>
      <c r="B947" s="2">
        <v>47</v>
      </c>
      <c r="C947" s="2" t="s">
        <v>113</v>
      </c>
      <c r="D947" s="2">
        <v>5300</v>
      </c>
      <c r="E947" s="2">
        <v>9440</v>
      </c>
      <c r="F947" s="2"/>
      <c r="G947" s="2"/>
      <c r="H947" s="2"/>
      <c r="I947" s="2" t="s">
        <v>13</v>
      </c>
      <c r="J947" s="2">
        <v>1500</v>
      </c>
      <c r="K947" s="2"/>
      <c r="L947" s="2">
        <v>1493</v>
      </c>
      <c r="M947" s="2">
        <v>0.47199999999999998</v>
      </c>
      <c r="N947" s="2">
        <v>8.6809999999999992</v>
      </c>
      <c r="O947" s="2">
        <v>8.5250000000000004</v>
      </c>
      <c r="P947" s="7">
        <v>8.625</v>
      </c>
    </row>
    <row r="948" spans="1:16" x14ac:dyDescent="0.25">
      <c r="A948" s="8">
        <v>9.625</v>
      </c>
      <c r="B948" s="1">
        <v>47</v>
      </c>
      <c r="C948" s="1" t="s">
        <v>99</v>
      </c>
      <c r="D948" s="1">
        <v>7100</v>
      </c>
      <c r="E948" s="1">
        <v>10730</v>
      </c>
      <c r="F948" s="1"/>
      <c r="G948" s="1"/>
      <c r="H948" s="1"/>
      <c r="I948" s="1" t="s">
        <v>10</v>
      </c>
      <c r="J948" s="1">
        <v>1361</v>
      </c>
      <c r="K948" s="1"/>
      <c r="L948" s="1">
        <v>1697</v>
      </c>
      <c r="M948" s="1">
        <v>0.47199999999999998</v>
      </c>
      <c r="N948" s="1">
        <v>8.6809999999999992</v>
      </c>
      <c r="O948" s="1">
        <v>8.5250000000000004</v>
      </c>
      <c r="P948" s="9">
        <v>8.625</v>
      </c>
    </row>
    <row r="949" spans="1:16" x14ac:dyDescent="0.25">
      <c r="A949" s="8">
        <v>9.625</v>
      </c>
      <c r="B949" s="1">
        <v>47</v>
      </c>
      <c r="C949" s="1" t="s">
        <v>99</v>
      </c>
      <c r="D949" s="1">
        <v>7100</v>
      </c>
      <c r="E949" s="1">
        <v>10730</v>
      </c>
      <c r="F949" s="1"/>
      <c r="G949" s="1"/>
      <c r="H949" s="1"/>
      <c r="I949" s="1" t="s">
        <v>13</v>
      </c>
      <c r="J949" s="1">
        <v>1650</v>
      </c>
      <c r="K949" s="1"/>
      <c r="L949" s="1">
        <v>1697</v>
      </c>
      <c r="M949" s="1">
        <v>0.47199999999999998</v>
      </c>
      <c r="N949" s="1">
        <v>8.6809999999999992</v>
      </c>
      <c r="O949" s="1">
        <v>8.5250000000000004</v>
      </c>
      <c r="P949" s="9">
        <v>8.625</v>
      </c>
    </row>
    <row r="950" spans="1:16" x14ac:dyDescent="0.25">
      <c r="A950" s="6">
        <v>9.625</v>
      </c>
      <c r="B950" s="2">
        <v>47</v>
      </c>
      <c r="C950" s="2" t="s">
        <v>114</v>
      </c>
      <c r="D950" s="2">
        <v>5640</v>
      </c>
      <c r="E950" s="2">
        <v>10730</v>
      </c>
      <c r="F950" s="2"/>
      <c r="G950" s="2"/>
      <c r="H950" s="2"/>
      <c r="I950" s="2" t="s">
        <v>10</v>
      </c>
      <c r="J950" s="2">
        <v>1361</v>
      </c>
      <c r="K950" s="2"/>
      <c r="L950" s="2">
        <v>1697</v>
      </c>
      <c r="M950" s="2">
        <v>0.47199999999999998</v>
      </c>
      <c r="N950" s="2">
        <v>8.6809999999999992</v>
      </c>
      <c r="O950" s="2">
        <v>8.5250000000000004</v>
      </c>
      <c r="P950" s="7">
        <v>8.625</v>
      </c>
    </row>
    <row r="951" spans="1:16" x14ac:dyDescent="0.25">
      <c r="A951" s="6">
        <v>9.625</v>
      </c>
      <c r="B951" s="2">
        <v>47</v>
      </c>
      <c r="C951" s="2" t="s">
        <v>114</v>
      </c>
      <c r="D951" s="2">
        <v>5640</v>
      </c>
      <c r="E951" s="2">
        <v>10730</v>
      </c>
      <c r="F951" s="2"/>
      <c r="G951" s="2"/>
      <c r="H951" s="2"/>
      <c r="I951" s="2" t="s">
        <v>13</v>
      </c>
      <c r="J951" s="2">
        <v>1650</v>
      </c>
      <c r="K951" s="2"/>
      <c r="L951" s="2">
        <v>1697</v>
      </c>
      <c r="M951" s="2">
        <v>0.47199999999999998</v>
      </c>
      <c r="N951" s="2">
        <v>8.6809999999999992</v>
      </c>
      <c r="O951" s="2">
        <v>8.5250000000000004</v>
      </c>
      <c r="P951" s="7">
        <v>8.625</v>
      </c>
    </row>
    <row r="952" spans="1:16" x14ac:dyDescent="0.25">
      <c r="A952" s="8">
        <v>9.625</v>
      </c>
      <c r="B952" s="1">
        <v>53.5</v>
      </c>
      <c r="C952" s="1" t="s">
        <v>111</v>
      </c>
      <c r="D952" s="1">
        <v>6620</v>
      </c>
      <c r="E952" s="1">
        <v>7930</v>
      </c>
      <c r="F952" s="1"/>
      <c r="G952" s="1"/>
      <c r="H952" s="1"/>
      <c r="I952" s="1" t="s">
        <v>10</v>
      </c>
      <c r="J952" s="1">
        <v>1047</v>
      </c>
      <c r="K952" s="1"/>
      <c r="L952" s="1">
        <v>1244</v>
      </c>
      <c r="M952" s="1">
        <v>0.54500000000000004</v>
      </c>
      <c r="N952" s="1">
        <v>8.5350000000000001</v>
      </c>
      <c r="O952" s="1">
        <v>8.3789999999999996</v>
      </c>
      <c r="P952" s="9">
        <v>8.5</v>
      </c>
    </row>
    <row r="953" spans="1:16" x14ac:dyDescent="0.25">
      <c r="A953" s="8">
        <v>9.625</v>
      </c>
      <c r="B953" s="1">
        <v>53.5</v>
      </c>
      <c r="C953" s="1" t="s">
        <v>111</v>
      </c>
      <c r="D953" s="1">
        <v>6620</v>
      </c>
      <c r="E953" s="1">
        <v>7930</v>
      </c>
      <c r="F953" s="1"/>
      <c r="G953" s="1"/>
      <c r="H953" s="1"/>
      <c r="I953" s="1" t="s">
        <v>13</v>
      </c>
      <c r="J953" s="1">
        <v>1286</v>
      </c>
      <c r="K953" s="1"/>
      <c r="L953" s="1">
        <v>1244</v>
      </c>
      <c r="M953" s="1">
        <v>0.54500000000000004</v>
      </c>
      <c r="N953" s="1">
        <v>8.5350000000000001</v>
      </c>
      <c r="O953" s="1">
        <v>8.3789999999999996</v>
      </c>
      <c r="P953" s="9">
        <v>8.5</v>
      </c>
    </row>
    <row r="954" spans="1:16" x14ac:dyDescent="0.25">
      <c r="A954" s="6">
        <v>9.625</v>
      </c>
      <c r="B954" s="2">
        <v>53.5</v>
      </c>
      <c r="C954" s="2" t="s">
        <v>88</v>
      </c>
      <c r="D954" s="2">
        <v>8850</v>
      </c>
      <c r="E954" s="2">
        <v>7930</v>
      </c>
      <c r="F954" s="2"/>
      <c r="G954" s="2"/>
      <c r="H954" s="2"/>
      <c r="I954" s="2" t="s">
        <v>10</v>
      </c>
      <c r="J954" s="2">
        <v>1205</v>
      </c>
      <c r="K954" s="2"/>
      <c r="L954" s="2">
        <v>1244</v>
      </c>
      <c r="M954" s="2">
        <v>0.54500000000000004</v>
      </c>
      <c r="N954" s="2">
        <v>8.5350000000000001</v>
      </c>
      <c r="O954" s="2">
        <v>8.3789999999999996</v>
      </c>
      <c r="P954" s="7">
        <v>8.5</v>
      </c>
    </row>
    <row r="955" spans="1:16" x14ac:dyDescent="0.25">
      <c r="A955" s="6">
        <v>9.625</v>
      </c>
      <c r="B955" s="2">
        <v>53.5</v>
      </c>
      <c r="C955" s="2" t="s">
        <v>88</v>
      </c>
      <c r="D955" s="2">
        <v>8850</v>
      </c>
      <c r="E955" s="2">
        <v>7930</v>
      </c>
      <c r="F955" s="2"/>
      <c r="G955" s="2"/>
      <c r="H955" s="2"/>
      <c r="I955" s="2" t="s">
        <v>13</v>
      </c>
      <c r="J955" s="2">
        <v>1414</v>
      </c>
      <c r="K955" s="2"/>
      <c r="L955" s="2">
        <v>1244</v>
      </c>
      <c r="M955" s="2">
        <v>0.54500000000000004</v>
      </c>
      <c r="N955" s="2">
        <v>8.5350000000000001</v>
      </c>
      <c r="O955" s="2">
        <v>8.3789999999999996</v>
      </c>
      <c r="P955" s="7">
        <v>8.5</v>
      </c>
    </row>
    <row r="956" spans="1:16" x14ac:dyDescent="0.25">
      <c r="A956" s="8">
        <v>9.625</v>
      </c>
      <c r="B956" s="1">
        <v>53.5</v>
      </c>
      <c r="C956" s="1" t="s">
        <v>112</v>
      </c>
      <c r="D956" s="1">
        <v>6620</v>
      </c>
      <c r="E956" s="1">
        <v>7930</v>
      </c>
      <c r="F956" s="1"/>
      <c r="G956" s="1"/>
      <c r="H956" s="1"/>
      <c r="I956" s="1" t="s">
        <v>10</v>
      </c>
      <c r="J956" s="1">
        <v>1062</v>
      </c>
      <c r="K956" s="1"/>
      <c r="L956" s="1">
        <v>1244</v>
      </c>
      <c r="M956" s="1">
        <v>0.54500000000000004</v>
      </c>
      <c r="N956" s="1">
        <v>8.5350000000000001</v>
      </c>
      <c r="O956" s="1">
        <v>8.3789999999999996</v>
      </c>
      <c r="P956" s="9">
        <v>8.5</v>
      </c>
    </row>
    <row r="957" spans="1:16" x14ac:dyDescent="0.25">
      <c r="A957" s="8">
        <v>9.625</v>
      </c>
      <c r="B957" s="1">
        <v>53.5</v>
      </c>
      <c r="C957" s="1" t="s">
        <v>112</v>
      </c>
      <c r="D957" s="1">
        <v>6620</v>
      </c>
      <c r="E957" s="1">
        <v>7930</v>
      </c>
      <c r="F957" s="1"/>
      <c r="G957" s="1"/>
      <c r="H957" s="1"/>
      <c r="I957" s="1" t="s">
        <v>13</v>
      </c>
      <c r="J957" s="1">
        <v>1329</v>
      </c>
      <c r="K957" s="1"/>
      <c r="L957" s="1">
        <v>1244</v>
      </c>
      <c r="M957" s="1">
        <v>0.54500000000000004</v>
      </c>
      <c r="N957" s="1">
        <v>8.5350000000000001</v>
      </c>
      <c r="O957" s="1">
        <v>8.3789999999999996</v>
      </c>
      <c r="P957" s="9">
        <v>8.5</v>
      </c>
    </row>
    <row r="958" spans="1:16" x14ac:dyDescent="0.25">
      <c r="A958" s="6">
        <v>9.625</v>
      </c>
      <c r="B958" s="2">
        <v>53.5</v>
      </c>
      <c r="C958" s="2" t="s">
        <v>93</v>
      </c>
      <c r="D958" s="2">
        <v>8850</v>
      </c>
      <c r="E958" s="2">
        <v>7930</v>
      </c>
      <c r="F958" s="2"/>
      <c r="G958" s="2"/>
      <c r="H958" s="2"/>
      <c r="I958" s="2" t="s">
        <v>10</v>
      </c>
      <c r="J958" s="2">
        <v>1205</v>
      </c>
      <c r="K958" s="2"/>
      <c r="L958" s="2">
        <v>1244</v>
      </c>
      <c r="M958" s="2">
        <v>0.54500000000000004</v>
      </c>
      <c r="N958" s="2">
        <v>8.5350000000000001</v>
      </c>
      <c r="O958" s="2">
        <v>8.3789999999999996</v>
      </c>
      <c r="P958" s="7">
        <v>8.5</v>
      </c>
    </row>
    <row r="959" spans="1:16" x14ac:dyDescent="0.25">
      <c r="A959" s="6">
        <v>9.625</v>
      </c>
      <c r="B959" s="2">
        <v>53.5</v>
      </c>
      <c r="C959" s="2" t="s">
        <v>93</v>
      </c>
      <c r="D959" s="2">
        <v>8850</v>
      </c>
      <c r="E959" s="2">
        <v>7930</v>
      </c>
      <c r="F959" s="2"/>
      <c r="G959" s="2"/>
      <c r="H959" s="2"/>
      <c r="I959" s="2" t="s">
        <v>13</v>
      </c>
      <c r="J959" s="2">
        <v>1414</v>
      </c>
      <c r="K959" s="2"/>
      <c r="L959" s="2">
        <v>1244</v>
      </c>
      <c r="M959" s="2">
        <v>0.54500000000000004</v>
      </c>
      <c r="N959" s="2">
        <v>8.5350000000000001</v>
      </c>
      <c r="O959" s="2">
        <v>8.3789999999999996</v>
      </c>
      <c r="P959" s="7">
        <v>8.5</v>
      </c>
    </row>
    <row r="960" spans="1:16" x14ac:dyDescent="0.25">
      <c r="A960" s="8">
        <v>9.625</v>
      </c>
      <c r="B960" s="1">
        <v>53.5</v>
      </c>
      <c r="C960" s="1" t="s">
        <v>68</v>
      </c>
      <c r="D960" s="1">
        <v>7120</v>
      </c>
      <c r="E960" s="1">
        <v>8920</v>
      </c>
      <c r="F960" s="1"/>
      <c r="G960" s="1"/>
      <c r="H960" s="1"/>
      <c r="I960" s="1" t="s">
        <v>10</v>
      </c>
      <c r="J960" s="1">
        <v>1157</v>
      </c>
      <c r="K960" s="1"/>
      <c r="L960" s="1">
        <v>1399</v>
      </c>
      <c r="M960" s="1">
        <v>0.54500000000000004</v>
      </c>
      <c r="N960" s="1">
        <v>8.5350000000000001</v>
      </c>
      <c r="O960" s="1">
        <v>8.3789999999999996</v>
      </c>
      <c r="P960" s="9">
        <v>8.5</v>
      </c>
    </row>
    <row r="961" spans="1:16" x14ac:dyDescent="0.25">
      <c r="A961" s="8">
        <v>9.625</v>
      </c>
      <c r="B961" s="1">
        <v>53.5</v>
      </c>
      <c r="C961" s="1" t="s">
        <v>68</v>
      </c>
      <c r="D961" s="1">
        <v>7120</v>
      </c>
      <c r="E961" s="1">
        <v>8920</v>
      </c>
      <c r="F961" s="1"/>
      <c r="G961" s="1"/>
      <c r="H961" s="1"/>
      <c r="I961" s="1" t="s">
        <v>13</v>
      </c>
      <c r="J961" s="1">
        <v>1386</v>
      </c>
      <c r="K961" s="1"/>
      <c r="L961" s="1">
        <v>1399</v>
      </c>
      <c r="M961" s="1">
        <v>0.54500000000000004</v>
      </c>
      <c r="N961" s="1">
        <v>8.5350000000000001</v>
      </c>
      <c r="O961" s="1">
        <v>8.3789999999999996</v>
      </c>
      <c r="P961" s="9">
        <v>8.5</v>
      </c>
    </row>
    <row r="962" spans="1:16" x14ac:dyDescent="0.25">
      <c r="A962" s="6">
        <v>9.625</v>
      </c>
      <c r="B962" s="2">
        <v>53.5</v>
      </c>
      <c r="C962" s="2" t="s">
        <v>75</v>
      </c>
      <c r="D962" s="2">
        <v>8850</v>
      </c>
      <c r="E962" s="2">
        <v>8920</v>
      </c>
      <c r="F962" s="2"/>
      <c r="G962" s="2"/>
      <c r="H962" s="2"/>
      <c r="I962" s="2" t="s">
        <v>10</v>
      </c>
      <c r="J962" s="2">
        <v>1205</v>
      </c>
      <c r="K962" s="2"/>
      <c r="L962" s="2">
        <v>1399</v>
      </c>
      <c r="M962" s="2">
        <v>0.54500000000000004</v>
      </c>
      <c r="N962" s="2">
        <v>8.5350000000000001</v>
      </c>
      <c r="O962" s="2">
        <v>8.3789999999999996</v>
      </c>
      <c r="P962" s="7">
        <v>8.5</v>
      </c>
    </row>
    <row r="963" spans="1:16" x14ac:dyDescent="0.25">
      <c r="A963" s="6">
        <v>9.625</v>
      </c>
      <c r="B963" s="2">
        <v>53.5</v>
      </c>
      <c r="C963" s="2" t="s">
        <v>75</v>
      </c>
      <c r="D963" s="2">
        <v>8850</v>
      </c>
      <c r="E963" s="2">
        <v>8920</v>
      </c>
      <c r="F963" s="2"/>
      <c r="G963" s="2"/>
      <c r="H963" s="2"/>
      <c r="I963" s="2" t="s">
        <v>13</v>
      </c>
      <c r="J963" s="2">
        <v>1414</v>
      </c>
      <c r="K963" s="2"/>
      <c r="L963" s="2">
        <v>1399</v>
      </c>
      <c r="M963" s="2">
        <v>0.54500000000000004</v>
      </c>
      <c r="N963" s="2">
        <v>8.5350000000000001</v>
      </c>
      <c r="O963" s="2">
        <v>8.3789999999999996</v>
      </c>
      <c r="P963" s="7">
        <v>8.5</v>
      </c>
    </row>
    <row r="964" spans="1:16" x14ac:dyDescent="0.25">
      <c r="A964" s="8">
        <v>9.625</v>
      </c>
      <c r="B964" s="1">
        <v>53.5</v>
      </c>
      <c r="C964" s="1" t="s">
        <v>115</v>
      </c>
      <c r="D964" s="1">
        <v>8850</v>
      </c>
      <c r="E964" s="1">
        <v>9410</v>
      </c>
      <c r="F964" s="1"/>
      <c r="G964" s="1"/>
      <c r="H964" s="1"/>
      <c r="I964" s="1" t="s">
        <v>10</v>
      </c>
      <c r="J964" s="1">
        <v>1235</v>
      </c>
      <c r="K964" s="1"/>
      <c r="L964" s="1">
        <v>1477</v>
      </c>
      <c r="M964" s="1">
        <v>0.54500000000000004</v>
      </c>
      <c r="N964" s="1">
        <v>8.5350000000000001</v>
      </c>
      <c r="O964" s="1">
        <v>8.3789999999999996</v>
      </c>
      <c r="P964" s="9">
        <v>8.5</v>
      </c>
    </row>
    <row r="965" spans="1:16" x14ac:dyDescent="0.25">
      <c r="A965" s="8">
        <v>9.625</v>
      </c>
      <c r="B965" s="1">
        <v>53.5</v>
      </c>
      <c r="C965" s="1" t="s">
        <v>115</v>
      </c>
      <c r="D965" s="1">
        <v>8850</v>
      </c>
      <c r="E965" s="1">
        <v>9410</v>
      </c>
      <c r="F965" s="1"/>
      <c r="G965" s="1"/>
      <c r="H965" s="1"/>
      <c r="I965" s="1" t="s">
        <v>13</v>
      </c>
      <c r="J965" s="1">
        <v>1502</v>
      </c>
      <c r="K965" s="1"/>
      <c r="L965" s="1">
        <v>1477</v>
      </c>
      <c r="M965" s="1">
        <v>0.54500000000000004</v>
      </c>
      <c r="N965" s="1">
        <v>8.5350000000000001</v>
      </c>
      <c r="O965" s="1">
        <v>8.3789999999999996</v>
      </c>
      <c r="P965" s="9">
        <v>8.5</v>
      </c>
    </row>
    <row r="966" spans="1:16" x14ac:dyDescent="0.25">
      <c r="A966" s="6">
        <v>9.625</v>
      </c>
      <c r="B966" s="2">
        <v>53.5</v>
      </c>
      <c r="C966" s="2" t="s">
        <v>116</v>
      </c>
      <c r="D966" s="2">
        <v>7340</v>
      </c>
      <c r="E966" s="2">
        <v>9410</v>
      </c>
      <c r="F966" s="2"/>
      <c r="G966" s="2"/>
      <c r="H966" s="2"/>
      <c r="I966" s="2" t="s">
        <v>10</v>
      </c>
      <c r="J966" s="2">
        <v>1220</v>
      </c>
      <c r="K966" s="2"/>
      <c r="L966" s="2">
        <v>1477</v>
      </c>
      <c r="M966" s="2">
        <v>0.54500000000000004</v>
      </c>
      <c r="N966" s="2">
        <v>8.5350000000000001</v>
      </c>
      <c r="O966" s="2">
        <v>8.3789999999999996</v>
      </c>
      <c r="P966" s="7">
        <v>8.5</v>
      </c>
    </row>
    <row r="967" spans="1:16" x14ac:dyDescent="0.25">
      <c r="A967" s="6">
        <v>9.625</v>
      </c>
      <c r="B967" s="2">
        <v>53.5</v>
      </c>
      <c r="C967" s="2" t="s">
        <v>116</v>
      </c>
      <c r="D967" s="2">
        <v>7340</v>
      </c>
      <c r="E967" s="2">
        <v>9410</v>
      </c>
      <c r="F967" s="2"/>
      <c r="G967" s="2"/>
      <c r="H967" s="2"/>
      <c r="I967" s="2" t="s">
        <v>13</v>
      </c>
      <c r="J967" s="2">
        <v>1458</v>
      </c>
      <c r="K967" s="2"/>
      <c r="L967" s="2">
        <v>1477</v>
      </c>
      <c r="M967" s="2">
        <v>0.54500000000000004</v>
      </c>
      <c r="N967" s="2">
        <v>8.5350000000000001</v>
      </c>
      <c r="O967" s="2">
        <v>8.3789999999999996</v>
      </c>
      <c r="P967" s="7">
        <v>8.5</v>
      </c>
    </row>
    <row r="968" spans="1:16" x14ac:dyDescent="0.25">
      <c r="A968" s="8">
        <v>9.625</v>
      </c>
      <c r="B968" s="1">
        <v>53.5</v>
      </c>
      <c r="C968" s="1" t="s">
        <v>80</v>
      </c>
      <c r="D968" s="1">
        <v>8850</v>
      </c>
      <c r="E968" s="1">
        <v>9410</v>
      </c>
      <c r="F968" s="1"/>
      <c r="G968" s="1"/>
      <c r="H968" s="1"/>
      <c r="I968" s="1" t="s">
        <v>10</v>
      </c>
      <c r="J968" s="1">
        <v>1220</v>
      </c>
      <c r="K968" s="1"/>
      <c r="L968" s="1">
        <v>1477</v>
      </c>
      <c r="M968" s="1">
        <v>0.54500000000000004</v>
      </c>
      <c r="N968" s="1">
        <v>8.5350000000000001</v>
      </c>
      <c r="O968" s="1">
        <v>8.3789999999999996</v>
      </c>
      <c r="P968" s="9">
        <v>8.5</v>
      </c>
    </row>
    <row r="969" spans="1:16" x14ac:dyDescent="0.25">
      <c r="A969" s="8">
        <v>9.625</v>
      </c>
      <c r="B969" s="1">
        <v>53.5</v>
      </c>
      <c r="C969" s="1" t="s">
        <v>80</v>
      </c>
      <c r="D969" s="1">
        <v>8850</v>
      </c>
      <c r="E969" s="1">
        <v>9410</v>
      </c>
      <c r="F969" s="1"/>
      <c r="G969" s="1"/>
      <c r="H969" s="1"/>
      <c r="I969" s="1" t="s">
        <v>13</v>
      </c>
      <c r="J969" s="1">
        <v>1458</v>
      </c>
      <c r="K969" s="1"/>
      <c r="L969" s="1">
        <v>1477</v>
      </c>
      <c r="M969" s="1">
        <v>0.54500000000000004</v>
      </c>
      <c r="N969" s="1">
        <v>8.5350000000000001</v>
      </c>
      <c r="O969" s="1">
        <v>8.3789999999999996</v>
      </c>
      <c r="P969" s="9">
        <v>8.5</v>
      </c>
    </row>
    <row r="970" spans="1:16" x14ac:dyDescent="0.25">
      <c r="A970" s="6">
        <v>9.625</v>
      </c>
      <c r="B970" s="2">
        <v>53.5</v>
      </c>
      <c r="C970" s="2" t="s">
        <v>74</v>
      </c>
      <c r="D970" s="2">
        <v>7340</v>
      </c>
      <c r="E970" s="2">
        <v>9410</v>
      </c>
      <c r="F970" s="2"/>
      <c r="G970" s="2"/>
      <c r="H970" s="2"/>
      <c r="I970" s="2" t="s">
        <v>10</v>
      </c>
      <c r="J970" s="2">
        <v>1220</v>
      </c>
      <c r="K970" s="2"/>
      <c r="L970" s="2">
        <v>1477</v>
      </c>
      <c r="M970" s="2">
        <v>0.54500000000000004</v>
      </c>
      <c r="N970" s="2">
        <v>8.5350000000000001</v>
      </c>
      <c r="O970" s="2">
        <v>8.3789999999999996</v>
      </c>
      <c r="P970" s="7">
        <v>8.5</v>
      </c>
    </row>
    <row r="971" spans="1:16" x14ac:dyDescent="0.25">
      <c r="A971" s="6">
        <v>9.625</v>
      </c>
      <c r="B971" s="2">
        <v>53.5</v>
      </c>
      <c r="C971" s="2" t="s">
        <v>74</v>
      </c>
      <c r="D971" s="2">
        <v>7340</v>
      </c>
      <c r="E971" s="2">
        <v>9410</v>
      </c>
      <c r="F971" s="2"/>
      <c r="G971" s="2"/>
      <c r="H971" s="2"/>
      <c r="I971" s="2" t="s">
        <v>13</v>
      </c>
      <c r="J971" s="2">
        <v>1458</v>
      </c>
      <c r="K971" s="2"/>
      <c r="L971" s="2">
        <v>1477</v>
      </c>
      <c r="M971" s="2">
        <v>0.54500000000000004</v>
      </c>
      <c r="N971" s="2">
        <v>8.5350000000000001</v>
      </c>
      <c r="O971" s="2">
        <v>8.3789999999999996</v>
      </c>
      <c r="P971" s="7">
        <v>8.5</v>
      </c>
    </row>
    <row r="972" spans="1:16" x14ac:dyDescent="0.25">
      <c r="A972" s="8">
        <v>9.625</v>
      </c>
      <c r="B972" s="1">
        <v>53.5</v>
      </c>
      <c r="C972" s="1" t="s">
        <v>97</v>
      </c>
      <c r="D972" s="1">
        <v>8850</v>
      </c>
      <c r="E972" s="1">
        <v>10900</v>
      </c>
      <c r="F972" s="1"/>
      <c r="G972" s="1"/>
      <c r="H972" s="1"/>
      <c r="I972" s="1" t="s">
        <v>10</v>
      </c>
      <c r="J972" s="1">
        <v>1422</v>
      </c>
      <c r="K972" s="1"/>
      <c r="L972" s="1">
        <v>1710</v>
      </c>
      <c r="M972" s="1">
        <v>0.54500000000000004</v>
      </c>
      <c r="N972" s="1">
        <v>8.5350000000000001</v>
      </c>
      <c r="O972" s="1">
        <v>8.3789999999999996</v>
      </c>
      <c r="P972" s="9">
        <v>8.5</v>
      </c>
    </row>
    <row r="973" spans="1:16" x14ac:dyDescent="0.25">
      <c r="A973" s="8">
        <v>9.625</v>
      </c>
      <c r="B973" s="1">
        <v>53.5</v>
      </c>
      <c r="C973" s="1" t="s">
        <v>97</v>
      </c>
      <c r="D973" s="1">
        <v>8850</v>
      </c>
      <c r="E973" s="1">
        <v>10900</v>
      </c>
      <c r="F973" s="1"/>
      <c r="G973" s="1"/>
      <c r="H973" s="1"/>
      <c r="I973" s="1" t="s">
        <v>13</v>
      </c>
      <c r="J973" s="1">
        <v>1718</v>
      </c>
      <c r="K973" s="1"/>
      <c r="L973" s="1">
        <v>1710</v>
      </c>
      <c r="M973" s="1">
        <v>0.54500000000000004</v>
      </c>
      <c r="N973" s="1">
        <v>8.5350000000000001</v>
      </c>
      <c r="O973" s="1">
        <v>8.3789999999999996</v>
      </c>
      <c r="P973" s="9">
        <v>8.5</v>
      </c>
    </row>
    <row r="974" spans="1:16" x14ac:dyDescent="0.25">
      <c r="A974" s="6">
        <v>9.625</v>
      </c>
      <c r="B974" s="2">
        <v>53.5</v>
      </c>
      <c r="C974" s="2" t="s">
        <v>113</v>
      </c>
      <c r="D974" s="2">
        <v>7950</v>
      </c>
      <c r="E974" s="2">
        <v>10900</v>
      </c>
      <c r="F974" s="2"/>
      <c r="G974" s="2"/>
      <c r="H974" s="2"/>
      <c r="I974" s="2" t="s">
        <v>10</v>
      </c>
      <c r="J974" s="2">
        <v>1422</v>
      </c>
      <c r="K974" s="2"/>
      <c r="L974" s="2">
        <v>1710</v>
      </c>
      <c r="M974" s="2">
        <v>0.54500000000000004</v>
      </c>
      <c r="N974" s="2">
        <v>8.5350000000000001</v>
      </c>
      <c r="O974" s="2">
        <v>8.3789999999999996</v>
      </c>
      <c r="P974" s="7">
        <v>8.5</v>
      </c>
    </row>
    <row r="975" spans="1:16" x14ac:dyDescent="0.25">
      <c r="A975" s="6">
        <v>9.625</v>
      </c>
      <c r="B975" s="2">
        <v>53.5</v>
      </c>
      <c r="C975" s="2" t="s">
        <v>113</v>
      </c>
      <c r="D975" s="2">
        <v>7950</v>
      </c>
      <c r="E975" s="2">
        <v>10900</v>
      </c>
      <c r="F975" s="2"/>
      <c r="G975" s="2"/>
      <c r="H975" s="2"/>
      <c r="I975" s="2" t="s">
        <v>13</v>
      </c>
      <c r="J975" s="2">
        <v>1718</v>
      </c>
      <c r="K975" s="2"/>
      <c r="L975" s="2">
        <v>1710</v>
      </c>
      <c r="M975" s="2">
        <v>0.54500000000000004</v>
      </c>
      <c r="N975" s="2">
        <v>8.5350000000000001</v>
      </c>
      <c r="O975" s="2">
        <v>8.3789999999999996</v>
      </c>
      <c r="P975" s="7">
        <v>8.5</v>
      </c>
    </row>
    <row r="976" spans="1:16" x14ac:dyDescent="0.25">
      <c r="A976" s="8">
        <v>9.625</v>
      </c>
      <c r="B976" s="1">
        <v>53.5</v>
      </c>
      <c r="C976" s="1" t="s">
        <v>99</v>
      </c>
      <c r="D976" s="1">
        <v>8850</v>
      </c>
      <c r="E976" s="1">
        <v>12390</v>
      </c>
      <c r="F976" s="1"/>
      <c r="G976" s="1"/>
      <c r="H976" s="1"/>
      <c r="I976" s="1" t="s">
        <v>10</v>
      </c>
      <c r="J976" s="1">
        <v>1595</v>
      </c>
      <c r="K976" s="1"/>
      <c r="L976" s="1">
        <v>1943</v>
      </c>
      <c r="M976" s="1">
        <v>0.54500000000000004</v>
      </c>
      <c r="N976" s="1">
        <v>8.5350000000000001</v>
      </c>
      <c r="O976" s="1">
        <v>8.3789999999999996</v>
      </c>
      <c r="P976" s="9">
        <v>8.5</v>
      </c>
    </row>
    <row r="977" spans="1:16" x14ac:dyDescent="0.25">
      <c r="A977" s="8">
        <v>9.625</v>
      </c>
      <c r="B977" s="1">
        <v>53.5</v>
      </c>
      <c r="C977" s="1" t="s">
        <v>99</v>
      </c>
      <c r="D977" s="1">
        <v>8850</v>
      </c>
      <c r="E977" s="1">
        <v>12390</v>
      </c>
      <c r="F977" s="1"/>
      <c r="G977" s="1"/>
      <c r="H977" s="1"/>
      <c r="I977" s="1" t="s">
        <v>13</v>
      </c>
      <c r="J977" s="1">
        <v>1890</v>
      </c>
      <c r="K977" s="1"/>
      <c r="L977" s="1">
        <v>1943</v>
      </c>
      <c r="M977" s="1">
        <v>0.54500000000000004</v>
      </c>
      <c r="N977" s="1">
        <v>8.5350000000000001</v>
      </c>
      <c r="O977" s="1">
        <v>8.3789999999999996</v>
      </c>
      <c r="P977" s="9">
        <v>8.5</v>
      </c>
    </row>
    <row r="978" spans="1:16" x14ac:dyDescent="0.25">
      <c r="A978" s="6">
        <v>9.625</v>
      </c>
      <c r="B978" s="2">
        <v>53.5</v>
      </c>
      <c r="C978" s="2" t="s">
        <v>114</v>
      </c>
      <c r="D978" s="2">
        <v>8440</v>
      </c>
      <c r="E978" s="2">
        <v>12390</v>
      </c>
      <c r="F978" s="2"/>
      <c r="G978" s="2"/>
      <c r="H978" s="2"/>
      <c r="I978" s="2" t="s">
        <v>10</v>
      </c>
      <c r="J978" s="2">
        <v>1595</v>
      </c>
      <c r="K978" s="2"/>
      <c r="L978" s="2">
        <v>1943</v>
      </c>
      <c r="M978" s="2">
        <v>0.54500000000000004</v>
      </c>
      <c r="N978" s="2">
        <v>8.5350000000000001</v>
      </c>
      <c r="O978" s="2">
        <v>8.3789999999999996</v>
      </c>
      <c r="P978" s="7">
        <v>8.5</v>
      </c>
    </row>
    <row r="979" spans="1:16" x14ac:dyDescent="0.25">
      <c r="A979" s="6">
        <v>9.625</v>
      </c>
      <c r="B979" s="2">
        <v>53.5</v>
      </c>
      <c r="C979" s="2" t="s">
        <v>114</v>
      </c>
      <c r="D979" s="2">
        <v>8440</v>
      </c>
      <c r="E979" s="2">
        <v>12390</v>
      </c>
      <c r="F979" s="2"/>
      <c r="G979" s="2"/>
      <c r="H979" s="2"/>
      <c r="I979" s="2" t="s">
        <v>13</v>
      </c>
      <c r="J979" s="2">
        <v>1890</v>
      </c>
      <c r="K979" s="2"/>
      <c r="L979" s="2">
        <v>1943</v>
      </c>
      <c r="M979" s="2">
        <v>0.54500000000000004</v>
      </c>
      <c r="N979" s="2">
        <v>8.5350000000000001</v>
      </c>
      <c r="O979" s="2">
        <v>8.3789999999999996</v>
      </c>
      <c r="P979" s="7">
        <v>8.5</v>
      </c>
    </row>
    <row r="980" spans="1:16" x14ac:dyDescent="0.25">
      <c r="A980" s="8">
        <v>9.625</v>
      </c>
      <c r="B980" s="1">
        <v>53.5</v>
      </c>
      <c r="C980" s="1" t="s">
        <v>117</v>
      </c>
      <c r="D980" s="1">
        <v>8960</v>
      </c>
      <c r="E980" s="1">
        <v>14860</v>
      </c>
      <c r="F980" s="1"/>
      <c r="G980" s="1"/>
      <c r="H980" s="1"/>
      <c r="I980" s="1" t="s">
        <v>10</v>
      </c>
      <c r="J980" s="1">
        <v>1909</v>
      </c>
      <c r="K980" s="1"/>
      <c r="L980" s="1">
        <v>2332</v>
      </c>
      <c r="M980" s="1">
        <v>0.54500000000000004</v>
      </c>
      <c r="N980" s="1">
        <v>8.5350000000000001</v>
      </c>
      <c r="O980" s="1">
        <v>8.3789999999999996</v>
      </c>
      <c r="P980" s="9">
        <v>8.5</v>
      </c>
    </row>
    <row r="981" spans="1:16" x14ac:dyDescent="0.25">
      <c r="A981" s="8">
        <v>9.625</v>
      </c>
      <c r="B981" s="1">
        <v>53.5</v>
      </c>
      <c r="C981" s="1" t="s">
        <v>117</v>
      </c>
      <c r="D981" s="1">
        <v>8960</v>
      </c>
      <c r="E981" s="1">
        <v>14860</v>
      </c>
      <c r="F981" s="1"/>
      <c r="G981" s="1"/>
      <c r="H981" s="1"/>
      <c r="I981" s="1" t="s">
        <v>13</v>
      </c>
      <c r="J981" s="1">
        <v>2251</v>
      </c>
      <c r="K981" s="1"/>
      <c r="L981" s="1">
        <v>2332</v>
      </c>
      <c r="M981" s="1">
        <v>0.54500000000000004</v>
      </c>
      <c r="N981" s="1">
        <v>8.5350000000000001</v>
      </c>
      <c r="O981" s="1">
        <v>8.3789999999999996</v>
      </c>
      <c r="P981" s="9">
        <v>8.5</v>
      </c>
    </row>
    <row r="982" spans="1:16" x14ac:dyDescent="0.25">
      <c r="A982" s="6">
        <v>9.625</v>
      </c>
      <c r="B982" s="2">
        <v>58.4</v>
      </c>
      <c r="C982" s="2" t="s">
        <v>111</v>
      </c>
      <c r="D982" s="2">
        <v>7890</v>
      </c>
      <c r="E982" s="2">
        <v>8650</v>
      </c>
      <c r="F982" s="2"/>
      <c r="G982" s="2"/>
      <c r="H982" s="2"/>
      <c r="I982" s="2" t="s">
        <v>10</v>
      </c>
      <c r="J982" s="2">
        <v>1151</v>
      </c>
      <c r="K982" s="2"/>
      <c r="L982" s="2">
        <v>1350</v>
      </c>
      <c r="M982" s="2">
        <v>0.59499999999999997</v>
      </c>
      <c r="N982" s="2">
        <v>8.4350000000000005</v>
      </c>
      <c r="O982" s="2">
        <v>8.2789999999999999</v>
      </c>
      <c r="P982" s="7">
        <v>8.375</v>
      </c>
    </row>
    <row r="983" spans="1:16" x14ac:dyDescent="0.25">
      <c r="A983" s="6">
        <v>9.625</v>
      </c>
      <c r="B983" s="2">
        <v>58.4</v>
      </c>
      <c r="C983" s="2" t="s">
        <v>111</v>
      </c>
      <c r="D983" s="2">
        <v>7890</v>
      </c>
      <c r="E983" s="2">
        <v>8650</v>
      </c>
      <c r="F983" s="2"/>
      <c r="G983" s="2"/>
      <c r="H983" s="2"/>
      <c r="I983" s="2" t="s">
        <v>13</v>
      </c>
      <c r="J983" s="2">
        <v>1396</v>
      </c>
      <c r="K983" s="2"/>
      <c r="L983" s="2">
        <v>1350</v>
      </c>
      <c r="M983" s="2">
        <v>0.59499999999999997</v>
      </c>
      <c r="N983" s="2">
        <v>8.4350000000000005</v>
      </c>
      <c r="O983" s="2">
        <v>8.2789999999999999</v>
      </c>
      <c r="P983" s="7">
        <v>8.375</v>
      </c>
    </row>
    <row r="984" spans="1:16" x14ac:dyDescent="0.25">
      <c r="A984" s="8">
        <v>9.625</v>
      </c>
      <c r="B984" s="1">
        <v>58.4</v>
      </c>
      <c r="C984" s="1" t="s">
        <v>112</v>
      </c>
      <c r="D984" s="1">
        <v>7890</v>
      </c>
      <c r="E984" s="1">
        <v>8650</v>
      </c>
      <c r="F984" s="1"/>
      <c r="G984" s="1"/>
      <c r="H984" s="1"/>
      <c r="I984" s="1" t="s">
        <v>10</v>
      </c>
      <c r="J984" s="1">
        <v>1167</v>
      </c>
      <c r="K984" s="1"/>
      <c r="L984" s="1">
        <v>1350</v>
      </c>
      <c r="M984" s="1">
        <v>0.59499999999999997</v>
      </c>
      <c r="N984" s="1">
        <v>8.4350000000000005</v>
      </c>
      <c r="O984" s="1">
        <v>8.2789999999999999</v>
      </c>
      <c r="P984" s="9">
        <v>8.375</v>
      </c>
    </row>
    <row r="985" spans="1:16" x14ac:dyDescent="0.25">
      <c r="A985" s="8">
        <v>9.625</v>
      </c>
      <c r="B985" s="1">
        <v>58.4</v>
      </c>
      <c r="C985" s="1" t="s">
        <v>112</v>
      </c>
      <c r="D985" s="1">
        <v>7890</v>
      </c>
      <c r="E985" s="1">
        <v>8650</v>
      </c>
      <c r="F985" s="1"/>
      <c r="G985" s="1"/>
      <c r="H985" s="1"/>
      <c r="I985" s="1" t="s">
        <v>13</v>
      </c>
      <c r="J985" s="1">
        <v>1443</v>
      </c>
      <c r="K985" s="1"/>
      <c r="L985" s="1">
        <v>1350</v>
      </c>
      <c r="M985" s="1">
        <v>0.59499999999999997</v>
      </c>
      <c r="N985" s="1">
        <v>8.4350000000000005</v>
      </c>
      <c r="O985" s="1">
        <v>8.2789999999999999</v>
      </c>
      <c r="P985" s="9">
        <v>8.375</v>
      </c>
    </row>
    <row r="986" spans="1:16" x14ac:dyDescent="0.25">
      <c r="A986" s="6">
        <v>9.625</v>
      </c>
      <c r="B986" s="2">
        <v>58.4</v>
      </c>
      <c r="C986" s="2" t="s">
        <v>68</v>
      </c>
      <c r="D986" s="2">
        <v>8560</v>
      </c>
      <c r="E986" s="2">
        <v>9740</v>
      </c>
      <c r="F986" s="2"/>
      <c r="G986" s="2"/>
      <c r="H986" s="2"/>
      <c r="I986" s="2" t="s">
        <v>10</v>
      </c>
      <c r="J986" s="2">
        <v>1272</v>
      </c>
      <c r="K986" s="2"/>
      <c r="L986" s="2">
        <v>1519</v>
      </c>
      <c r="M986" s="2">
        <v>0.59499999999999997</v>
      </c>
      <c r="N986" s="2">
        <v>8.4350000000000005</v>
      </c>
      <c r="O986" s="2">
        <v>8.2789999999999999</v>
      </c>
      <c r="P986" s="7">
        <v>8.375</v>
      </c>
    </row>
    <row r="987" spans="1:16" x14ac:dyDescent="0.25">
      <c r="A987" s="6">
        <v>9.625</v>
      </c>
      <c r="B987" s="2">
        <v>58.4</v>
      </c>
      <c r="C987" s="2" t="s">
        <v>68</v>
      </c>
      <c r="D987" s="2">
        <v>8560</v>
      </c>
      <c r="E987" s="2">
        <v>9740</v>
      </c>
      <c r="F987" s="2"/>
      <c r="G987" s="2"/>
      <c r="H987" s="2"/>
      <c r="I987" s="2" t="s">
        <v>13</v>
      </c>
      <c r="J987" s="2">
        <v>1504</v>
      </c>
      <c r="K987" s="2"/>
      <c r="L987" s="2">
        <v>1519</v>
      </c>
      <c r="M987" s="2">
        <v>0.59499999999999997</v>
      </c>
      <c r="N987" s="2">
        <v>8.4350000000000005</v>
      </c>
      <c r="O987" s="2">
        <v>8.2789999999999999</v>
      </c>
      <c r="P987" s="7">
        <v>8.375</v>
      </c>
    </row>
    <row r="988" spans="1:16" x14ac:dyDescent="0.25">
      <c r="A988" s="8">
        <v>9.625</v>
      </c>
      <c r="B988" s="1">
        <v>58.4</v>
      </c>
      <c r="C988" s="1" t="s">
        <v>116</v>
      </c>
      <c r="D988" s="1">
        <v>8880</v>
      </c>
      <c r="E988" s="1">
        <v>10280</v>
      </c>
      <c r="F988" s="1"/>
      <c r="G988" s="1"/>
      <c r="H988" s="1"/>
      <c r="I988" s="1" t="s">
        <v>10</v>
      </c>
      <c r="J988" s="1">
        <v>1341</v>
      </c>
      <c r="K988" s="1"/>
      <c r="L988" s="1">
        <v>1604</v>
      </c>
      <c r="M988" s="1">
        <v>0.59499999999999997</v>
      </c>
      <c r="N988" s="1">
        <v>8.4350000000000005</v>
      </c>
      <c r="O988" s="1">
        <v>8.2789999999999999</v>
      </c>
      <c r="P988" s="9">
        <v>8.375</v>
      </c>
    </row>
    <row r="989" spans="1:16" x14ac:dyDescent="0.25">
      <c r="A989" s="8">
        <v>9.625</v>
      </c>
      <c r="B989" s="1">
        <v>58.4</v>
      </c>
      <c r="C989" s="1" t="s">
        <v>116</v>
      </c>
      <c r="D989" s="1">
        <v>8880</v>
      </c>
      <c r="E989" s="1">
        <v>10280</v>
      </c>
      <c r="F989" s="1"/>
      <c r="G989" s="1"/>
      <c r="H989" s="1"/>
      <c r="I989" s="1" t="s">
        <v>13</v>
      </c>
      <c r="J989" s="1">
        <v>1583</v>
      </c>
      <c r="K989" s="1"/>
      <c r="L989" s="1">
        <v>1604</v>
      </c>
      <c r="M989" s="1">
        <v>0.59499999999999997</v>
      </c>
      <c r="N989" s="1">
        <v>8.4350000000000005</v>
      </c>
      <c r="O989" s="1">
        <v>8.2789999999999999</v>
      </c>
      <c r="P989" s="9">
        <v>8.375</v>
      </c>
    </row>
    <row r="990" spans="1:16" x14ac:dyDescent="0.25">
      <c r="A990" s="6">
        <v>9.625</v>
      </c>
      <c r="B990" s="2">
        <v>58.4</v>
      </c>
      <c r="C990" s="2" t="s">
        <v>74</v>
      </c>
      <c r="D990" s="2">
        <v>8880</v>
      </c>
      <c r="E990" s="2">
        <v>10280</v>
      </c>
      <c r="F990" s="2"/>
      <c r="G990" s="2"/>
      <c r="H990" s="2"/>
      <c r="I990" s="2" t="s">
        <v>10</v>
      </c>
      <c r="J990" s="2">
        <v>1341</v>
      </c>
      <c r="K990" s="2"/>
      <c r="L990" s="2">
        <v>1604</v>
      </c>
      <c r="M990" s="2">
        <v>0.59499999999999997</v>
      </c>
      <c r="N990" s="2">
        <v>8.4350000000000005</v>
      </c>
      <c r="O990" s="2">
        <v>8.2789999999999999</v>
      </c>
      <c r="P990" s="7">
        <v>8.375</v>
      </c>
    </row>
    <row r="991" spans="1:16" x14ac:dyDescent="0.25">
      <c r="A991" s="6">
        <v>9.625</v>
      </c>
      <c r="B991" s="2">
        <v>58.4</v>
      </c>
      <c r="C991" s="2" t="s">
        <v>74</v>
      </c>
      <c r="D991" s="2">
        <v>8880</v>
      </c>
      <c r="E991" s="2">
        <v>10280</v>
      </c>
      <c r="F991" s="2"/>
      <c r="G991" s="2"/>
      <c r="H991" s="2"/>
      <c r="I991" s="2" t="s">
        <v>13</v>
      </c>
      <c r="J991" s="2">
        <v>1583</v>
      </c>
      <c r="K991" s="2"/>
      <c r="L991" s="2">
        <v>1604</v>
      </c>
      <c r="M991" s="2">
        <v>0.59499999999999997</v>
      </c>
      <c r="N991" s="2">
        <v>8.4350000000000005</v>
      </c>
      <c r="O991" s="2">
        <v>8.2789999999999999</v>
      </c>
      <c r="P991" s="7">
        <v>8.375</v>
      </c>
    </row>
    <row r="992" spans="1:16" x14ac:dyDescent="0.25">
      <c r="A992" s="8">
        <v>9.625</v>
      </c>
      <c r="B992" s="1">
        <v>58.4</v>
      </c>
      <c r="C992" s="1" t="s">
        <v>113</v>
      </c>
      <c r="D992" s="1">
        <v>9760</v>
      </c>
      <c r="E992" s="1">
        <v>11900</v>
      </c>
      <c r="F992" s="1"/>
      <c r="G992" s="1"/>
      <c r="H992" s="1"/>
      <c r="I992" s="1" t="s">
        <v>10</v>
      </c>
      <c r="J992" s="1">
        <v>1564</v>
      </c>
      <c r="K992" s="1"/>
      <c r="L992" s="1">
        <v>1857</v>
      </c>
      <c r="M992" s="1">
        <v>0.59499999999999997</v>
      </c>
      <c r="N992" s="1">
        <v>8.4350000000000005</v>
      </c>
      <c r="O992" s="1">
        <v>8.2789999999999999</v>
      </c>
      <c r="P992" s="9">
        <v>8.375</v>
      </c>
    </row>
    <row r="993" spans="1:16" x14ac:dyDescent="0.25">
      <c r="A993" s="8">
        <v>9.625</v>
      </c>
      <c r="B993" s="1">
        <v>58.4</v>
      </c>
      <c r="C993" s="1" t="s">
        <v>113</v>
      </c>
      <c r="D993" s="1">
        <v>9760</v>
      </c>
      <c r="E993" s="1">
        <v>11900</v>
      </c>
      <c r="F993" s="1"/>
      <c r="G993" s="1"/>
      <c r="H993" s="1"/>
      <c r="I993" s="1" t="s">
        <v>13</v>
      </c>
      <c r="J993" s="1">
        <v>1865</v>
      </c>
      <c r="K993" s="1"/>
      <c r="L993" s="1">
        <v>1857</v>
      </c>
      <c r="M993" s="1">
        <v>0.59499999999999997</v>
      </c>
      <c r="N993" s="1">
        <v>8.4350000000000005</v>
      </c>
      <c r="O993" s="1">
        <v>8.2789999999999999</v>
      </c>
      <c r="P993" s="9">
        <v>8.375</v>
      </c>
    </row>
    <row r="994" spans="1:16" x14ac:dyDescent="0.25">
      <c r="A994" s="6">
        <v>9.625</v>
      </c>
      <c r="B994" s="2">
        <v>58.4</v>
      </c>
      <c r="C994" s="2" t="s">
        <v>114</v>
      </c>
      <c r="D994" s="2">
        <v>10530</v>
      </c>
      <c r="E994" s="2">
        <v>13520</v>
      </c>
      <c r="F994" s="2"/>
      <c r="G994" s="2"/>
      <c r="H994" s="2"/>
      <c r="I994" s="2" t="s">
        <v>10</v>
      </c>
      <c r="J994" s="2">
        <v>1754</v>
      </c>
      <c r="K994" s="2"/>
      <c r="L994" s="2">
        <v>2110</v>
      </c>
      <c r="M994" s="2">
        <v>0.59499999999999997</v>
      </c>
      <c r="N994" s="2">
        <v>8.4350000000000005</v>
      </c>
      <c r="O994" s="2">
        <v>8.2789999999999999</v>
      </c>
      <c r="P994" s="7">
        <v>8.375</v>
      </c>
    </row>
    <row r="995" spans="1:16" x14ac:dyDescent="0.25">
      <c r="A995" s="6">
        <v>9.625</v>
      </c>
      <c r="B995" s="2">
        <v>58.4</v>
      </c>
      <c r="C995" s="2" t="s">
        <v>114</v>
      </c>
      <c r="D995" s="2">
        <v>10530</v>
      </c>
      <c r="E995" s="2">
        <v>13520</v>
      </c>
      <c r="F995" s="2"/>
      <c r="G995" s="2"/>
      <c r="H995" s="2"/>
      <c r="I995" s="2" t="s">
        <v>13</v>
      </c>
      <c r="J995" s="2">
        <v>2052</v>
      </c>
      <c r="K995" s="2"/>
      <c r="L995" s="2">
        <v>2110</v>
      </c>
      <c r="M995" s="2">
        <v>0.59499999999999997</v>
      </c>
      <c r="N995" s="2">
        <v>8.4350000000000005</v>
      </c>
      <c r="O995" s="2">
        <v>8.2789999999999999</v>
      </c>
      <c r="P995" s="7">
        <v>8.375</v>
      </c>
    </row>
    <row r="996" spans="1:16" x14ac:dyDescent="0.25">
      <c r="A996" s="8">
        <v>9.625</v>
      </c>
      <c r="B996" s="1">
        <v>59.4</v>
      </c>
      <c r="C996" s="1" t="s">
        <v>68</v>
      </c>
      <c r="D996" s="1">
        <v>8980</v>
      </c>
      <c r="E996" s="1">
        <v>9970</v>
      </c>
      <c r="F996" s="1"/>
      <c r="G996" s="1"/>
      <c r="H996" s="1"/>
      <c r="I996" s="1" t="s">
        <v>79</v>
      </c>
      <c r="J996" s="1">
        <v>1553</v>
      </c>
      <c r="K996" s="1"/>
      <c r="L996" s="1">
        <v>1553</v>
      </c>
      <c r="M996" s="1">
        <v>0.60899999999999999</v>
      </c>
      <c r="N996" s="1">
        <v>8.407</v>
      </c>
      <c r="O996" s="1">
        <v>8.2509999999999994</v>
      </c>
      <c r="P996" s="9"/>
    </row>
    <row r="997" spans="1:16" x14ac:dyDescent="0.25">
      <c r="A997" s="6">
        <v>9.625</v>
      </c>
      <c r="B997" s="2">
        <v>59.4</v>
      </c>
      <c r="C997" s="2" t="s">
        <v>116</v>
      </c>
      <c r="D997" s="2">
        <v>9320</v>
      </c>
      <c r="E997" s="2">
        <v>10520</v>
      </c>
      <c r="F997" s="2"/>
      <c r="G997" s="2"/>
      <c r="H997" s="2"/>
      <c r="I997" s="2" t="s">
        <v>79</v>
      </c>
      <c r="J997" s="2">
        <v>1634</v>
      </c>
      <c r="K997" s="2"/>
      <c r="L997" s="2">
        <v>1634</v>
      </c>
      <c r="M997" s="2">
        <v>0.60899999999999999</v>
      </c>
      <c r="N997" s="2">
        <v>8.407</v>
      </c>
      <c r="O997" s="2">
        <v>8.2509999999999994</v>
      </c>
      <c r="P997" s="7"/>
    </row>
    <row r="998" spans="1:16" x14ac:dyDescent="0.25">
      <c r="A998" s="8">
        <v>9.625</v>
      </c>
      <c r="B998" s="1">
        <v>64.900000000000006</v>
      </c>
      <c r="C998" s="1" t="s">
        <v>68</v>
      </c>
      <c r="D998" s="1">
        <v>10800</v>
      </c>
      <c r="E998" s="1">
        <v>11000</v>
      </c>
      <c r="F998" s="1"/>
      <c r="G998" s="1"/>
      <c r="H998" s="1"/>
      <c r="I998" s="1" t="s">
        <v>79</v>
      </c>
      <c r="J998" s="1">
        <v>1701</v>
      </c>
      <c r="K998" s="1"/>
      <c r="L998" s="1">
        <v>1701</v>
      </c>
      <c r="M998" s="1">
        <v>0.67200000000000004</v>
      </c>
      <c r="N998" s="1">
        <v>8.2810000000000006</v>
      </c>
      <c r="O998" s="1">
        <v>8.125</v>
      </c>
      <c r="P998" s="9"/>
    </row>
    <row r="999" spans="1:16" x14ac:dyDescent="0.25">
      <c r="A999" s="6">
        <v>9.625</v>
      </c>
      <c r="B999" s="2">
        <v>64.900000000000006</v>
      </c>
      <c r="C999" s="2" t="s">
        <v>116</v>
      </c>
      <c r="D999" s="2">
        <v>11260</v>
      </c>
      <c r="E999" s="2">
        <v>11610</v>
      </c>
      <c r="F999" s="2"/>
      <c r="G999" s="2"/>
      <c r="H999" s="2"/>
      <c r="I999" s="2" t="s">
        <v>79</v>
      </c>
      <c r="J999" s="2">
        <v>1796</v>
      </c>
      <c r="K999" s="2"/>
      <c r="L999" s="2">
        <v>1796</v>
      </c>
      <c r="M999" s="2">
        <v>0.67200000000000004</v>
      </c>
      <c r="N999" s="2">
        <v>8.2810000000000006</v>
      </c>
      <c r="O999" s="2">
        <v>8.125</v>
      </c>
      <c r="P999" s="7"/>
    </row>
    <row r="1000" spans="1:16" x14ac:dyDescent="0.25">
      <c r="A1000" s="8">
        <v>9.625</v>
      </c>
      <c r="B1000" s="1">
        <v>70.3</v>
      </c>
      <c r="C1000" s="1" t="s">
        <v>68</v>
      </c>
      <c r="D1000" s="1">
        <v>12610</v>
      </c>
      <c r="E1000" s="1">
        <v>12010</v>
      </c>
      <c r="F1000" s="1"/>
      <c r="G1000" s="1"/>
      <c r="H1000" s="1"/>
      <c r="I1000" s="1" t="s">
        <v>79</v>
      </c>
      <c r="J1000" s="1">
        <v>1845</v>
      </c>
      <c r="K1000" s="1"/>
      <c r="L1000" s="1">
        <v>1845</v>
      </c>
      <c r="M1000" s="1">
        <v>0.73399999999999999</v>
      </c>
      <c r="N1000" s="1">
        <v>8.157</v>
      </c>
      <c r="O1000" s="1">
        <v>8.0009999999999994</v>
      </c>
      <c r="P1000" s="9"/>
    </row>
    <row r="1001" spans="1:16" x14ac:dyDescent="0.25">
      <c r="A1001" s="6">
        <v>9.625</v>
      </c>
      <c r="B1001" s="2">
        <v>70.3</v>
      </c>
      <c r="C1001" s="2" t="s">
        <v>116</v>
      </c>
      <c r="D1001" s="2">
        <v>13180</v>
      </c>
      <c r="E1001" s="2">
        <v>12680</v>
      </c>
      <c r="F1001" s="2"/>
      <c r="G1001" s="2"/>
      <c r="H1001" s="2"/>
      <c r="I1001" s="2" t="s">
        <v>79</v>
      </c>
      <c r="J1001" s="2">
        <v>1948</v>
      </c>
      <c r="K1001" s="2"/>
      <c r="L1001" s="2">
        <v>1948</v>
      </c>
      <c r="M1001" s="2">
        <v>0.73399999999999999</v>
      </c>
      <c r="N1001" s="2">
        <v>8.157</v>
      </c>
      <c r="O1001" s="2">
        <v>8.0009999999999994</v>
      </c>
      <c r="P1001" s="7"/>
    </row>
    <row r="1002" spans="1:16" x14ac:dyDescent="0.25">
      <c r="A1002" s="8">
        <v>9.625</v>
      </c>
      <c r="B1002" s="1">
        <v>75.599999999999994</v>
      </c>
      <c r="C1002" s="1" t="s">
        <v>68</v>
      </c>
      <c r="D1002" s="1">
        <v>13670</v>
      </c>
      <c r="E1002" s="1">
        <v>13040</v>
      </c>
      <c r="F1002" s="1"/>
      <c r="G1002" s="1"/>
      <c r="H1002" s="1"/>
      <c r="I1002" s="1" t="s">
        <v>79</v>
      </c>
      <c r="J1002" s="1">
        <v>1989</v>
      </c>
      <c r="K1002" s="1"/>
      <c r="L1002" s="1">
        <v>1989</v>
      </c>
      <c r="M1002" s="1">
        <v>0.79700000000000004</v>
      </c>
      <c r="N1002" s="1">
        <v>8.0310000000000006</v>
      </c>
      <c r="O1002" s="1">
        <v>7.875</v>
      </c>
      <c r="P1002" s="9"/>
    </row>
    <row r="1003" spans="1:16" ht="15.75" customHeight="1" thickBot="1" x14ac:dyDescent="0.3">
      <c r="A1003" s="13">
        <v>9.625</v>
      </c>
      <c r="B1003" s="14">
        <v>75.599999999999994</v>
      </c>
      <c r="C1003" s="14" t="s">
        <v>116</v>
      </c>
      <c r="D1003" s="14">
        <v>14430</v>
      </c>
      <c r="E1003" s="14">
        <v>13770</v>
      </c>
      <c r="F1003" s="14"/>
      <c r="G1003" s="14"/>
      <c r="H1003" s="14"/>
      <c r="I1003" s="2" t="s">
        <v>79</v>
      </c>
      <c r="J1003" s="14">
        <v>2100</v>
      </c>
      <c r="K1003" s="14"/>
      <c r="L1003" s="14">
        <v>2100</v>
      </c>
      <c r="M1003" s="14">
        <v>0.79700000000000004</v>
      </c>
      <c r="N1003" s="14">
        <v>8.0310000000000006</v>
      </c>
      <c r="O1003" s="14">
        <v>7.875</v>
      </c>
      <c r="P1003" s="15"/>
    </row>
    <row r="1004" spans="1:16" ht="15.75" customHeight="1" thickBot="1" x14ac:dyDescent="0.3">
      <c r="A1004" s="3">
        <v>9.75</v>
      </c>
      <c r="B1004" s="4">
        <v>59.2</v>
      </c>
      <c r="C1004" s="4" t="s">
        <v>75</v>
      </c>
      <c r="D1004" s="4">
        <v>9750</v>
      </c>
      <c r="E1004" s="4">
        <v>9610</v>
      </c>
      <c r="F1004" s="4"/>
      <c r="G1004" s="4"/>
      <c r="H1004" s="4"/>
      <c r="I1004" s="4" t="s">
        <v>10</v>
      </c>
      <c r="J1004" s="4">
        <v>1175</v>
      </c>
      <c r="K1004" s="4"/>
      <c r="L1004" s="4">
        <v>1540</v>
      </c>
      <c r="M1004" s="4">
        <v>0.59499999999999997</v>
      </c>
      <c r="N1004" s="4">
        <v>8.56</v>
      </c>
      <c r="O1004" s="4"/>
      <c r="P1004" s="5">
        <v>8.5</v>
      </c>
    </row>
    <row r="1005" spans="1:16" x14ac:dyDescent="0.25">
      <c r="A1005" s="3">
        <v>9.75</v>
      </c>
      <c r="B1005" s="4">
        <v>59.2</v>
      </c>
      <c r="C1005" s="4" t="s">
        <v>75</v>
      </c>
      <c r="D1005" s="4">
        <v>9750</v>
      </c>
      <c r="E1005" s="4">
        <v>9610</v>
      </c>
      <c r="F1005" s="4"/>
      <c r="G1005" s="4"/>
      <c r="H1005" s="4"/>
      <c r="I1005" s="4" t="s">
        <v>13</v>
      </c>
      <c r="J1005" s="4">
        <v>1383</v>
      </c>
      <c r="K1005" s="4"/>
      <c r="L1005" s="4">
        <v>1540</v>
      </c>
      <c r="M1005" s="4">
        <v>0.59499999999999997</v>
      </c>
      <c r="N1005" s="4">
        <v>8.56</v>
      </c>
      <c r="O1005" s="4"/>
      <c r="P1005" s="5">
        <v>8.5</v>
      </c>
    </row>
    <row r="1006" spans="1:16" x14ac:dyDescent="0.25">
      <c r="A1006" s="6">
        <v>9.75</v>
      </c>
      <c r="B1006" s="2">
        <v>59.2</v>
      </c>
      <c r="C1006" s="2" t="s">
        <v>115</v>
      </c>
      <c r="D1006" s="2">
        <v>9750</v>
      </c>
      <c r="E1006" s="2">
        <v>10150</v>
      </c>
      <c r="F1006" s="2"/>
      <c r="G1006" s="2"/>
      <c r="H1006" s="2"/>
      <c r="I1006" s="2" t="s">
        <v>10</v>
      </c>
      <c r="J1006" s="2">
        <v>1204</v>
      </c>
      <c r="K1006" s="2"/>
      <c r="L1006" s="2">
        <v>1626</v>
      </c>
      <c r="M1006" s="2">
        <v>0.59499999999999997</v>
      </c>
      <c r="N1006" s="2">
        <v>8.56</v>
      </c>
      <c r="O1006" s="2"/>
      <c r="P1006" s="7">
        <v>8.5</v>
      </c>
    </row>
    <row r="1007" spans="1:16" x14ac:dyDescent="0.25">
      <c r="A1007" s="6">
        <v>9.75</v>
      </c>
      <c r="B1007" s="2">
        <v>59.2</v>
      </c>
      <c r="C1007" s="2" t="s">
        <v>115</v>
      </c>
      <c r="D1007" s="2">
        <v>9750</v>
      </c>
      <c r="E1007" s="2">
        <v>10150</v>
      </c>
      <c r="F1007" s="2"/>
      <c r="G1007" s="2"/>
      <c r="H1007" s="2"/>
      <c r="I1007" s="2" t="s">
        <v>13</v>
      </c>
      <c r="J1007" s="2">
        <v>1469</v>
      </c>
      <c r="K1007" s="2"/>
      <c r="L1007" s="2">
        <v>1626</v>
      </c>
      <c r="M1007" s="2">
        <v>0.59499999999999997</v>
      </c>
      <c r="N1007" s="2">
        <v>8.56</v>
      </c>
      <c r="O1007" s="2"/>
      <c r="P1007" s="7">
        <v>8.5</v>
      </c>
    </row>
    <row r="1008" spans="1:16" x14ac:dyDescent="0.25">
      <c r="A1008" s="8">
        <v>9.75</v>
      </c>
      <c r="B1008" s="1">
        <v>59.2</v>
      </c>
      <c r="C1008" s="1" t="s">
        <v>80</v>
      </c>
      <c r="D1008" s="1">
        <v>9750</v>
      </c>
      <c r="E1008" s="1">
        <v>10150</v>
      </c>
      <c r="F1008" s="1"/>
      <c r="G1008" s="1"/>
      <c r="H1008" s="1"/>
      <c r="I1008" s="1" t="s">
        <v>10</v>
      </c>
      <c r="J1008" s="1">
        <v>1189</v>
      </c>
      <c r="K1008" s="1"/>
      <c r="L1008" s="1">
        <v>1626</v>
      </c>
      <c r="M1008" s="1">
        <v>0.59499999999999997</v>
      </c>
      <c r="N1008" s="1">
        <v>8.56</v>
      </c>
      <c r="O1008" s="1"/>
      <c r="P1008" s="9">
        <v>8.5</v>
      </c>
    </row>
    <row r="1009" spans="1:16" x14ac:dyDescent="0.25">
      <c r="A1009" s="8">
        <v>9.75</v>
      </c>
      <c r="B1009" s="1">
        <v>59.2</v>
      </c>
      <c r="C1009" s="1" t="s">
        <v>80</v>
      </c>
      <c r="D1009" s="1">
        <v>9750</v>
      </c>
      <c r="E1009" s="1">
        <v>10150</v>
      </c>
      <c r="F1009" s="1"/>
      <c r="G1009" s="1"/>
      <c r="H1009" s="1"/>
      <c r="I1009" s="1" t="s">
        <v>13</v>
      </c>
      <c r="J1009" s="1">
        <v>1426</v>
      </c>
      <c r="K1009" s="1"/>
      <c r="L1009" s="1">
        <v>1626</v>
      </c>
      <c r="M1009" s="1">
        <v>0.59499999999999997</v>
      </c>
      <c r="N1009" s="1">
        <v>8.56</v>
      </c>
      <c r="O1009" s="1"/>
      <c r="P1009" s="9">
        <v>8.5</v>
      </c>
    </row>
    <row r="1010" spans="1:16" x14ac:dyDescent="0.25">
      <c r="A1010" s="6">
        <v>9.75</v>
      </c>
      <c r="B1010" s="2">
        <v>59.2</v>
      </c>
      <c r="C1010" s="2" t="s">
        <v>97</v>
      </c>
      <c r="D1010" s="2">
        <v>9750</v>
      </c>
      <c r="E1010" s="2">
        <v>11750</v>
      </c>
      <c r="F1010" s="2"/>
      <c r="G1010" s="2"/>
      <c r="H1010" s="2"/>
      <c r="I1010" s="2" t="s">
        <v>10</v>
      </c>
      <c r="J1010" s="2">
        <v>1387</v>
      </c>
      <c r="K1010" s="2"/>
      <c r="L1010" s="2">
        <v>1882</v>
      </c>
      <c r="M1010" s="2">
        <v>0.59499999999999997</v>
      </c>
      <c r="N1010" s="2">
        <v>8.56</v>
      </c>
      <c r="O1010" s="2"/>
      <c r="P1010" s="7">
        <v>8.5</v>
      </c>
    </row>
    <row r="1011" spans="1:16" x14ac:dyDescent="0.25">
      <c r="A1011" s="6">
        <v>9.75</v>
      </c>
      <c r="B1011" s="2">
        <v>59.2</v>
      </c>
      <c r="C1011" s="2" t="s">
        <v>97</v>
      </c>
      <c r="D1011" s="2">
        <v>9750</v>
      </c>
      <c r="E1011" s="2">
        <v>11750</v>
      </c>
      <c r="F1011" s="2"/>
      <c r="G1011" s="2"/>
      <c r="H1011" s="2"/>
      <c r="I1011" s="2" t="s">
        <v>13</v>
      </c>
      <c r="J1011" s="2">
        <v>1681</v>
      </c>
      <c r="K1011" s="2"/>
      <c r="L1011" s="2">
        <v>1882</v>
      </c>
      <c r="M1011" s="2">
        <v>0.59499999999999997</v>
      </c>
      <c r="N1011" s="2">
        <v>8.56</v>
      </c>
      <c r="O1011" s="2"/>
      <c r="P1011" s="7">
        <v>8.5</v>
      </c>
    </row>
    <row r="1012" spans="1:16" x14ac:dyDescent="0.25">
      <c r="A1012" s="8">
        <v>9.75</v>
      </c>
      <c r="B1012" s="1">
        <v>59.2</v>
      </c>
      <c r="C1012" s="1" t="s">
        <v>113</v>
      </c>
      <c r="D1012" s="1">
        <v>9490</v>
      </c>
      <c r="E1012" s="1">
        <v>11750</v>
      </c>
      <c r="F1012" s="1"/>
      <c r="G1012" s="1"/>
      <c r="H1012" s="1"/>
      <c r="I1012" s="1" t="s">
        <v>10</v>
      </c>
      <c r="J1012" s="1">
        <v>1387</v>
      </c>
      <c r="K1012" s="1"/>
      <c r="L1012" s="1">
        <v>1882</v>
      </c>
      <c r="M1012" s="1">
        <v>0.59499999999999997</v>
      </c>
      <c r="N1012" s="1">
        <v>8.56</v>
      </c>
      <c r="O1012" s="1"/>
      <c r="P1012" s="9">
        <v>8.5</v>
      </c>
    </row>
    <row r="1013" spans="1:16" x14ac:dyDescent="0.25">
      <c r="A1013" s="8">
        <v>9.75</v>
      </c>
      <c r="B1013" s="1">
        <v>59.2</v>
      </c>
      <c r="C1013" s="1" t="s">
        <v>113</v>
      </c>
      <c r="D1013" s="1">
        <v>9490</v>
      </c>
      <c r="E1013" s="1">
        <v>11750</v>
      </c>
      <c r="F1013" s="1"/>
      <c r="G1013" s="1"/>
      <c r="H1013" s="1"/>
      <c r="I1013" s="1" t="s">
        <v>13</v>
      </c>
      <c r="J1013" s="1">
        <v>1681</v>
      </c>
      <c r="K1013" s="1"/>
      <c r="L1013" s="1">
        <v>1882</v>
      </c>
      <c r="M1013" s="1">
        <v>0.59499999999999997</v>
      </c>
      <c r="N1013" s="1">
        <v>8.56</v>
      </c>
      <c r="O1013" s="1"/>
      <c r="P1013" s="9">
        <v>8.5</v>
      </c>
    </row>
    <row r="1014" spans="1:16" ht="15.75" customHeight="1" thickBot="1" x14ac:dyDescent="0.3">
      <c r="A1014" s="13">
        <v>9.75</v>
      </c>
      <c r="B1014" s="14">
        <v>59.2</v>
      </c>
      <c r="C1014" s="14" t="s">
        <v>114</v>
      </c>
      <c r="D1014" s="14">
        <v>10210</v>
      </c>
      <c r="E1014" s="14">
        <v>13350</v>
      </c>
      <c r="F1014" s="14"/>
      <c r="G1014" s="14"/>
      <c r="H1014" s="14"/>
      <c r="I1014" s="14" t="s">
        <v>10</v>
      </c>
      <c r="J1014" s="14">
        <v>1555</v>
      </c>
      <c r="K1014" s="14"/>
      <c r="L1014" s="14">
        <v>2139</v>
      </c>
      <c r="M1014" s="14">
        <v>0.59499999999999997</v>
      </c>
      <c r="N1014" s="14">
        <v>8.56</v>
      </c>
      <c r="O1014" s="14"/>
      <c r="P1014" s="15">
        <v>8.5</v>
      </c>
    </row>
    <row r="1015" spans="1:16" ht="15.75" customHeight="1" thickBot="1" x14ac:dyDescent="0.3">
      <c r="A1015" s="13">
        <v>9.75</v>
      </c>
      <c r="B1015" s="14">
        <v>59.2</v>
      </c>
      <c r="C1015" s="14" t="s">
        <v>114</v>
      </c>
      <c r="D1015" s="14">
        <v>10210</v>
      </c>
      <c r="E1015" s="14">
        <v>13350</v>
      </c>
      <c r="F1015" s="14"/>
      <c r="G1015" s="14"/>
      <c r="H1015" s="14"/>
      <c r="I1015" s="14" t="s">
        <v>13</v>
      </c>
      <c r="J1015" s="14">
        <v>1850</v>
      </c>
      <c r="K1015" s="14"/>
      <c r="L1015" s="14">
        <v>2139</v>
      </c>
      <c r="M1015" s="14">
        <v>0.59499999999999997</v>
      </c>
      <c r="N1015" s="14">
        <v>8.56</v>
      </c>
      <c r="O1015" s="14"/>
      <c r="P1015" s="15">
        <v>8.5</v>
      </c>
    </row>
    <row r="1016" spans="1:16" ht="15.75" customHeight="1" thickBot="1" x14ac:dyDescent="0.3">
      <c r="A1016" s="3">
        <v>9.875</v>
      </c>
      <c r="B1016" s="4">
        <v>62.8</v>
      </c>
      <c r="C1016" s="4" t="s">
        <v>75</v>
      </c>
      <c r="D1016" s="4">
        <v>10180</v>
      </c>
      <c r="E1016" s="4">
        <v>9970</v>
      </c>
      <c r="F1016" s="4"/>
      <c r="G1016" s="4"/>
      <c r="H1016" s="4"/>
      <c r="I1016" s="4" t="s">
        <v>10</v>
      </c>
      <c r="J1016" s="4">
        <v>1096</v>
      </c>
      <c r="K1016" s="4"/>
      <c r="L1016" s="4">
        <v>1635</v>
      </c>
      <c r="M1016" s="4">
        <v>0.625</v>
      </c>
      <c r="N1016" s="4">
        <v>8.625</v>
      </c>
      <c r="O1016" s="4"/>
      <c r="P1016" s="5">
        <v>8.5</v>
      </c>
    </row>
    <row r="1017" spans="1:16" x14ac:dyDescent="0.25">
      <c r="A1017" s="3">
        <v>9.875</v>
      </c>
      <c r="B1017" s="4">
        <v>62.8</v>
      </c>
      <c r="C1017" s="4" t="s">
        <v>75</v>
      </c>
      <c r="D1017" s="4">
        <v>10180</v>
      </c>
      <c r="E1017" s="4">
        <v>9940</v>
      </c>
      <c r="F1017" s="4"/>
      <c r="G1017" s="4"/>
      <c r="H1017" s="4"/>
      <c r="I1017" s="4" t="s">
        <v>13</v>
      </c>
      <c r="J1017" s="4">
        <v>1304</v>
      </c>
      <c r="K1017" s="4"/>
      <c r="L1017" s="4">
        <v>1635</v>
      </c>
      <c r="M1017" s="4">
        <v>0.625</v>
      </c>
      <c r="N1017" s="4">
        <v>8.625</v>
      </c>
      <c r="O1017" s="4"/>
      <c r="P1017" s="5">
        <v>8.5</v>
      </c>
    </row>
    <row r="1018" spans="1:16" x14ac:dyDescent="0.25">
      <c r="A1018" s="6">
        <v>9.875</v>
      </c>
      <c r="B1018" s="2">
        <v>62.8</v>
      </c>
      <c r="C1018" s="2" t="s">
        <v>115</v>
      </c>
      <c r="D1018" s="2">
        <v>10180</v>
      </c>
      <c r="E1018" s="2">
        <v>10520</v>
      </c>
      <c r="F1018" s="2"/>
      <c r="G1018" s="2"/>
      <c r="H1018" s="2"/>
      <c r="I1018" s="2" t="s">
        <v>10</v>
      </c>
      <c r="J1018" s="2">
        <v>1123</v>
      </c>
      <c r="K1018" s="2"/>
      <c r="L1018" s="2">
        <v>1725</v>
      </c>
      <c r="M1018" s="2">
        <v>0.625</v>
      </c>
      <c r="N1018" s="2">
        <v>8.625</v>
      </c>
      <c r="O1018" s="2"/>
      <c r="P1018" s="7">
        <v>8.5</v>
      </c>
    </row>
    <row r="1019" spans="1:16" x14ac:dyDescent="0.25">
      <c r="A1019" s="6">
        <v>9.875</v>
      </c>
      <c r="B1019" s="2">
        <v>62.8</v>
      </c>
      <c r="C1019" s="2" t="s">
        <v>115</v>
      </c>
      <c r="D1019" s="2">
        <v>10180</v>
      </c>
      <c r="E1019" s="2">
        <v>10490</v>
      </c>
      <c r="F1019" s="2"/>
      <c r="G1019" s="2"/>
      <c r="H1019" s="2"/>
      <c r="I1019" s="2" t="s">
        <v>13</v>
      </c>
      <c r="J1019" s="2">
        <v>1385</v>
      </c>
      <c r="K1019" s="2"/>
      <c r="L1019" s="2">
        <v>1725</v>
      </c>
      <c r="M1019" s="2">
        <v>0.625</v>
      </c>
      <c r="N1019" s="2">
        <v>8.625</v>
      </c>
      <c r="O1019" s="2"/>
      <c r="P1019" s="7">
        <v>8.5</v>
      </c>
    </row>
    <row r="1020" spans="1:16" x14ac:dyDescent="0.25">
      <c r="A1020" s="8">
        <v>9.875</v>
      </c>
      <c r="B1020" s="1">
        <v>62.8</v>
      </c>
      <c r="C1020" s="1" t="s">
        <v>80</v>
      </c>
      <c r="D1020" s="1">
        <v>10180</v>
      </c>
      <c r="E1020" s="1">
        <v>10520</v>
      </c>
      <c r="F1020" s="1"/>
      <c r="G1020" s="1"/>
      <c r="H1020" s="1"/>
      <c r="I1020" s="1" t="s">
        <v>10</v>
      </c>
      <c r="J1020" s="1">
        <v>1109</v>
      </c>
      <c r="K1020" s="1"/>
      <c r="L1020" s="1">
        <v>1725</v>
      </c>
      <c r="M1020" s="1">
        <v>0.625</v>
      </c>
      <c r="N1020" s="1">
        <v>8.625</v>
      </c>
      <c r="O1020" s="1"/>
      <c r="P1020" s="9">
        <v>8.5</v>
      </c>
    </row>
    <row r="1021" spans="1:16" x14ac:dyDescent="0.25">
      <c r="A1021" s="8">
        <v>9.875</v>
      </c>
      <c r="B1021" s="1">
        <v>62.8</v>
      </c>
      <c r="C1021" s="1" t="s">
        <v>80</v>
      </c>
      <c r="D1021" s="1">
        <v>10180</v>
      </c>
      <c r="E1021" s="1">
        <v>10490</v>
      </c>
      <c r="F1021" s="1"/>
      <c r="G1021" s="1"/>
      <c r="H1021" s="1"/>
      <c r="I1021" s="1" t="s">
        <v>13</v>
      </c>
      <c r="J1021" s="1">
        <v>1344</v>
      </c>
      <c r="K1021" s="1"/>
      <c r="L1021" s="1">
        <v>1725</v>
      </c>
      <c r="M1021" s="1">
        <v>0.625</v>
      </c>
      <c r="N1021" s="1">
        <v>8.625</v>
      </c>
      <c r="O1021" s="1"/>
      <c r="P1021" s="9">
        <v>8.5</v>
      </c>
    </row>
    <row r="1022" spans="1:16" x14ac:dyDescent="0.25">
      <c r="A1022" s="6">
        <v>9.875</v>
      </c>
      <c r="B1022" s="2">
        <v>62.8</v>
      </c>
      <c r="C1022" s="2" t="s">
        <v>113</v>
      </c>
      <c r="D1022" s="2">
        <v>10280</v>
      </c>
      <c r="E1022" s="2">
        <v>12180</v>
      </c>
      <c r="F1022" s="2"/>
      <c r="G1022" s="2"/>
      <c r="H1022" s="2"/>
      <c r="I1022" s="2" t="s">
        <v>10</v>
      </c>
      <c r="J1022" s="2">
        <v>1294</v>
      </c>
      <c r="K1022" s="2"/>
      <c r="L1022" s="2">
        <v>1998</v>
      </c>
      <c r="M1022" s="2">
        <v>0.625</v>
      </c>
      <c r="N1022" s="2">
        <v>8.625</v>
      </c>
      <c r="O1022" s="2"/>
      <c r="P1022" s="7">
        <v>8.5</v>
      </c>
    </row>
    <row r="1023" spans="1:16" x14ac:dyDescent="0.25">
      <c r="A1023" s="6">
        <v>9.875</v>
      </c>
      <c r="B1023" s="2">
        <v>62.8</v>
      </c>
      <c r="C1023" s="2" t="s">
        <v>113</v>
      </c>
      <c r="D1023" s="2">
        <v>10280</v>
      </c>
      <c r="E1023" s="2">
        <v>12140</v>
      </c>
      <c r="F1023" s="2"/>
      <c r="G1023" s="2"/>
      <c r="H1023" s="2"/>
      <c r="I1023" s="2" t="s">
        <v>13</v>
      </c>
      <c r="J1023" s="2">
        <v>1584</v>
      </c>
      <c r="K1023" s="2"/>
      <c r="L1023" s="2">
        <v>1998</v>
      </c>
      <c r="M1023" s="2">
        <v>0.625</v>
      </c>
      <c r="N1023" s="2">
        <v>8.625</v>
      </c>
      <c r="O1023" s="2"/>
      <c r="P1023" s="7">
        <v>8.5</v>
      </c>
    </row>
    <row r="1024" spans="1:16" ht="15.75" customHeight="1" thickBot="1" x14ac:dyDescent="0.3">
      <c r="A1024" s="10">
        <v>9.875</v>
      </c>
      <c r="B1024" s="11">
        <v>62.8</v>
      </c>
      <c r="C1024" s="11" t="s">
        <v>114</v>
      </c>
      <c r="D1024" s="11">
        <v>11140</v>
      </c>
      <c r="E1024" s="11">
        <v>13840</v>
      </c>
      <c r="F1024" s="11"/>
      <c r="G1024" s="11"/>
      <c r="H1024" s="11"/>
      <c r="I1024" s="11" t="s">
        <v>10</v>
      </c>
      <c r="J1024" s="11">
        <v>1451</v>
      </c>
      <c r="K1024" s="11"/>
      <c r="L1024" s="11">
        <v>2270</v>
      </c>
      <c r="M1024" s="11">
        <v>0.625</v>
      </c>
      <c r="N1024" s="11">
        <v>8.625</v>
      </c>
      <c r="O1024" s="11"/>
      <c r="P1024" s="12">
        <v>8.5</v>
      </c>
    </row>
    <row r="1025" spans="1:16" ht="15.75" customHeight="1" thickBot="1" x14ac:dyDescent="0.3">
      <c r="A1025" s="10">
        <v>9.875</v>
      </c>
      <c r="B1025" s="11">
        <v>62.8</v>
      </c>
      <c r="C1025" s="11" t="s">
        <v>114</v>
      </c>
      <c r="D1025" s="11">
        <v>11140</v>
      </c>
      <c r="E1025" s="11">
        <v>13800</v>
      </c>
      <c r="F1025" s="11"/>
      <c r="G1025" s="11"/>
      <c r="H1025" s="11"/>
      <c r="I1025" s="11" t="s">
        <v>13</v>
      </c>
      <c r="J1025" s="11">
        <v>1743</v>
      </c>
      <c r="K1025" s="11"/>
      <c r="L1025" s="11">
        <v>2270</v>
      </c>
      <c r="M1025" s="11">
        <v>0.625</v>
      </c>
      <c r="N1025" s="11">
        <v>8.625</v>
      </c>
      <c r="O1025" s="11"/>
      <c r="P1025" s="12">
        <v>8.5</v>
      </c>
    </row>
    <row r="1026" spans="1:16" x14ac:dyDescent="0.25">
      <c r="A1026" s="16">
        <v>10.75</v>
      </c>
      <c r="B1026" s="17">
        <v>32.75</v>
      </c>
      <c r="C1026" s="17" t="s">
        <v>81</v>
      </c>
      <c r="D1026" s="17">
        <v>840</v>
      </c>
      <c r="E1026" s="17">
        <v>1820</v>
      </c>
      <c r="F1026" s="17"/>
      <c r="G1026" s="17"/>
      <c r="H1026" s="17"/>
      <c r="I1026" s="17" t="s">
        <v>8</v>
      </c>
      <c r="J1026" s="17">
        <v>205</v>
      </c>
      <c r="K1026" s="17"/>
      <c r="L1026" s="17">
        <v>367</v>
      </c>
      <c r="M1026" s="17">
        <v>0.27900000000000003</v>
      </c>
      <c r="N1026" s="17">
        <v>10.192</v>
      </c>
      <c r="O1026" s="17">
        <v>10.036</v>
      </c>
      <c r="P1026" s="18"/>
    </row>
    <row r="1027" spans="1:16" x14ac:dyDescent="0.25">
      <c r="A1027" s="8">
        <v>10.75</v>
      </c>
      <c r="B1027" s="1">
        <v>40.5</v>
      </c>
      <c r="C1027" s="1" t="s">
        <v>81</v>
      </c>
      <c r="D1027" s="1">
        <v>1390</v>
      </c>
      <c r="E1027" s="1">
        <v>2280</v>
      </c>
      <c r="F1027" s="1"/>
      <c r="G1027" s="1"/>
      <c r="H1027" s="1"/>
      <c r="I1027" s="1" t="s">
        <v>8</v>
      </c>
      <c r="J1027" s="1">
        <v>314</v>
      </c>
      <c r="K1027" s="1"/>
      <c r="L1027" s="1">
        <v>457</v>
      </c>
      <c r="M1027" s="1">
        <v>0.35</v>
      </c>
      <c r="N1027" s="1">
        <v>10.050000000000001</v>
      </c>
      <c r="O1027" s="1">
        <v>9.8940000000000001</v>
      </c>
      <c r="P1027" s="9"/>
    </row>
    <row r="1028" spans="1:16" x14ac:dyDescent="0.25">
      <c r="A1028" s="6">
        <v>10.75</v>
      </c>
      <c r="B1028" s="2">
        <v>40.5</v>
      </c>
      <c r="C1028" s="2" t="s">
        <v>66</v>
      </c>
      <c r="D1028" s="2">
        <v>1580</v>
      </c>
      <c r="E1028" s="2">
        <v>3130</v>
      </c>
      <c r="F1028" s="2"/>
      <c r="G1028" s="2"/>
      <c r="H1028" s="2"/>
      <c r="I1028" s="2" t="s">
        <v>8</v>
      </c>
      <c r="J1028" s="2">
        <v>420</v>
      </c>
      <c r="K1028" s="2"/>
      <c r="L1028" s="2">
        <v>629</v>
      </c>
      <c r="M1028" s="2">
        <v>0.35</v>
      </c>
      <c r="N1028" s="2">
        <v>10.050000000000001</v>
      </c>
      <c r="O1028" s="2">
        <v>9.8940000000000001</v>
      </c>
      <c r="P1028" s="7"/>
    </row>
    <row r="1029" spans="1:16" x14ac:dyDescent="0.25">
      <c r="A1029" s="6">
        <v>10.75</v>
      </c>
      <c r="B1029" s="2">
        <v>40.5</v>
      </c>
      <c r="C1029" s="2" t="s">
        <v>66</v>
      </c>
      <c r="D1029" s="2">
        <v>1580</v>
      </c>
      <c r="E1029" s="2">
        <v>3130</v>
      </c>
      <c r="F1029" s="2"/>
      <c r="G1029" s="2"/>
      <c r="H1029" s="2"/>
      <c r="I1029" s="2" t="s">
        <v>13</v>
      </c>
      <c r="J1029" s="2">
        <v>700</v>
      </c>
      <c r="K1029" s="2"/>
      <c r="L1029" s="2">
        <v>629</v>
      </c>
      <c r="M1029" s="2">
        <v>0.35</v>
      </c>
      <c r="N1029" s="2">
        <v>10.050000000000001</v>
      </c>
      <c r="O1029" s="2">
        <v>9.8940000000000001</v>
      </c>
      <c r="P1029" s="7"/>
    </row>
    <row r="1030" spans="1:16" x14ac:dyDescent="0.25">
      <c r="A1030" s="8">
        <v>10.75</v>
      </c>
      <c r="B1030" s="1">
        <v>40.5</v>
      </c>
      <c r="C1030" s="1" t="s">
        <v>110</v>
      </c>
      <c r="D1030" s="1">
        <v>1580</v>
      </c>
      <c r="E1030" s="1">
        <v>3130</v>
      </c>
      <c r="F1030" s="1"/>
      <c r="G1030" s="1"/>
      <c r="H1030" s="1"/>
      <c r="I1030" s="1" t="s">
        <v>8</v>
      </c>
      <c r="J1030" s="1">
        <v>450</v>
      </c>
      <c r="K1030" s="1"/>
      <c r="L1030" s="1">
        <v>629</v>
      </c>
      <c r="M1030" s="1">
        <v>0.35</v>
      </c>
      <c r="N1030" s="1">
        <v>10.050000000000001</v>
      </c>
      <c r="O1030" s="1">
        <v>9.8940000000000001</v>
      </c>
      <c r="P1030" s="9"/>
    </row>
    <row r="1031" spans="1:16" x14ac:dyDescent="0.25">
      <c r="A1031" s="8">
        <v>10.75</v>
      </c>
      <c r="B1031" s="1">
        <v>40.5</v>
      </c>
      <c r="C1031" s="1" t="s">
        <v>110</v>
      </c>
      <c r="D1031" s="1">
        <v>1580</v>
      </c>
      <c r="E1031" s="1">
        <v>3130</v>
      </c>
      <c r="F1031" s="1"/>
      <c r="G1031" s="1"/>
      <c r="H1031" s="1"/>
      <c r="I1031" s="1" t="s">
        <v>13</v>
      </c>
      <c r="J1031" s="1">
        <v>819</v>
      </c>
      <c r="K1031" s="1"/>
      <c r="L1031" s="1">
        <v>629</v>
      </c>
      <c r="M1031" s="1">
        <v>0.35</v>
      </c>
      <c r="N1031" s="1">
        <v>10.050000000000001</v>
      </c>
      <c r="O1031" s="1">
        <v>9.8940000000000001</v>
      </c>
      <c r="P1031" s="9"/>
    </row>
    <row r="1032" spans="1:16" x14ac:dyDescent="0.25">
      <c r="A1032" s="6">
        <v>10.75</v>
      </c>
      <c r="B1032" s="2">
        <v>40.5</v>
      </c>
      <c r="C1032" s="2" t="s">
        <v>84</v>
      </c>
      <c r="D1032" s="2">
        <v>2100</v>
      </c>
      <c r="E1032" s="2">
        <v>3130</v>
      </c>
      <c r="F1032" s="2"/>
      <c r="G1032" s="2"/>
      <c r="H1032" s="2"/>
      <c r="I1032" s="2" t="s">
        <v>8</v>
      </c>
      <c r="J1032" s="2">
        <v>562</v>
      </c>
      <c r="K1032" s="2"/>
      <c r="L1032" s="2">
        <v>629</v>
      </c>
      <c r="M1032" s="2">
        <v>0.35</v>
      </c>
      <c r="N1032" s="2">
        <v>10.050000000000001</v>
      </c>
      <c r="O1032" s="2">
        <v>9.8940000000000001</v>
      </c>
      <c r="P1032" s="7"/>
    </row>
    <row r="1033" spans="1:16" x14ac:dyDescent="0.25">
      <c r="A1033" s="6">
        <v>10.75</v>
      </c>
      <c r="B1033" s="2">
        <v>40.5</v>
      </c>
      <c r="C1033" s="2" t="s">
        <v>84</v>
      </c>
      <c r="D1033" s="2">
        <v>2100</v>
      </c>
      <c r="E1033" s="2">
        <v>3130</v>
      </c>
      <c r="F1033" s="2"/>
      <c r="G1033" s="2"/>
      <c r="H1033" s="2"/>
      <c r="I1033" s="2" t="s">
        <v>13</v>
      </c>
      <c r="J1033" s="2">
        <v>911</v>
      </c>
      <c r="K1033" s="2"/>
      <c r="L1033" s="2">
        <v>629</v>
      </c>
      <c r="M1033" s="2">
        <v>0.35</v>
      </c>
      <c r="N1033" s="2">
        <v>10.050000000000001</v>
      </c>
      <c r="O1033" s="2">
        <v>9.8940000000000001</v>
      </c>
      <c r="P1033" s="7"/>
    </row>
    <row r="1034" spans="1:16" x14ac:dyDescent="0.25">
      <c r="A1034" s="8">
        <v>10.75</v>
      </c>
      <c r="B1034" s="1">
        <v>40.5</v>
      </c>
      <c r="C1034" s="1" t="s">
        <v>112</v>
      </c>
      <c r="D1034" s="1">
        <v>1730</v>
      </c>
      <c r="E1034" s="1">
        <v>4560</v>
      </c>
      <c r="F1034" s="1"/>
      <c r="G1034" s="1"/>
      <c r="H1034" s="1"/>
      <c r="I1034" s="1" t="s">
        <v>8</v>
      </c>
      <c r="J1034" s="1">
        <v>597</v>
      </c>
      <c r="K1034" s="1"/>
      <c r="L1034" s="1">
        <v>915</v>
      </c>
      <c r="M1034" s="1">
        <v>0.35</v>
      </c>
      <c r="N1034" s="1">
        <v>10.050000000000001</v>
      </c>
      <c r="O1034" s="1">
        <v>9.8940000000000001</v>
      </c>
      <c r="P1034" s="9"/>
    </row>
    <row r="1035" spans="1:16" x14ac:dyDescent="0.25">
      <c r="A1035" s="8">
        <v>10.75</v>
      </c>
      <c r="B1035" s="1">
        <v>40.5</v>
      </c>
      <c r="C1035" s="1" t="s">
        <v>112</v>
      </c>
      <c r="D1035" s="1">
        <v>1730</v>
      </c>
      <c r="E1035" s="1">
        <v>4560</v>
      </c>
      <c r="F1035" s="1"/>
      <c r="G1035" s="1"/>
      <c r="H1035" s="1"/>
      <c r="I1035" s="1" t="s">
        <v>13</v>
      </c>
      <c r="J1035" s="1">
        <v>964</v>
      </c>
      <c r="K1035" s="1"/>
      <c r="L1035" s="1">
        <v>915</v>
      </c>
      <c r="M1035" s="1">
        <v>0.35</v>
      </c>
      <c r="N1035" s="1">
        <v>10.050000000000001</v>
      </c>
      <c r="O1035" s="1">
        <v>9.8940000000000001</v>
      </c>
      <c r="P1035" s="9"/>
    </row>
    <row r="1036" spans="1:16" x14ac:dyDescent="0.25">
      <c r="A1036" s="6">
        <v>10.75</v>
      </c>
      <c r="B1036" s="2">
        <v>40.5</v>
      </c>
      <c r="C1036" s="2" t="s">
        <v>93</v>
      </c>
      <c r="D1036" s="2">
        <v>2100</v>
      </c>
      <c r="E1036" s="2">
        <v>4560</v>
      </c>
      <c r="F1036" s="2"/>
      <c r="G1036" s="2"/>
      <c r="H1036" s="2"/>
      <c r="I1036" s="2" t="s">
        <v>8</v>
      </c>
      <c r="J1036" s="2">
        <v>681</v>
      </c>
      <c r="K1036" s="2"/>
      <c r="L1036" s="2">
        <v>915</v>
      </c>
      <c r="M1036" s="2">
        <v>0.35</v>
      </c>
      <c r="N1036" s="2">
        <v>10.050000000000001</v>
      </c>
      <c r="O1036" s="2">
        <v>9.8940000000000001</v>
      </c>
      <c r="P1036" s="7"/>
    </row>
    <row r="1037" spans="1:16" x14ac:dyDescent="0.25">
      <c r="A1037" s="6">
        <v>10.75</v>
      </c>
      <c r="B1037" s="2">
        <v>40.5</v>
      </c>
      <c r="C1037" s="2" t="s">
        <v>93</v>
      </c>
      <c r="D1037" s="2">
        <v>2100</v>
      </c>
      <c r="E1037" s="2">
        <v>4560</v>
      </c>
      <c r="F1037" s="2"/>
      <c r="G1037" s="2"/>
      <c r="H1037" s="2"/>
      <c r="I1037" s="2" t="s">
        <v>13</v>
      </c>
      <c r="J1037" s="2">
        <v>1034</v>
      </c>
      <c r="K1037" s="2"/>
      <c r="L1037" s="2">
        <v>915</v>
      </c>
      <c r="M1037" s="2">
        <v>0.35</v>
      </c>
      <c r="N1037" s="2">
        <v>10.050000000000001</v>
      </c>
      <c r="O1037" s="2">
        <v>9.8940000000000001</v>
      </c>
      <c r="P1037" s="7"/>
    </row>
    <row r="1038" spans="1:16" x14ac:dyDescent="0.25">
      <c r="A1038" s="8">
        <v>10.75</v>
      </c>
      <c r="B1038" s="1">
        <v>45.5</v>
      </c>
      <c r="C1038" s="1" t="s">
        <v>66</v>
      </c>
      <c r="D1038" s="1">
        <v>2090</v>
      </c>
      <c r="E1038" s="1">
        <v>3580</v>
      </c>
      <c r="F1038" s="1"/>
      <c r="G1038" s="1"/>
      <c r="H1038" s="1"/>
      <c r="I1038" s="1" t="s">
        <v>8</v>
      </c>
      <c r="J1038" s="1">
        <v>493</v>
      </c>
      <c r="K1038" s="1"/>
      <c r="L1038" s="1">
        <v>715</v>
      </c>
      <c r="M1038" s="1">
        <v>0.4</v>
      </c>
      <c r="N1038" s="1">
        <v>9.9499999999999993</v>
      </c>
      <c r="O1038" s="1">
        <v>9.7940000000000005</v>
      </c>
      <c r="P1038" s="9">
        <v>9.875</v>
      </c>
    </row>
    <row r="1039" spans="1:16" x14ac:dyDescent="0.25">
      <c r="A1039" s="8">
        <v>10.75</v>
      </c>
      <c r="B1039" s="1">
        <v>45.5</v>
      </c>
      <c r="C1039" s="1" t="s">
        <v>66</v>
      </c>
      <c r="D1039" s="1">
        <v>2090</v>
      </c>
      <c r="E1039" s="1">
        <v>3580</v>
      </c>
      <c r="F1039" s="1"/>
      <c r="G1039" s="1"/>
      <c r="H1039" s="1"/>
      <c r="I1039" s="1" t="s">
        <v>13</v>
      </c>
      <c r="J1039" s="1">
        <v>796</v>
      </c>
      <c r="K1039" s="1"/>
      <c r="L1039" s="1">
        <v>715</v>
      </c>
      <c r="M1039" s="1">
        <v>0.4</v>
      </c>
      <c r="N1039" s="1">
        <v>9.9499999999999993</v>
      </c>
      <c r="O1039" s="1">
        <v>9.7940000000000005</v>
      </c>
      <c r="P1039" s="9">
        <v>9.875</v>
      </c>
    </row>
    <row r="1040" spans="1:16" x14ac:dyDescent="0.25">
      <c r="A1040" s="6">
        <v>10.75</v>
      </c>
      <c r="B1040" s="2">
        <v>45.5</v>
      </c>
      <c r="C1040" s="2" t="s">
        <v>110</v>
      </c>
      <c r="D1040" s="2">
        <v>2090</v>
      </c>
      <c r="E1040" s="2">
        <v>3580</v>
      </c>
      <c r="F1040" s="2"/>
      <c r="G1040" s="2"/>
      <c r="H1040" s="2"/>
      <c r="I1040" s="2" t="s">
        <v>8</v>
      </c>
      <c r="J1040" s="2">
        <v>528</v>
      </c>
      <c r="K1040" s="2"/>
      <c r="L1040" s="2">
        <v>715</v>
      </c>
      <c r="M1040" s="2">
        <v>0.4</v>
      </c>
      <c r="N1040" s="2">
        <v>9.9499999999999993</v>
      </c>
      <c r="O1040" s="2">
        <v>9.7940000000000005</v>
      </c>
      <c r="P1040" s="7">
        <v>9.875</v>
      </c>
    </row>
    <row r="1041" spans="1:16" x14ac:dyDescent="0.25">
      <c r="A1041" s="6">
        <v>10.75</v>
      </c>
      <c r="B1041" s="2">
        <v>45.5</v>
      </c>
      <c r="C1041" s="2" t="s">
        <v>110</v>
      </c>
      <c r="D1041" s="2">
        <v>2090</v>
      </c>
      <c r="E1041" s="2">
        <v>3580</v>
      </c>
      <c r="F1041" s="2"/>
      <c r="G1041" s="2"/>
      <c r="H1041" s="2"/>
      <c r="I1041" s="2" t="s">
        <v>13</v>
      </c>
      <c r="J1041" s="2">
        <v>931</v>
      </c>
      <c r="K1041" s="2"/>
      <c r="L1041" s="2">
        <v>715</v>
      </c>
      <c r="M1041" s="2">
        <v>0.4</v>
      </c>
      <c r="N1041" s="2">
        <v>9.9499999999999993</v>
      </c>
      <c r="O1041" s="2">
        <v>9.7940000000000005</v>
      </c>
      <c r="P1041" s="7">
        <v>9.875</v>
      </c>
    </row>
    <row r="1042" spans="1:16" x14ac:dyDescent="0.25">
      <c r="A1042" s="8">
        <v>10.75</v>
      </c>
      <c r="B1042" s="1">
        <v>45.5</v>
      </c>
      <c r="C1042" s="1" t="s">
        <v>84</v>
      </c>
      <c r="D1042" s="1">
        <v>3130</v>
      </c>
      <c r="E1042" s="1">
        <v>3580</v>
      </c>
      <c r="F1042" s="1"/>
      <c r="G1042" s="1"/>
      <c r="H1042" s="1"/>
      <c r="I1042" s="1" t="s">
        <v>8</v>
      </c>
      <c r="J1042" s="1">
        <v>659</v>
      </c>
      <c r="K1042" s="1"/>
      <c r="L1042" s="1">
        <v>715</v>
      </c>
      <c r="M1042" s="1">
        <v>0.4</v>
      </c>
      <c r="N1042" s="1">
        <v>9.9499999999999993</v>
      </c>
      <c r="O1042" s="1">
        <v>9.7940000000000005</v>
      </c>
      <c r="P1042" s="9">
        <v>9.875</v>
      </c>
    </row>
    <row r="1043" spans="1:16" x14ac:dyDescent="0.25">
      <c r="A1043" s="8">
        <v>10.75</v>
      </c>
      <c r="B1043" s="1">
        <v>45.5</v>
      </c>
      <c r="C1043" s="1" t="s">
        <v>84</v>
      </c>
      <c r="D1043" s="1">
        <v>3130</v>
      </c>
      <c r="E1043" s="1">
        <v>3580</v>
      </c>
      <c r="F1043" s="1"/>
      <c r="G1043" s="1"/>
      <c r="H1043" s="1"/>
      <c r="I1043" s="1" t="s">
        <v>13</v>
      </c>
      <c r="J1043" s="1">
        <v>1037</v>
      </c>
      <c r="K1043" s="1"/>
      <c r="L1043" s="1">
        <v>715</v>
      </c>
      <c r="M1043" s="1">
        <v>0.4</v>
      </c>
      <c r="N1043" s="1">
        <v>9.9499999999999993</v>
      </c>
      <c r="O1043" s="1">
        <v>9.7940000000000005</v>
      </c>
      <c r="P1043" s="9">
        <v>9.875</v>
      </c>
    </row>
    <row r="1044" spans="1:16" x14ac:dyDescent="0.25">
      <c r="A1044" s="6">
        <v>10.75</v>
      </c>
      <c r="B1044" s="2">
        <v>45.5</v>
      </c>
      <c r="C1044" s="2" t="s">
        <v>112</v>
      </c>
      <c r="D1044" s="2">
        <v>2470</v>
      </c>
      <c r="E1044" s="2">
        <v>5210</v>
      </c>
      <c r="F1044" s="2"/>
      <c r="G1044" s="2"/>
      <c r="H1044" s="2"/>
      <c r="I1044" s="2" t="s">
        <v>8</v>
      </c>
      <c r="J1044" s="2">
        <v>701</v>
      </c>
      <c r="K1044" s="2"/>
      <c r="L1044" s="2">
        <v>1040</v>
      </c>
      <c r="M1044" s="2">
        <v>0.4</v>
      </c>
      <c r="N1044" s="2">
        <v>9.9499999999999993</v>
      </c>
      <c r="O1044" s="2">
        <v>9.7940000000000005</v>
      </c>
      <c r="P1044" s="7">
        <v>9.875</v>
      </c>
    </row>
    <row r="1045" spans="1:16" x14ac:dyDescent="0.25">
      <c r="A1045" s="6">
        <v>10.75</v>
      </c>
      <c r="B1045" s="2">
        <v>45.5</v>
      </c>
      <c r="C1045" s="2" t="s">
        <v>112</v>
      </c>
      <c r="D1045" s="2">
        <v>2470</v>
      </c>
      <c r="E1045" s="2">
        <v>5210</v>
      </c>
      <c r="F1045" s="2"/>
      <c r="G1045" s="2"/>
      <c r="H1045" s="2"/>
      <c r="I1045" s="2" t="s">
        <v>13</v>
      </c>
      <c r="J1045" s="2">
        <v>1097</v>
      </c>
      <c r="K1045" s="2"/>
      <c r="L1045" s="2">
        <v>1040</v>
      </c>
      <c r="M1045" s="2">
        <v>0.4</v>
      </c>
      <c r="N1045" s="2">
        <v>9.9499999999999993</v>
      </c>
      <c r="O1045" s="2">
        <v>9.7940000000000005</v>
      </c>
      <c r="P1045" s="7">
        <v>9.875</v>
      </c>
    </row>
    <row r="1046" spans="1:16" x14ac:dyDescent="0.25">
      <c r="A1046" s="8">
        <v>10.75</v>
      </c>
      <c r="B1046" s="1">
        <v>45.5</v>
      </c>
      <c r="C1046" s="1" t="s">
        <v>93</v>
      </c>
      <c r="D1046" s="1">
        <v>3130</v>
      </c>
      <c r="E1046" s="1">
        <v>5210</v>
      </c>
      <c r="F1046" s="1"/>
      <c r="G1046" s="1"/>
      <c r="H1046" s="1"/>
      <c r="I1046" s="1" t="s">
        <v>8</v>
      </c>
      <c r="J1046" s="1">
        <v>799</v>
      </c>
      <c r="K1046" s="1"/>
      <c r="L1046" s="1">
        <v>1040</v>
      </c>
      <c r="M1046" s="1">
        <v>0.4</v>
      </c>
      <c r="N1046" s="1">
        <v>9.9499999999999993</v>
      </c>
      <c r="O1046" s="1">
        <v>9.7940000000000005</v>
      </c>
      <c r="P1046" s="9">
        <v>9.875</v>
      </c>
    </row>
    <row r="1047" spans="1:16" x14ac:dyDescent="0.25">
      <c r="A1047" s="8">
        <v>10.75</v>
      </c>
      <c r="B1047" s="1">
        <v>45.5</v>
      </c>
      <c r="C1047" s="1" t="s">
        <v>93</v>
      </c>
      <c r="D1047" s="1">
        <v>3130</v>
      </c>
      <c r="E1047" s="1">
        <v>5210</v>
      </c>
      <c r="F1047" s="1"/>
      <c r="G1047" s="1"/>
      <c r="H1047" s="1"/>
      <c r="I1047" s="1" t="s">
        <v>13</v>
      </c>
      <c r="J1047" s="1">
        <v>1175</v>
      </c>
      <c r="K1047" s="1"/>
      <c r="L1047" s="1">
        <v>1040</v>
      </c>
      <c r="M1047" s="1">
        <v>0.4</v>
      </c>
      <c r="N1047" s="1">
        <v>9.9499999999999993</v>
      </c>
      <c r="O1047" s="1">
        <v>9.7940000000000005</v>
      </c>
      <c r="P1047" s="9">
        <v>9.875</v>
      </c>
    </row>
    <row r="1048" spans="1:16" x14ac:dyDescent="0.25">
      <c r="A1048" s="6">
        <v>10.75</v>
      </c>
      <c r="B1048" s="2">
        <v>51</v>
      </c>
      <c r="C1048" s="2" t="s">
        <v>66</v>
      </c>
      <c r="D1048" s="2">
        <v>2700</v>
      </c>
      <c r="E1048" s="2">
        <v>4030</v>
      </c>
      <c r="F1048" s="2"/>
      <c r="G1048" s="2"/>
      <c r="H1048" s="2"/>
      <c r="I1048" s="2" t="s">
        <v>8</v>
      </c>
      <c r="J1048" s="2">
        <v>565</v>
      </c>
      <c r="K1048" s="2"/>
      <c r="L1048" s="2">
        <v>801</v>
      </c>
      <c r="M1048" s="2">
        <v>0.45</v>
      </c>
      <c r="N1048" s="2">
        <v>9.85</v>
      </c>
      <c r="O1048" s="2">
        <v>9.6940000000000008</v>
      </c>
      <c r="P1048" s="7"/>
    </row>
    <row r="1049" spans="1:16" x14ac:dyDescent="0.25">
      <c r="A1049" s="6">
        <v>10.75</v>
      </c>
      <c r="B1049" s="2">
        <v>51</v>
      </c>
      <c r="C1049" s="2" t="s">
        <v>66</v>
      </c>
      <c r="D1049" s="2">
        <v>2700</v>
      </c>
      <c r="E1049" s="2">
        <v>4030</v>
      </c>
      <c r="F1049" s="2"/>
      <c r="G1049" s="2"/>
      <c r="H1049" s="2"/>
      <c r="I1049" s="2" t="s">
        <v>13</v>
      </c>
      <c r="J1049" s="2">
        <v>891</v>
      </c>
      <c r="K1049" s="2"/>
      <c r="L1049" s="2">
        <v>801</v>
      </c>
      <c r="M1049" s="2">
        <v>0.45</v>
      </c>
      <c r="N1049" s="2">
        <v>9.85</v>
      </c>
      <c r="O1049" s="2">
        <v>9.6940000000000008</v>
      </c>
      <c r="P1049" s="7"/>
    </row>
    <row r="1050" spans="1:16" x14ac:dyDescent="0.25">
      <c r="A1050" s="8">
        <v>10.75</v>
      </c>
      <c r="B1050" s="1">
        <v>51</v>
      </c>
      <c r="C1050" s="1" t="s">
        <v>110</v>
      </c>
      <c r="D1050" s="1">
        <v>2700</v>
      </c>
      <c r="E1050" s="1">
        <v>4030</v>
      </c>
      <c r="F1050" s="1"/>
      <c r="G1050" s="1"/>
      <c r="H1050" s="1"/>
      <c r="I1050" s="1" t="s">
        <v>8</v>
      </c>
      <c r="J1050" s="1">
        <v>606</v>
      </c>
      <c r="K1050" s="1"/>
      <c r="L1050" s="1">
        <v>801</v>
      </c>
      <c r="M1050" s="1">
        <v>0.45</v>
      </c>
      <c r="N1050" s="1">
        <v>9.85</v>
      </c>
      <c r="O1050" s="1">
        <v>9.6940000000000008</v>
      </c>
      <c r="P1050" s="9"/>
    </row>
    <row r="1051" spans="1:16" x14ac:dyDescent="0.25">
      <c r="A1051" s="8">
        <v>10.75</v>
      </c>
      <c r="B1051" s="1">
        <v>51</v>
      </c>
      <c r="C1051" s="1" t="s">
        <v>110</v>
      </c>
      <c r="D1051" s="1">
        <v>2700</v>
      </c>
      <c r="E1051" s="1">
        <v>4030</v>
      </c>
      <c r="F1051" s="1"/>
      <c r="G1051" s="1"/>
      <c r="H1051" s="1"/>
      <c r="I1051" s="1" t="s">
        <v>13</v>
      </c>
      <c r="J1051" s="1">
        <v>1043</v>
      </c>
      <c r="K1051" s="1"/>
      <c r="L1051" s="1">
        <v>801</v>
      </c>
      <c r="M1051" s="1">
        <v>0.45</v>
      </c>
      <c r="N1051" s="1">
        <v>9.85</v>
      </c>
      <c r="O1051" s="1">
        <v>9.6940000000000008</v>
      </c>
      <c r="P1051" s="9"/>
    </row>
    <row r="1052" spans="1:16" x14ac:dyDescent="0.25">
      <c r="A1052" s="6">
        <v>10.75</v>
      </c>
      <c r="B1052" s="2">
        <v>51</v>
      </c>
      <c r="C1052" s="2" t="s">
        <v>84</v>
      </c>
      <c r="D1052" s="2">
        <v>4420</v>
      </c>
      <c r="E1052" s="2">
        <v>4030</v>
      </c>
      <c r="F1052" s="2"/>
      <c r="G1052" s="2"/>
      <c r="H1052" s="2"/>
      <c r="I1052" s="2" t="s">
        <v>8</v>
      </c>
      <c r="J1052" s="2">
        <v>756</v>
      </c>
      <c r="K1052" s="2"/>
      <c r="L1052" s="2">
        <v>801</v>
      </c>
      <c r="M1052" s="2">
        <v>0.45</v>
      </c>
      <c r="N1052" s="2">
        <v>9.85</v>
      </c>
      <c r="O1052" s="2">
        <v>9.6940000000000008</v>
      </c>
      <c r="P1052" s="7"/>
    </row>
    <row r="1053" spans="1:16" x14ac:dyDescent="0.25">
      <c r="A1053" s="6">
        <v>10.75</v>
      </c>
      <c r="B1053" s="2">
        <v>51</v>
      </c>
      <c r="C1053" s="2" t="s">
        <v>84</v>
      </c>
      <c r="D1053" s="2">
        <v>4420</v>
      </c>
      <c r="E1053" s="2">
        <v>4030</v>
      </c>
      <c r="F1053" s="2"/>
      <c r="G1053" s="2"/>
      <c r="H1053" s="2"/>
      <c r="I1053" s="2" t="s">
        <v>13</v>
      </c>
      <c r="J1053" s="2">
        <v>1160</v>
      </c>
      <c r="K1053" s="2"/>
      <c r="L1053" s="2">
        <v>801</v>
      </c>
      <c r="M1053" s="2">
        <v>0.45</v>
      </c>
      <c r="N1053" s="2">
        <v>9.85</v>
      </c>
      <c r="O1053" s="2">
        <v>9.6940000000000008</v>
      </c>
      <c r="P1053" s="7"/>
    </row>
    <row r="1054" spans="1:16" x14ac:dyDescent="0.25">
      <c r="A1054" s="8">
        <v>10.75</v>
      </c>
      <c r="B1054" s="1">
        <v>51</v>
      </c>
      <c r="C1054" s="1" t="s">
        <v>111</v>
      </c>
      <c r="D1054" s="1">
        <v>3220</v>
      </c>
      <c r="E1054" s="1">
        <v>5860</v>
      </c>
      <c r="F1054" s="1"/>
      <c r="G1054" s="1"/>
      <c r="H1054" s="1"/>
      <c r="I1054" s="1" t="s">
        <v>8</v>
      </c>
      <c r="J1054" s="1">
        <v>794</v>
      </c>
      <c r="K1054" s="1"/>
      <c r="L1054" s="1">
        <v>1165</v>
      </c>
      <c r="M1054" s="1">
        <v>0.45</v>
      </c>
      <c r="N1054" s="1">
        <v>9.85</v>
      </c>
      <c r="O1054" s="1">
        <v>9.6940000000000008</v>
      </c>
      <c r="P1054" s="9"/>
    </row>
    <row r="1055" spans="1:16" x14ac:dyDescent="0.25">
      <c r="A1055" s="8">
        <v>10.75</v>
      </c>
      <c r="B1055" s="1">
        <v>51</v>
      </c>
      <c r="C1055" s="1" t="s">
        <v>111</v>
      </c>
      <c r="D1055" s="1">
        <v>3220</v>
      </c>
      <c r="E1055" s="1">
        <v>5860</v>
      </c>
      <c r="F1055" s="1"/>
      <c r="G1055" s="1"/>
      <c r="H1055" s="1"/>
      <c r="I1055" s="1" t="s">
        <v>13</v>
      </c>
      <c r="J1055" s="1">
        <v>1190</v>
      </c>
      <c r="K1055" s="1"/>
      <c r="L1055" s="1">
        <v>1165</v>
      </c>
      <c r="M1055" s="1">
        <v>0.45</v>
      </c>
      <c r="N1055" s="1">
        <v>9.85</v>
      </c>
      <c r="O1055" s="1">
        <v>9.6940000000000008</v>
      </c>
      <c r="P1055" s="9"/>
    </row>
    <row r="1056" spans="1:16" x14ac:dyDescent="0.25">
      <c r="A1056" s="6">
        <v>10.75</v>
      </c>
      <c r="B1056" s="2">
        <v>51</v>
      </c>
      <c r="C1056" s="2" t="s">
        <v>88</v>
      </c>
      <c r="D1056" s="2">
        <v>4460</v>
      </c>
      <c r="E1056" s="2">
        <v>5860</v>
      </c>
      <c r="F1056" s="2"/>
      <c r="G1056" s="2"/>
      <c r="H1056" s="2"/>
      <c r="I1056" s="2" t="s">
        <v>8</v>
      </c>
      <c r="J1056" s="2">
        <v>906</v>
      </c>
      <c r="K1056" s="2"/>
      <c r="L1056" s="2">
        <v>1165</v>
      </c>
      <c r="M1056" s="2">
        <v>0.45</v>
      </c>
      <c r="N1056" s="2">
        <v>9.85</v>
      </c>
      <c r="O1056" s="2">
        <v>9.6940000000000008</v>
      </c>
      <c r="P1056" s="7"/>
    </row>
    <row r="1057" spans="1:16" x14ac:dyDescent="0.25">
      <c r="A1057" s="6">
        <v>10.75</v>
      </c>
      <c r="B1057" s="2">
        <v>51</v>
      </c>
      <c r="C1057" s="2" t="s">
        <v>88</v>
      </c>
      <c r="D1057" s="2">
        <v>4460</v>
      </c>
      <c r="E1057" s="2">
        <v>5860</v>
      </c>
      <c r="F1057" s="2"/>
      <c r="G1057" s="2"/>
      <c r="H1057" s="2"/>
      <c r="I1057" s="2" t="s">
        <v>13</v>
      </c>
      <c r="J1057" s="2">
        <v>1316</v>
      </c>
      <c r="K1057" s="2"/>
      <c r="L1057" s="2">
        <v>1165</v>
      </c>
      <c r="M1057" s="2">
        <v>0.45</v>
      </c>
      <c r="N1057" s="2">
        <v>9.85</v>
      </c>
      <c r="O1057" s="2">
        <v>9.6940000000000008</v>
      </c>
      <c r="P1057" s="7"/>
    </row>
    <row r="1058" spans="1:16" x14ac:dyDescent="0.25">
      <c r="A1058" s="8">
        <v>10.75</v>
      </c>
      <c r="B1058" s="1">
        <v>51</v>
      </c>
      <c r="C1058" s="1" t="s">
        <v>112</v>
      </c>
      <c r="D1058" s="1">
        <v>3220</v>
      </c>
      <c r="E1058" s="1">
        <v>5860</v>
      </c>
      <c r="F1058" s="1"/>
      <c r="G1058" s="1"/>
      <c r="H1058" s="1"/>
      <c r="I1058" s="1" t="s">
        <v>8</v>
      </c>
      <c r="J1058" s="1">
        <v>804</v>
      </c>
      <c r="K1058" s="1"/>
      <c r="L1058" s="1">
        <v>1165</v>
      </c>
      <c r="M1058" s="1">
        <v>0.45</v>
      </c>
      <c r="N1058" s="1">
        <v>9.85</v>
      </c>
      <c r="O1058" s="1">
        <v>9.6940000000000008</v>
      </c>
      <c r="P1058" s="9"/>
    </row>
    <row r="1059" spans="1:16" x14ac:dyDescent="0.25">
      <c r="A1059" s="8">
        <v>10.75</v>
      </c>
      <c r="B1059" s="1">
        <v>51</v>
      </c>
      <c r="C1059" s="1" t="s">
        <v>112</v>
      </c>
      <c r="D1059" s="1">
        <v>3220</v>
      </c>
      <c r="E1059" s="1">
        <v>5860</v>
      </c>
      <c r="F1059" s="1"/>
      <c r="G1059" s="1"/>
      <c r="H1059" s="1"/>
      <c r="I1059" s="1" t="s">
        <v>13</v>
      </c>
      <c r="J1059" s="1">
        <v>1228</v>
      </c>
      <c r="K1059" s="1"/>
      <c r="L1059" s="1">
        <v>1165</v>
      </c>
      <c r="M1059" s="1">
        <v>0.45</v>
      </c>
      <c r="N1059" s="1">
        <v>9.85</v>
      </c>
      <c r="O1059" s="1">
        <v>9.6940000000000008</v>
      </c>
      <c r="P1059" s="9"/>
    </row>
    <row r="1060" spans="1:16" ht="14.25" customHeight="1" x14ac:dyDescent="0.25">
      <c r="A1060" s="6">
        <v>10.75</v>
      </c>
      <c r="B1060" s="2">
        <v>51</v>
      </c>
      <c r="C1060" s="2" t="s">
        <v>93</v>
      </c>
      <c r="D1060" s="2">
        <v>4460</v>
      </c>
      <c r="E1060" s="2">
        <v>5860</v>
      </c>
      <c r="F1060" s="2"/>
      <c r="G1060" s="2"/>
      <c r="H1060" s="2"/>
      <c r="I1060" s="2" t="s">
        <v>8</v>
      </c>
      <c r="J1060" s="2">
        <v>916</v>
      </c>
      <c r="K1060" s="2"/>
      <c r="L1060" s="2">
        <v>1165</v>
      </c>
      <c r="M1060" s="2">
        <v>0.45</v>
      </c>
      <c r="N1060" s="2">
        <v>9.85</v>
      </c>
      <c r="O1060" s="2">
        <v>9.6940000000000008</v>
      </c>
      <c r="P1060" s="7"/>
    </row>
    <row r="1061" spans="1:16" ht="14.25" customHeight="1" x14ac:dyDescent="0.25">
      <c r="A1061" s="6">
        <v>10.75</v>
      </c>
      <c r="B1061" s="2">
        <v>51</v>
      </c>
      <c r="C1061" s="2" t="s">
        <v>93</v>
      </c>
      <c r="D1061" s="2">
        <v>4460</v>
      </c>
      <c r="E1061" s="2">
        <v>5860</v>
      </c>
      <c r="F1061" s="2"/>
      <c r="G1061" s="2"/>
      <c r="H1061" s="2"/>
      <c r="I1061" s="2" t="s">
        <v>13</v>
      </c>
      <c r="J1061" s="2">
        <v>1316</v>
      </c>
      <c r="K1061" s="2"/>
      <c r="L1061" s="2">
        <v>1165</v>
      </c>
      <c r="M1061" s="2">
        <v>0.45</v>
      </c>
      <c r="N1061" s="2">
        <v>9.85</v>
      </c>
      <c r="O1061" s="2">
        <v>9.6940000000000008</v>
      </c>
      <c r="P1061" s="7"/>
    </row>
    <row r="1062" spans="1:16" x14ac:dyDescent="0.25">
      <c r="A1062" s="8">
        <v>10.75</v>
      </c>
      <c r="B1062" s="1">
        <v>51</v>
      </c>
      <c r="C1062" s="1" t="s">
        <v>68</v>
      </c>
      <c r="D1062" s="1">
        <v>3400</v>
      </c>
      <c r="E1062" s="1">
        <v>6590</v>
      </c>
      <c r="F1062" s="1"/>
      <c r="G1062" s="1"/>
      <c r="H1062" s="1"/>
      <c r="I1062" s="1" t="s">
        <v>8</v>
      </c>
      <c r="J1062" s="1">
        <v>879</v>
      </c>
      <c r="K1062" s="1"/>
      <c r="L1062" s="1">
        <v>1311</v>
      </c>
      <c r="M1062" s="1">
        <v>0.45</v>
      </c>
      <c r="N1062" s="1">
        <v>9.85</v>
      </c>
      <c r="O1062" s="1">
        <v>9.6940000000000008</v>
      </c>
      <c r="P1062" s="9"/>
    </row>
    <row r="1063" spans="1:16" x14ac:dyDescent="0.25">
      <c r="A1063" s="8">
        <v>10.75</v>
      </c>
      <c r="B1063" s="1">
        <v>51</v>
      </c>
      <c r="C1063" s="1" t="s">
        <v>68</v>
      </c>
      <c r="D1063" s="1">
        <v>3400</v>
      </c>
      <c r="E1063" s="1">
        <v>6590</v>
      </c>
      <c r="F1063" s="1"/>
      <c r="G1063" s="1"/>
      <c r="H1063" s="1"/>
      <c r="I1063" s="1" t="s">
        <v>13</v>
      </c>
      <c r="J1063" s="1">
        <v>1287</v>
      </c>
      <c r="K1063" s="1"/>
      <c r="L1063" s="1">
        <v>1311</v>
      </c>
      <c r="M1063" s="1">
        <v>0.45</v>
      </c>
      <c r="N1063" s="1">
        <v>9.85</v>
      </c>
      <c r="O1063" s="1">
        <v>9.6940000000000008</v>
      </c>
      <c r="P1063" s="9"/>
    </row>
    <row r="1064" spans="1:16" x14ac:dyDescent="0.25">
      <c r="A1064" s="6">
        <v>10.75</v>
      </c>
      <c r="B1064" s="2">
        <v>51</v>
      </c>
      <c r="C1064" s="2" t="s">
        <v>75</v>
      </c>
      <c r="D1064" s="2">
        <v>4460</v>
      </c>
      <c r="E1064" s="2">
        <v>6590</v>
      </c>
      <c r="F1064" s="2"/>
      <c r="G1064" s="2"/>
      <c r="H1064" s="2"/>
      <c r="I1064" s="2" t="s">
        <v>8</v>
      </c>
      <c r="J1064" s="2">
        <v>916</v>
      </c>
      <c r="K1064" s="2"/>
      <c r="L1064" s="2">
        <v>1311</v>
      </c>
      <c r="M1064" s="2">
        <v>0.45</v>
      </c>
      <c r="N1064" s="2">
        <v>9.85</v>
      </c>
      <c r="O1064" s="2">
        <v>9.6940000000000008</v>
      </c>
      <c r="P1064" s="7"/>
    </row>
    <row r="1065" spans="1:16" x14ac:dyDescent="0.25">
      <c r="A1065" s="6">
        <v>10.75</v>
      </c>
      <c r="B1065" s="2">
        <v>51</v>
      </c>
      <c r="C1065" s="2" t="s">
        <v>75</v>
      </c>
      <c r="D1065" s="2">
        <v>4460</v>
      </c>
      <c r="E1065" s="2">
        <v>6590</v>
      </c>
      <c r="F1065" s="2"/>
      <c r="G1065" s="2"/>
      <c r="H1065" s="2"/>
      <c r="I1065" s="2" t="s">
        <v>13</v>
      </c>
      <c r="J1065" s="2">
        <v>1316</v>
      </c>
      <c r="K1065" s="2"/>
      <c r="L1065" s="2">
        <v>1311</v>
      </c>
      <c r="M1065" s="2">
        <v>0.45</v>
      </c>
      <c r="N1065" s="2">
        <v>9.85</v>
      </c>
      <c r="O1065" s="2">
        <v>9.6940000000000008</v>
      </c>
      <c r="P1065" s="7"/>
    </row>
    <row r="1066" spans="1:16" x14ac:dyDescent="0.25">
      <c r="A1066" s="8">
        <v>10.75</v>
      </c>
      <c r="B1066" s="1">
        <v>51</v>
      </c>
      <c r="C1066" s="1" t="s">
        <v>115</v>
      </c>
      <c r="D1066" s="1">
        <v>4460</v>
      </c>
      <c r="E1066" s="1">
        <v>6960</v>
      </c>
      <c r="F1066" s="1"/>
      <c r="G1066" s="1"/>
      <c r="H1066" s="1"/>
      <c r="I1066" s="1" t="s">
        <v>8</v>
      </c>
      <c r="J1066" s="1">
        <v>937</v>
      </c>
      <c r="K1066" s="1"/>
      <c r="L1066" s="1">
        <v>1383</v>
      </c>
      <c r="M1066" s="1">
        <v>0.45</v>
      </c>
      <c r="N1066" s="1">
        <v>9.85</v>
      </c>
      <c r="O1066" s="1">
        <v>9.6940000000000008</v>
      </c>
      <c r="P1066" s="9"/>
    </row>
    <row r="1067" spans="1:16" x14ac:dyDescent="0.25">
      <c r="A1067" s="8">
        <v>10.75</v>
      </c>
      <c r="B1067" s="1">
        <v>51</v>
      </c>
      <c r="C1067" s="1" t="s">
        <v>115</v>
      </c>
      <c r="D1067" s="1">
        <v>4460</v>
      </c>
      <c r="E1067" s="1">
        <v>6960</v>
      </c>
      <c r="F1067" s="1"/>
      <c r="G1067" s="1"/>
      <c r="H1067" s="1"/>
      <c r="I1067" s="1" t="s">
        <v>13</v>
      </c>
      <c r="J1067" s="1">
        <v>1392</v>
      </c>
      <c r="K1067" s="1"/>
      <c r="L1067" s="1">
        <v>1383</v>
      </c>
      <c r="M1067" s="1">
        <v>0.45</v>
      </c>
      <c r="N1067" s="1">
        <v>9.85</v>
      </c>
      <c r="O1067" s="1">
        <v>9.6940000000000008</v>
      </c>
      <c r="P1067" s="9"/>
    </row>
    <row r="1068" spans="1:16" x14ac:dyDescent="0.25">
      <c r="A1068" s="6">
        <v>10.75</v>
      </c>
      <c r="B1068" s="2">
        <v>51</v>
      </c>
      <c r="C1068" s="2" t="s">
        <v>116</v>
      </c>
      <c r="D1068" s="2">
        <v>3480</v>
      </c>
      <c r="E1068" s="2">
        <v>6960</v>
      </c>
      <c r="F1068" s="2"/>
      <c r="G1068" s="2"/>
      <c r="H1068" s="2"/>
      <c r="I1068" s="2" t="s">
        <v>8</v>
      </c>
      <c r="J1068" s="2">
        <v>927</v>
      </c>
      <c r="K1068" s="2"/>
      <c r="L1068" s="2">
        <v>1383</v>
      </c>
      <c r="M1068" s="2">
        <v>0.45</v>
      </c>
      <c r="N1068" s="2">
        <v>9.85</v>
      </c>
      <c r="O1068" s="2">
        <v>9.6940000000000008</v>
      </c>
      <c r="P1068" s="7"/>
    </row>
    <row r="1069" spans="1:16" x14ac:dyDescent="0.25">
      <c r="A1069" s="6">
        <v>10.75</v>
      </c>
      <c r="B1069" s="2">
        <v>51</v>
      </c>
      <c r="C1069" s="2" t="s">
        <v>116</v>
      </c>
      <c r="D1069" s="2">
        <v>3480</v>
      </c>
      <c r="E1069" s="2">
        <v>6960</v>
      </c>
      <c r="F1069" s="2"/>
      <c r="G1069" s="2"/>
      <c r="H1069" s="2"/>
      <c r="I1069" s="2" t="s">
        <v>13</v>
      </c>
      <c r="J1069" s="2">
        <v>1354</v>
      </c>
      <c r="K1069" s="2"/>
      <c r="L1069" s="2">
        <v>1383</v>
      </c>
      <c r="M1069" s="2">
        <v>0.45</v>
      </c>
      <c r="N1069" s="2">
        <v>9.85</v>
      </c>
      <c r="O1069" s="2">
        <v>9.6940000000000008</v>
      </c>
      <c r="P1069" s="7"/>
    </row>
    <row r="1070" spans="1:16" x14ac:dyDescent="0.25">
      <c r="A1070" s="8">
        <v>10.75</v>
      </c>
      <c r="B1070" s="1">
        <v>51</v>
      </c>
      <c r="C1070" s="1" t="s">
        <v>80</v>
      </c>
      <c r="D1070" s="1">
        <v>4460</v>
      </c>
      <c r="E1070" s="1">
        <v>6960</v>
      </c>
      <c r="F1070" s="1"/>
      <c r="G1070" s="1"/>
      <c r="H1070" s="1"/>
      <c r="I1070" s="1" t="s">
        <v>8</v>
      </c>
      <c r="J1070" s="1">
        <v>927</v>
      </c>
      <c r="K1070" s="1"/>
      <c r="L1070" s="1">
        <v>1383</v>
      </c>
      <c r="M1070" s="1">
        <v>0.45</v>
      </c>
      <c r="N1070" s="1">
        <v>9.85</v>
      </c>
      <c r="O1070" s="1">
        <v>9.6940000000000008</v>
      </c>
      <c r="P1070" s="9"/>
    </row>
    <row r="1071" spans="1:16" x14ac:dyDescent="0.25">
      <c r="A1071" s="8">
        <v>10.75</v>
      </c>
      <c r="B1071" s="1">
        <v>51</v>
      </c>
      <c r="C1071" s="1" t="s">
        <v>80</v>
      </c>
      <c r="D1071" s="1">
        <v>4460</v>
      </c>
      <c r="E1071" s="1">
        <v>6960</v>
      </c>
      <c r="F1071" s="1"/>
      <c r="G1071" s="1"/>
      <c r="H1071" s="1"/>
      <c r="I1071" s="1" t="s">
        <v>13</v>
      </c>
      <c r="J1071" s="1">
        <v>1354</v>
      </c>
      <c r="K1071" s="1"/>
      <c r="L1071" s="1">
        <v>1383</v>
      </c>
      <c r="M1071" s="1">
        <v>0.45</v>
      </c>
      <c r="N1071" s="1">
        <v>9.85</v>
      </c>
      <c r="O1071" s="1">
        <v>9.6940000000000008</v>
      </c>
      <c r="P1071" s="9"/>
    </row>
    <row r="1072" spans="1:16" x14ac:dyDescent="0.25">
      <c r="A1072" s="6">
        <v>10.75</v>
      </c>
      <c r="B1072" s="2">
        <v>51</v>
      </c>
      <c r="C1072" s="2" t="s">
        <v>74</v>
      </c>
      <c r="D1072" s="2">
        <v>3480</v>
      </c>
      <c r="E1072" s="2">
        <v>6960</v>
      </c>
      <c r="F1072" s="2"/>
      <c r="G1072" s="2"/>
      <c r="H1072" s="2"/>
      <c r="I1072" s="2" t="s">
        <v>8</v>
      </c>
      <c r="J1072" s="2">
        <v>927</v>
      </c>
      <c r="K1072" s="2"/>
      <c r="L1072" s="2">
        <v>1383</v>
      </c>
      <c r="M1072" s="2">
        <v>0.45</v>
      </c>
      <c r="N1072" s="2">
        <v>9.85</v>
      </c>
      <c r="O1072" s="2">
        <v>9.6940000000000008</v>
      </c>
      <c r="P1072" s="7"/>
    </row>
    <row r="1073" spans="1:16" x14ac:dyDescent="0.25">
      <c r="A1073" s="6">
        <v>10.75</v>
      </c>
      <c r="B1073" s="2">
        <v>51</v>
      </c>
      <c r="C1073" s="2" t="s">
        <v>74</v>
      </c>
      <c r="D1073" s="2">
        <v>3480</v>
      </c>
      <c r="E1073" s="2">
        <v>6960</v>
      </c>
      <c r="F1073" s="2"/>
      <c r="G1073" s="2"/>
      <c r="H1073" s="2"/>
      <c r="I1073" s="2" t="s">
        <v>13</v>
      </c>
      <c r="J1073" s="2">
        <v>1354</v>
      </c>
      <c r="K1073" s="2"/>
      <c r="L1073" s="2">
        <v>1383</v>
      </c>
      <c r="M1073" s="2">
        <v>0.45</v>
      </c>
      <c r="N1073" s="2">
        <v>9.85</v>
      </c>
      <c r="O1073" s="2">
        <v>9.6940000000000008</v>
      </c>
      <c r="P1073" s="7"/>
    </row>
    <row r="1074" spans="1:16" x14ac:dyDescent="0.25">
      <c r="A1074" s="8">
        <v>10.75</v>
      </c>
      <c r="B1074" s="1">
        <v>51</v>
      </c>
      <c r="C1074" s="1" t="s">
        <v>97</v>
      </c>
      <c r="D1074" s="1">
        <v>4460</v>
      </c>
      <c r="E1074" s="1">
        <v>8060</v>
      </c>
      <c r="F1074" s="1"/>
      <c r="G1074" s="1"/>
      <c r="H1074" s="1"/>
      <c r="I1074" s="1" t="s">
        <v>8</v>
      </c>
      <c r="J1074" s="1">
        <v>1080</v>
      </c>
      <c r="K1074" s="1"/>
      <c r="L1074" s="1">
        <v>1602</v>
      </c>
      <c r="M1074" s="1">
        <v>0.45</v>
      </c>
      <c r="N1074" s="1">
        <v>9.85</v>
      </c>
      <c r="O1074" s="1">
        <v>9.6940000000000008</v>
      </c>
      <c r="P1074" s="9"/>
    </row>
    <row r="1075" spans="1:16" x14ac:dyDescent="0.25">
      <c r="A1075" s="8">
        <v>10.75</v>
      </c>
      <c r="B1075" s="1">
        <v>51</v>
      </c>
      <c r="C1075" s="1" t="s">
        <v>97</v>
      </c>
      <c r="D1075" s="1">
        <v>4460</v>
      </c>
      <c r="E1075" s="1">
        <v>8060</v>
      </c>
      <c r="F1075" s="1"/>
      <c r="G1075" s="1"/>
      <c r="H1075" s="1"/>
      <c r="I1075" s="1" t="s">
        <v>13</v>
      </c>
      <c r="J1075" s="1">
        <v>1594</v>
      </c>
      <c r="K1075" s="1"/>
      <c r="L1075" s="1">
        <v>1602</v>
      </c>
      <c r="M1075" s="1">
        <v>0.45</v>
      </c>
      <c r="N1075" s="1">
        <v>9.85</v>
      </c>
      <c r="O1075" s="1">
        <v>9.6940000000000008</v>
      </c>
      <c r="P1075" s="9"/>
    </row>
    <row r="1076" spans="1:16" x14ac:dyDescent="0.25">
      <c r="A1076" s="6">
        <v>10.75</v>
      </c>
      <c r="B1076" s="2">
        <v>51</v>
      </c>
      <c r="C1076" s="2" t="s">
        <v>113</v>
      </c>
      <c r="D1076" s="2">
        <v>3660</v>
      </c>
      <c r="E1076" s="2">
        <v>8060</v>
      </c>
      <c r="F1076" s="2"/>
      <c r="G1076" s="2"/>
      <c r="H1076" s="2"/>
      <c r="I1076" s="2" t="s">
        <v>8</v>
      </c>
      <c r="J1076" s="2">
        <v>1080</v>
      </c>
      <c r="K1076" s="2"/>
      <c r="L1076" s="2">
        <v>1602</v>
      </c>
      <c r="M1076" s="2">
        <v>0.45</v>
      </c>
      <c r="N1076" s="2">
        <v>9.85</v>
      </c>
      <c r="O1076" s="2">
        <v>9.6940000000000008</v>
      </c>
      <c r="P1076" s="7"/>
    </row>
    <row r="1077" spans="1:16" x14ac:dyDescent="0.25">
      <c r="A1077" s="6">
        <v>10.75</v>
      </c>
      <c r="B1077" s="2">
        <v>51</v>
      </c>
      <c r="C1077" s="2" t="s">
        <v>113</v>
      </c>
      <c r="D1077" s="2">
        <v>3660</v>
      </c>
      <c r="E1077" s="2">
        <v>8060</v>
      </c>
      <c r="F1077" s="2"/>
      <c r="G1077" s="2"/>
      <c r="H1077" s="2"/>
      <c r="I1077" s="2" t="s">
        <v>13</v>
      </c>
      <c r="J1077" s="2">
        <v>1594</v>
      </c>
      <c r="K1077" s="2"/>
      <c r="L1077" s="2">
        <v>1602</v>
      </c>
      <c r="M1077" s="2">
        <v>0.45</v>
      </c>
      <c r="N1077" s="2">
        <v>9.85</v>
      </c>
      <c r="O1077" s="2">
        <v>9.6940000000000008</v>
      </c>
      <c r="P1077" s="7"/>
    </row>
    <row r="1078" spans="1:16" x14ac:dyDescent="0.25">
      <c r="A1078" s="8">
        <v>10.75</v>
      </c>
      <c r="B1078" s="1">
        <v>51</v>
      </c>
      <c r="C1078" s="1" t="s">
        <v>99</v>
      </c>
      <c r="D1078" s="1">
        <v>4660</v>
      </c>
      <c r="E1078" s="1">
        <v>9160</v>
      </c>
      <c r="F1078" s="1"/>
      <c r="G1078" s="1"/>
      <c r="H1078" s="1"/>
      <c r="I1078" s="1" t="s">
        <v>8</v>
      </c>
      <c r="J1078" s="1">
        <v>1213</v>
      </c>
      <c r="K1078" s="1"/>
      <c r="L1078" s="1">
        <v>1820</v>
      </c>
      <c r="M1078" s="1">
        <v>0.45</v>
      </c>
      <c r="N1078" s="1">
        <v>9.85</v>
      </c>
      <c r="O1078" s="1">
        <v>9.6940000000000008</v>
      </c>
      <c r="P1078" s="9"/>
    </row>
    <row r="1079" spans="1:16" x14ac:dyDescent="0.25">
      <c r="A1079" s="8">
        <v>10.75</v>
      </c>
      <c r="B1079" s="1">
        <v>51</v>
      </c>
      <c r="C1079" s="1" t="s">
        <v>99</v>
      </c>
      <c r="D1079" s="1">
        <v>4660</v>
      </c>
      <c r="E1079" s="1">
        <v>9160</v>
      </c>
      <c r="F1079" s="1"/>
      <c r="G1079" s="1"/>
      <c r="H1079" s="1"/>
      <c r="I1079" s="1" t="s">
        <v>13</v>
      </c>
      <c r="J1079" s="1">
        <v>1758</v>
      </c>
      <c r="K1079" s="1"/>
      <c r="L1079" s="1">
        <v>1820</v>
      </c>
      <c r="M1079" s="1">
        <v>0.45</v>
      </c>
      <c r="N1079" s="1">
        <v>9.85</v>
      </c>
      <c r="O1079" s="1">
        <v>9.6940000000000008</v>
      </c>
      <c r="P1079" s="9"/>
    </row>
    <row r="1080" spans="1:16" x14ac:dyDescent="0.25">
      <c r="A1080" s="6">
        <v>10.75</v>
      </c>
      <c r="B1080" s="2">
        <v>51</v>
      </c>
      <c r="C1080" s="2" t="s">
        <v>114</v>
      </c>
      <c r="D1080" s="2">
        <v>3740</v>
      </c>
      <c r="E1080" s="2">
        <v>9160</v>
      </c>
      <c r="F1080" s="2"/>
      <c r="G1080" s="2"/>
      <c r="H1080" s="2"/>
      <c r="I1080" s="2" t="s">
        <v>8</v>
      </c>
      <c r="J1080" s="2">
        <v>1213</v>
      </c>
      <c r="K1080" s="2"/>
      <c r="L1080" s="2">
        <v>1820</v>
      </c>
      <c r="M1080" s="2">
        <v>0.45</v>
      </c>
      <c r="N1080" s="2">
        <v>9.85</v>
      </c>
      <c r="O1080" s="2">
        <v>9.6940000000000008</v>
      </c>
      <c r="P1080" s="7"/>
    </row>
    <row r="1081" spans="1:16" x14ac:dyDescent="0.25">
      <c r="A1081" s="6">
        <v>10.75</v>
      </c>
      <c r="B1081" s="2">
        <v>51</v>
      </c>
      <c r="C1081" s="2" t="s">
        <v>114</v>
      </c>
      <c r="D1081" s="2">
        <v>3740</v>
      </c>
      <c r="E1081" s="2">
        <v>9160</v>
      </c>
      <c r="F1081" s="2"/>
      <c r="G1081" s="2"/>
      <c r="H1081" s="2"/>
      <c r="I1081" s="2" t="s">
        <v>13</v>
      </c>
      <c r="J1081" s="2">
        <v>1758</v>
      </c>
      <c r="K1081" s="2"/>
      <c r="L1081" s="2">
        <v>1820</v>
      </c>
      <c r="M1081" s="2">
        <v>0.45</v>
      </c>
      <c r="N1081" s="2">
        <v>9.85</v>
      </c>
      <c r="O1081" s="2">
        <v>9.6940000000000008</v>
      </c>
      <c r="P1081" s="7"/>
    </row>
    <row r="1082" spans="1:16" x14ac:dyDescent="0.25">
      <c r="A1082" s="8">
        <v>10.75</v>
      </c>
      <c r="B1082" s="1">
        <v>55.5</v>
      </c>
      <c r="C1082" s="1" t="s">
        <v>84</v>
      </c>
      <c r="D1082" s="1">
        <v>5220</v>
      </c>
      <c r="E1082" s="1">
        <v>4430</v>
      </c>
      <c r="F1082" s="1"/>
      <c r="G1082" s="1"/>
      <c r="H1082" s="1"/>
      <c r="I1082" s="1" t="s">
        <v>8</v>
      </c>
      <c r="J1082" s="1">
        <v>843</v>
      </c>
      <c r="K1082" s="1"/>
      <c r="L1082" s="1">
        <v>877</v>
      </c>
      <c r="M1082" s="1">
        <v>0.495</v>
      </c>
      <c r="N1082" s="1">
        <v>9.76</v>
      </c>
      <c r="O1082" s="1">
        <v>9.6039999999999992</v>
      </c>
      <c r="P1082" s="9">
        <v>9.625</v>
      </c>
    </row>
    <row r="1083" spans="1:16" x14ac:dyDescent="0.25">
      <c r="A1083" s="8">
        <v>10.75</v>
      </c>
      <c r="B1083" s="1">
        <v>55.5</v>
      </c>
      <c r="C1083" s="1" t="s">
        <v>84</v>
      </c>
      <c r="D1083" s="1">
        <v>5220</v>
      </c>
      <c r="E1083" s="1">
        <v>4430</v>
      </c>
      <c r="F1083" s="1"/>
      <c r="G1083" s="1"/>
      <c r="H1083" s="1"/>
      <c r="I1083" s="1" t="s">
        <v>13</v>
      </c>
      <c r="J1083" s="1">
        <v>1271</v>
      </c>
      <c r="K1083" s="1"/>
      <c r="L1083" s="1">
        <v>877</v>
      </c>
      <c r="M1083" s="1">
        <v>0.495</v>
      </c>
      <c r="N1083" s="1">
        <v>9.76</v>
      </c>
      <c r="O1083" s="1">
        <v>9.6039999999999992</v>
      </c>
      <c r="P1083" s="9">
        <v>9.625</v>
      </c>
    </row>
    <row r="1084" spans="1:16" x14ac:dyDescent="0.25">
      <c r="A1084" s="6">
        <v>10.75</v>
      </c>
      <c r="B1084" s="2">
        <v>55.5</v>
      </c>
      <c r="C1084" s="2" t="s">
        <v>111</v>
      </c>
      <c r="D1084" s="2">
        <v>4020</v>
      </c>
      <c r="E1084" s="2">
        <v>6450</v>
      </c>
      <c r="F1084" s="2"/>
      <c r="G1084" s="2"/>
      <c r="H1084" s="2"/>
      <c r="I1084" s="2" t="s">
        <v>8</v>
      </c>
      <c r="J1084" s="2">
        <v>884</v>
      </c>
      <c r="K1084" s="2"/>
      <c r="L1084" s="2">
        <v>1276</v>
      </c>
      <c r="M1084" s="2">
        <v>0.495</v>
      </c>
      <c r="N1084" s="2">
        <v>9.76</v>
      </c>
      <c r="O1084" s="2">
        <v>9.6039999999999992</v>
      </c>
      <c r="P1084" s="7">
        <v>9.625</v>
      </c>
    </row>
    <row r="1085" spans="1:16" x14ac:dyDescent="0.25">
      <c r="A1085" s="6">
        <v>10.75</v>
      </c>
      <c r="B1085" s="2">
        <v>55.5</v>
      </c>
      <c r="C1085" s="2" t="s">
        <v>111</v>
      </c>
      <c r="D1085" s="2">
        <v>4020</v>
      </c>
      <c r="E1085" s="2">
        <v>6450</v>
      </c>
      <c r="F1085" s="2"/>
      <c r="G1085" s="2"/>
      <c r="H1085" s="2"/>
      <c r="I1085" s="2" t="s">
        <v>13</v>
      </c>
      <c r="J1085" s="2">
        <v>1303</v>
      </c>
      <c r="K1085" s="2"/>
      <c r="L1085" s="2">
        <v>1276</v>
      </c>
      <c r="M1085" s="2">
        <v>0.495</v>
      </c>
      <c r="N1085" s="2">
        <v>9.76</v>
      </c>
      <c r="O1085" s="2">
        <v>9.6039999999999992</v>
      </c>
      <c r="P1085" s="7">
        <v>9.625</v>
      </c>
    </row>
    <row r="1086" spans="1:16" x14ac:dyDescent="0.25">
      <c r="A1086" s="8">
        <v>10.75</v>
      </c>
      <c r="B1086" s="1">
        <v>55.5</v>
      </c>
      <c r="C1086" s="1" t="s">
        <v>88</v>
      </c>
      <c r="D1086" s="1">
        <v>5950</v>
      </c>
      <c r="E1086" s="1">
        <v>6450</v>
      </c>
      <c r="F1086" s="1"/>
      <c r="G1086" s="1"/>
      <c r="H1086" s="1"/>
      <c r="I1086" s="1" t="s">
        <v>8</v>
      </c>
      <c r="J1086" s="1">
        <v>1010</v>
      </c>
      <c r="K1086" s="1"/>
      <c r="L1086" s="1">
        <v>1276</v>
      </c>
      <c r="M1086" s="1">
        <v>0.495</v>
      </c>
      <c r="N1086" s="1">
        <v>9.76</v>
      </c>
      <c r="O1086" s="1">
        <v>9.6039999999999992</v>
      </c>
      <c r="P1086" s="9">
        <v>9.625</v>
      </c>
    </row>
    <row r="1087" spans="1:16" x14ac:dyDescent="0.25">
      <c r="A1087" s="8">
        <v>10.75</v>
      </c>
      <c r="B1087" s="1">
        <v>55.5</v>
      </c>
      <c r="C1087" s="1" t="s">
        <v>88</v>
      </c>
      <c r="D1087" s="1">
        <v>5950</v>
      </c>
      <c r="E1087" s="1">
        <v>6450</v>
      </c>
      <c r="F1087" s="1"/>
      <c r="G1087" s="1"/>
      <c r="H1087" s="1"/>
      <c r="I1087" s="1" t="s">
        <v>13</v>
      </c>
      <c r="J1087" s="1">
        <v>1441</v>
      </c>
      <c r="K1087" s="1"/>
      <c r="L1087" s="1">
        <v>1276</v>
      </c>
      <c r="M1087" s="1">
        <v>0.495</v>
      </c>
      <c r="N1087" s="1">
        <v>9.76</v>
      </c>
      <c r="O1087" s="1">
        <v>9.6039999999999992</v>
      </c>
      <c r="P1087" s="9">
        <v>9.625</v>
      </c>
    </row>
    <row r="1088" spans="1:16" x14ac:dyDescent="0.25">
      <c r="A1088" s="6">
        <v>10.75</v>
      </c>
      <c r="B1088" s="2">
        <v>55.5</v>
      </c>
      <c r="C1088" s="2" t="s">
        <v>112</v>
      </c>
      <c r="D1088" s="2">
        <v>4020</v>
      </c>
      <c r="E1088" s="2">
        <v>6450</v>
      </c>
      <c r="F1088" s="2"/>
      <c r="G1088" s="2"/>
      <c r="H1088" s="2"/>
      <c r="I1088" s="2" t="s">
        <v>8</v>
      </c>
      <c r="J1088" s="2">
        <v>895</v>
      </c>
      <c r="K1088" s="2"/>
      <c r="L1088" s="2">
        <v>1276</v>
      </c>
      <c r="M1088" s="2">
        <v>0.495</v>
      </c>
      <c r="N1088" s="2">
        <v>9.76</v>
      </c>
      <c r="O1088" s="2">
        <v>9.6039999999999992</v>
      </c>
      <c r="P1088" s="7">
        <v>9.625</v>
      </c>
    </row>
    <row r="1089" spans="1:16" x14ac:dyDescent="0.25">
      <c r="A1089" s="6">
        <v>10.75</v>
      </c>
      <c r="B1089" s="2">
        <v>55.5</v>
      </c>
      <c r="C1089" s="2" t="s">
        <v>112</v>
      </c>
      <c r="D1089" s="2">
        <v>4020</v>
      </c>
      <c r="E1089" s="2">
        <v>6450</v>
      </c>
      <c r="F1089" s="2"/>
      <c r="G1089" s="2"/>
      <c r="H1089" s="2"/>
      <c r="I1089" s="2" t="s">
        <v>13</v>
      </c>
      <c r="J1089" s="2">
        <v>1345</v>
      </c>
      <c r="K1089" s="2"/>
      <c r="L1089" s="2">
        <v>1276</v>
      </c>
      <c r="M1089" s="2">
        <v>0.495</v>
      </c>
      <c r="N1089" s="2">
        <v>9.76</v>
      </c>
      <c r="O1089" s="2">
        <v>9.6039999999999992</v>
      </c>
      <c r="P1089" s="7">
        <v>9.625</v>
      </c>
    </row>
    <row r="1090" spans="1:16" x14ac:dyDescent="0.25">
      <c r="A1090" s="8">
        <v>10.75</v>
      </c>
      <c r="B1090" s="1">
        <v>55.5</v>
      </c>
      <c r="C1090" s="1" t="s">
        <v>93</v>
      </c>
      <c r="D1090" s="1">
        <v>5950</v>
      </c>
      <c r="E1090" s="1">
        <v>6450</v>
      </c>
      <c r="F1090" s="1"/>
      <c r="G1090" s="1"/>
      <c r="H1090" s="1"/>
      <c r="I1090" s="1" t="s">
        <v>8</v>
      </c>
      <c r="J1090" s="1">
        <v>1021</v>
      </c>
      <c r="K1090" s="1"/>
      <c r="L1090" s="1">
        <v>1276</v>
      </c>
      <c r="M1090" s="1">
        <v>0.495</v>
      </c>
      <c r="N1090" s="1">
        <v>9.76</v>
      </c>
      <c r="O1090" s="1">
        <v>9.6039999999999992</v>
      </c>
      <c r="P1090" s="9">
        <v>9.625</v>
      </c>
    </row>
    <row r="1091" spans="1:16" x14ac:dyDescent="0.25">
      <c r="A1091" s="8">
        <v>10.75</v>
      </c>
      <c r="B1091" s="1">
        <v>55.5</v>
      </c>
      <c r="C1091" s="1" t="s">
        <v>93</v>
      </c>
      <c r="D1091" s="1">
        <v>5950</v>
      </c>
      <c r="E1091" s="1">
        <v>6450</v>
      </c>
      <c r="F1091" s="1"/>
      <c r="G1091" s="1"/>
      <c r="H1091" s="1"/>
      <c r="I1091" s="1" t="s">
        <v>13</v>
      </c>
      <c r="J1091" s="1">
        <v>1441</v>
      </c>
      <c r="K1091" s="1"/>
      <c r="L1091" s="1">
        <v>1276</v>
      </c>
      <c r="M1091" s="1">
        <v>0.495</v>
      </c>
      <c r="N1091" s="1">
        <v>9.76</v>
      </c>
      <c r="O1091" s="1">
        <v>9.6039999999999992</v>
      </c>
      <c r="P1091" s="9">
        <v>9.625</v>
      </c>
    </row>
    <row r="1092" spans="1:16" x14ac:dyDescent="0.25">
      <c r="A1092" s="6">
        <v>10.75</v>
      </c>
      <c r="B1092" s="2">
        <v>55.5</v>
      </c>
      <c r="C1092" s="2" t="s">
        <v>68</v>
      </c>
      <c r="D1092" s="2">
        <v>4160</v>
      </c>
      <c r="E1092" s="2">
        <v>7250</v>
      </c>
      <c r="F1092" s="2"/>
      <c r="G1092" s="2"/>
      <c r="H1092" s="2"/>
      <c r="I1092" s="2" t="s">
        <v>8</v>
      </c>
      <c r="J1092" s="2">
        <v>979</v>
      </c>
      <c r="K1092" s="2"/>
      <c r="L1092" s="2">
        <v>1435</v>
      </c>
      <c r="M1092" s="2">
        <v>0.495</v>
      </c>
      <c r="N1092" s="2">
        <v>9.76</v>
      </c>
      <c r="O1092" s="2">
        <v>9.6039999999999992</v>
      </c>
      <c r="P1092" s="7">
        <v>9.625</v>
      </c>
    </row>
    <row r="1093" spans="1:16" x14ac:dyDescent="0.25">
      <c r="A1093" s="6">
        <v>10.75</v>
      </c>
      <c r="B1093" s="2">
        <v>55.5</v>
      </c>
      <c r="C1093" s="2" t="s">
        <v>68</v>
      </c>
      <c r="D1093" s="2">
        <v>4160</v>
      </c>
      <c r="E1093" s="2">
        <v>7250</v>
      </c>
      <c r="F1093" s="2"/>
      <c r="G1093" s="2"/>
      <c r="H1093" s="2"/>
      <c r="I1093" s="2" t="s">
        <v>13</v>
      </c>
      <c r="J1093" s="2">
        <v>1409</v>
      </c>
      <c r="K1093" s="2"/>
      <c r="L1093" s="2">
        <v>1435</v>
      </c>
      <c r="M1093" s="2">
        <v>0.495</v>
      </c>
      <c r="N1093" s="2">
        <v>9.76</v>
      </c>
      <c r="O1093" s="2">
        <v>9.6039999999999992</v>
      </c>
      <c r="P1093" s="7">
        <v>9.625</v>
      </c>
    </row>
    <row r="1094" spans="1:16" x14ac:dyDescent="0.25">
      <c r="A1094" s="8">
        <v>10.75</v>
      </c>
      <c r="B1094" s="1">
        <v>55.5</v>
      </c>
      <c r="C1094" s="1" t="s">
        <v>75</v>
      </c>
      <c r="D1094" s="1">
        <v>5950</v>
      </c>
      <c r="E1094" s="1">
        <v>7250</v>
      </c>
      <c r="F1094" s="1"/>
      <c r="G1094" s="1"/>
      <c r="H1094" s="1"/>
      <c r="I1094" s="1" t="s">
        <v>8</v>
      </c>
      <c r="J1094" s="1">
        <v>1021</v>
      </c>
      <c r="K1094" s="1"/>
      <c r="L1094" s="1">
        <v>1435</v>
      </c>
      <c r="M1094" s="1">
        <v>0.495</v>
      </c>
      <c r="N1094" s="1">
        <v>9.76</v>
      </c>
      <c r="O1094" s="1">
        <v>9.6039999999999992</v>
      </c>
      <c r="P1094" s="9">
        <v>9.625</v>
      </c>
    </row>
    <row r="1095" spans="1:16" x14ac:dyDescent="0.25">
      <c r="A1095" s="8">
        <v>10.75</v>
      </c>
      <c r="B1095" s="1">
        <v>55.5</v>
      </c>
      <c r="C1095" s="1" t="s">
        <v>75</v>
      </c>
      <c r="D1095" s="1">
        <v>5950</v>
      </c>
      <c r="E1095" s="1">
        <v>7250</v>
      </c>
      <c r="F1095" s="1"/>
      <c r="G1095" s="1"/>
      <c r="H1095" s="1"/>
      <c r="I1095" s="1" t="s">
        <v>13</v>
      </c>
      <c r="J1095" s="1">
        <v>1441</v>
      </c>
      <c r="K1095" s="1"/>
      <c r="L1095" s="1">
        <v>1435</v>
      </c>
      <c r="M1095" s="1">
        <v>0.495</v>
      </c>
      <c r="N1095" s="1">
        <v>9.76</v>
      </c>
      <c r="O1095" s="1">
        <v>9.6039999999999992</v>
      </c>
      <c r="P1095" s="9">
        <v>9.625</v>
      </c>
    </row>
    <row r="1096" spans="1:16" x14ac:dyDescent="0.25">
      <c r="A1096" s="6">
        <v>10.75</v>
      </c>
      <c r="B1096" s="2">
        <v>55.5</v>
      </c>
      <c r="C1096" s="2" t="s">
        <v>115</v>
      </c>
      <c r="D1096" s="2">
        <v>5950</v>
      </c>
      <c r="E1096" s="2">
        <v>7660</v>
      </c>
      <c r="F1096" s="2"/>
      <c r="G1096" s="2"/>
      <c r="H1096" s="2"/>
      <c r="I1096" s="2" t="s">
        <v>8</v>
      </c>
      <c r="J1096" s="2">
        <v>1043</v>
      </c>
      <c r="K1096" s="2"/>
      <c r="L1096" s="2">
        <v>1515</v>
      </c>
      <c r="M1096" s="2">
        <v>0.495</v>
      </c>
      <c r="N1096" s="2">
        <v>9.76</v>
      </c>
      <c r="O1096" s="2">
        <v>9.6039999999999992</v>
      </c>
      <c r="P1096" s="7">
        <v>9.625</v>
      </c>
    </row>
    <row r="1097" spans="1:16" x14ac:dyDescent="0.25">
      <c r="A1097" s="6">
        <v>10.75</v>
      </c>
      <c r="B1097" s="2">
        <v>55.5</v>
      </c>
      <c r="C1097" s="2" t="s">
        <v>115</v>
      </c>
      <c r="D1097" s="2">
        <v>5950</v>
      </c>
      <c r="E1097" s="2">
        <v>7660</v>
      </c>
      <c r="F1097" s="2"/>
      <c r="G1097" s="2"/>
      <c r="H1097" s="2"/>
      <c r="I1097" s="2" t="s">
        <v>13</v>
      </c>
      <c r="J1097" s="2">
        <v>1524</v>
      </c>
      <c r="K1097" s="2"/>
      <c r="L1097" s="2">
        <v>1515</v>
      </c>
      <c r="M1097" s="2">
        <v>0.495</v>
      </c>
      <c r="N1097" s="2">
        <v>9.76</v>
      </c>
      <c r="O1097" s="2">
        <v>9.6039999999999992</v>
      </c>
      <c r="P1097" s="7">
        <v>9.625</v>
      </c>
    </row>
    <row r="1098" spans="1:16" x14ac:dyDescent="0.25">
      <c r="A1098" s="8">
        <v>10.75</v>
      </c>
      <c r="B1098" s="1">
        <v>55.5</v>
      </c>
      <c r="C1098" s="1" t="s">
        <v>116</v>
      </c>
      <c r="D1098" s="1">
        <v>4290</v>
      </c>
      <c r="E1098" s="1">
        <v>7660</v>
      </c>
      <c r="F1098" s="1"/>
      <c r="G1098" s="1"/>
      <c r="H1098" s="1"/>
      <c r="I1098" s="1" t="s">
        <v>8</v>
      </c>
      <c r="J1098" s="1">
        <v>1032</v>
      </c>
      <c r="K1098" s="1"/>
      <c r="L1098" s="1">
        <v>1515</v>
      </c>
      <c r="M1098" s="1">
        <v>0.495</v>
      </c>
      <c r="N1098" s="1">
        <v>9.76</v>
      </c>
      <c r="O1098" s="1">
        <v>9.6039999999999992</v>
      </c>
      <c r="P1098" s="9"/>
    </row>
    <row r="1099" spans="1:16" x14ac:dyDescent="0.25">
      <c r="A1099" s="8">
        <v>10.75</v>
      </c>
      <c r="B1099" s="1">
        <v>55.5</v>
      </c>
      <c r="C1099" s="1" t="s">
        <v>116</v>
      </c>
      <c r="D1099" s="1">
        <v>4290</v>
      </c>
      <c r="E1099" s="1">
        <v>7660</v>
      </c>
      <c r="F1099" s="1"/>
      <c r="G1099" s="1"/>
      <c r="H1099" s="1"/>
      <c r="I1099" s="1" t="s">
        <v>13</v>
      </c>
      <c r="J1099" s="1">
        <v>1483</v>
      </c>
      <c r="K1099" s="1"/>
      <c r="L1099" s="1">
        <v>1515</v>
      </c>
      <c r="M1099" s="1">
        <v>0.495</v>
      </c>
      <c r="N1099" s="1">
        <v>9.76</v>
      </c>
      <c r="O1099" s="1">
        <v>9.6039999999999992</v>
      </c>
      <c r="P1099" s="9"/>
    </row>
    <row r="1100" spans="1:16" x14ac:dyDescent="0.25">
      <c r="A1100" s="6">
        <v>10.75</v>
      </c>
      <c r="B1100" s="2">
        <v>55.5</v>
      </c>
      <c r="C1100" s="2" t="s">
        <v>80</v>
      </c>
      <c r="D1100" s="2">
        <v>5950</v>
      </c>
      <c r="E1100" s="2">
        <v>7660</v>
      </c>
      <c r="F1100" s="2"/>
      <c r="G1100" s="2"/>
      <c r="H1100" s="2"/>
      <c r="I1100" s="2" t="s">
        <v>8</v>
      </c>
      <c r="J1100" s="2">
        <v>1032</v>
      </c>
      <c r="K1100" s="2"/>
      <c r="L1100" s="2">
        <v>1515</v>
      </c>
      <c r="M1100" s="2">
        <v>0.495</v>
      </c>
      <c r="N1100" s="2">
        <v>9.76</v>
      </c>
      <c r="O1100" s="2">
        <v>9.6039999999999992</v>
      </c>
      <c r="P1100" s="7">
        <v>9.625</v>
      </c>
    </row>
    <row r="1101" spans="1:16" x14ac:dyDescent="0.25">
      <c r="A1101" s="6">
        <v>10.75</v>
      </c>
      <c r="B1101" s="2">
        <v>55.5</v>
      </c>
      <c r="C1101" s="2" t="s">
        <v>80</v>
      </c>
      <c r="D1101" s="2">
        <v>5950</v>
      </c>
      <c r="E1101" s="2">
        <v>7660</v>
      </c>
      <c r="F1101" s="2"/>
      <c r="G1101" s="2"/>
      <c r="H1101" s="2"/>
      <c r="I1101" s="2" t="s">
        <v>13</v>
      </c>
      <c r="J1101" s="2">
        <v>1483</v>
      </c>
      <c r="K1101" s="2"/>
      <c r="L1101" s="2">
        <v>1515</v>
      </c>
      <c r="M1101" s="2">
        <v>0.495</v>
      </c>
      <c r="N1101" s="2">
        <v>9.76</v>
      </c>
      <c r="O1101" s="2">
        <v>9.6039999999999992</v>
      </c>
      <c r="P1101" s="7">
        <v>9.625</v>
      </c>
    </row>
    <row r="1102" spans="1:16" x14ac:dyDescent="0.25">
      <c r="A1102" s="8">
        <v>10.75</v>
      </c>
      <c r="B1102" s="1">
        <v>55.5</v>
      </c>
      <c r="C1102" s="1" t="s">
        <v>74</v>
      </c>
      <c r="D1102" s="1">
        <v>4290</v>
      </c>
      <c r="E1102" s="1">
        <v>7660</v>
      </c>
      <c r="F1102" s="1"/>
      <c r="G1102" s="1"/>
      <c r="H1102" s="1"/>
      <c r="I1102" s="1" t="s">
        <v>8</v>
      </c>
      <c r="J1102" s="1">
        <v>1032</v>
      </c>
      <c r="K1102" s="1"/>
      <c r="L1102" s="1">
        <v>1515</v>
      </c>
      <c r="M1102" s="1">
        <v>0.495</v>
      </c>
      <c r="N1102" s="1">
        <v>9.76</v>
      </c>
      <c r="O1102" s="1">
        <v>9.6039999999999992</v>
      </c>
      <c r="P1102" s="9">
        <v>9.625</v>
      </c>
    </row>
    <row r="1103" spans="1:16" x14ac:dyDescent="0.25">
      <c r="A1103" s="8">
        <v>10.75</v>
      </c>
      <c r="B1103" s="1">
        <v>55.5</v>
      </c>
      <c r="C1103" s="1" t="s">
        <v>74</v>
      </c>
      <c r="D1103" s="1">
        <v>4290</v>
      </c>
      <c r="E1103" s="1">
        <v>7660</v>
      </c>
      <c r="F1103" s="1"/>
      <c r="G1103" s="1"/>
      <c r="H1103" s="1"/>
      <c r="I1103" s="1" t="s">
        <v>13</v>
      </c>
      <c r="J1103" s="1">
        <v>1483</v>
      </c>
      <c r="K1103" s="1"/>
      <c r="L1103" s="1">
        <v>1515</v>
      </c>
      <c r="M1103" s="1">
        <v>0.495</v>
      </c>
      <c r="N1103" s="1">
        <v>9.76</v>
      </c>
      <c r="O1103" s="1">
        <v>9.6039999999999992</v>
      </c>
      <c r="P1103" s="9">
        <v>9.625</v>
      </c>
    </row>
    <row r="1104" spans="1:16" x14ac:dyDescent="0.25">
      <c r="A1104" s="6">
        <v>10.75</v>
      </c>
      <c r="B1104" s="2">
        <v>55.5</v>
      </c>
      <c r="C1104" s="2" t="s">
        <v>97</v>
      </c>
      <c r="D1104" s="2">
        <v>5950</v>
      </c>
      <c r="E1104" s="2">
        <v>8860</v>
      </c>
      <c r="F1104" s="2"/>
      <c r="G1104" s="2"/>
      <c r="H1104" s="2"/>
      <c r="I1104" s="2" t="s">
        <v>8</v>
      </c>
      <c r="J1104" s="2">
        <v>1203</v>
      </c>
      <c r="K1104" s="2"/>
      <c r="L1104" s="2">
        <v>1754</v>
      </c>
      <c r="M1104" s="2">
        <v>0.495</v>
      </c>
      <c r="N1104" s="2">
        <v>9.76</v>
      </c>
      <c r="O1104" s="2">
        <v>9.6039999999999992</v>
      </c>
      <c r="P1104" s="7">
        <v>9.625</v>
      </c>
    </row>
    <row r="1105" spans="1:16" x14ac:dyDescent="0.25">
      <c r="A1105" s="6">
        <v>10.75</v>
      </c>
      <c r="B1105" s="2">
        <v>55.5</v>
      </c>
      <c r="C1105" s="2" t="s">
        <v>97</v>
      </c>
      <c r="D1105" s="2">
        <v>5950</v>
      </c>
      <c r="E1105" s="2">
        <v>8860</v>
      </c>
      <c r="F1105" s="2"/>
      <c r="G1105" s="2"/>
      <c r="H1105" s="2"/>
      <c r="I1105" s="2" t="s">
        <v>13</v>
      </c>
      <c r="J1105" s="2">
        <v>1745</v>
      </c>
      <c r="K1105" s="2"/>
      <c r="L1105" s="2">
        <v>1754</v>
      </c>
      <c r="M1105" s="2">
        <v>0.495</v>
      </c>
      <c r="N1105" s="2">
        <v>9.76</v>
      </c>
      <c r="O1105" s="2">
        <v>9.6039999999999992</v>
      </c>
      <c r="P1105" s="7">
        <v>9.625</v>
      </c>
    </row>
    <row r="1106" spans="1:16" x14ac:dyDescent="0.25">
      <c r="A1106" s="8">
        <v>10.75</v>
      </c>
      <c r="B1106" s="1">
        <v>55.5</v>
      </c>
      <c r="C1106" s="1" t="s">
        <v>113</v>
      </c>
      <c r="D1106" s="1">
        <v>4610</v>
      </c>
      <c r="E1106" s="1">
        <v>8860</v>
      </c>
      <c r="F1106" s="1"/>
      <c r="G1106" s="1"/>
      <c r="H1106" s="1"/>
      <c r="I1106" s="1" t="s">
        <v>8</v>
      </c>
      <c r="J1106" s="1">
        <v>1203</v>
      </c>
      <c r="K1106" s="1"/>
      <c r="L1106" s="1">
        <v>1754</v>
      </c>
      <c r="M1106" s="1">
        <v>0.495</v>
      </c>
      <c r="N1106" s="1">
        <v>9.76</v>
      </c>
      <c r="O1106" s="1">
        <v>9.6039999999999992</v>
      </c>
      <c r="P1106" s="9">
        <v>9.625</v>
      </c>
    </row>
    <row r="1107" spans="1:16" x14ac:dyDescent="0.25">
      <c r="A1107" s="8">
        <v>10.75</v>
      </c>
      <c r="B1107" s="1">
        <v>55.5</v>
      </c>
      <c r="C1107" s="1" t="s">
        <v>113</v>
      </c>
      <c r="D1107" s="1">
        <v>4610</v>
      </c>
      <c r="E1107" s="1">
        <v>8860</v>
      </c>
      <c r="F1107" s="1"/>
      <c r="G1107" s="1"/>
      <c r="H1107" s="1"/>
      <c r="I1107" s="1" t="s">
        <v>13</v>
      </c>
      <c r="J1107" s="1">
        <v>1745</v>
      </c>
      <c r="K1107" s="1"/>
      <c r="L1107" s="1">
        <v>1754</v>
      </c>
      <c r="M1107" s="1">
        <v>0.495</v>
      </c>
      <c r="N1107" s="1">
        <v>9.76</v>
      </c>
      <c r="O1107" s="1">
        <v>9.6039999999999992</v>
      </c>
      <c r="P1107" s="9">
        <v>9.625</v>
      </c>
    </row>
    <row r="1108" spans="1:16" x14ac:dyDescent="0.25">
      <c r="A1108" s="6">
        <v>10.75</v>
      </c>
      <c r="B1108" s="2">
        <v>55.5</v>
      </c>
      <c r="C1108" s="2" t="s">
        <v>99</v>
      </c>
      <c r="D1108" s="2">
        <v>5950</v>
      </c>
      <c r="E1108" s="2">
        <v>10070</v>
      </c>
      <c r="F1108" s="2"/>
      <c r="G1108" s="2"/>
      <c r="H1108" s="2"/>
      <c r="I1108" s="2" t="s">
        <v>8</v>
      </c>
      <c r="J1108" s="2">
        <v>1351</v>
      </c>
      <c r="K1108" s="2"/>
      <c r="L1108" s="2">
        <v>1993</v>
      </c>
      <c r="M1108" s="2">
        <v>0.495</v>
      </c>
      <c r="N1108" s="2">
        <v>9.76</v>
      </c>
      <c r="O1108" s="2">
        <v>9.6039999999999992</v>
      </c>
      <c r="P1108" s="7">
        <v>9.625</v>
      </c>
    </row>
    <row r="1109" spans="1:16" x14ac:dyDescent="0.25">
      <c r="A1109" s="6">
        <v>10.75</v>
      </c>
      <c r="B1109" s="2">
        <v>55.5</v>
      </c>
      <c r="C1109" s="2" t="s">
        <v>99</v>
      </c>
      <c r="D1109" s="2">
        <v>5950</v>
      </c>
      <c r="E1109" s="2">
        <v>10070</v>
      </c>
      <c r="F1109" s="2"/>
      <c r="G1109" s="2"/>
      <c r="H1109" s="2"/>
      <c r="I1109" s="2" t="s">
        <v>13</v>
      </c>
      <c r="J1109" s="2">
        <v>1925</v>
      </c>
      <c r="K1109" s="2"/>
      <c r="L1109" s="2">
        <v>1993</v>
      </c>
      <c r="M1109" s="2">
        <v>0.495</v>
      </c>
      <c r="N1109" s="2">
        <v>9.76</v>
      </c>
      <c r="O1109" s="2">
        <v>9.6039999999999992</v>
      </c>
      <c r="P1109" s="7">
        <v>9.625</v>
      </c>
    </row>
    <row r="1110" spans="1:16" x14ac:dyDescent="0.25">
      <c r="A1110" s="8">
        <v>10.75</v>
      </c>
      <c r="B1110" s="1">
        <v>55.5</v>
      </c>
      <c r="C1110" s="1" t="s">
        <v>114</v>
      </c>
      <c r="D1110" s="1">
        <v>4850</v>
      </c>
      <c r="E1110" s="1">
        <v>10070</v>
      </c>
      <c r="F1110" s="1"/>
      <c r="G1110" s="1"/>
      <c r="H1110" s="1"/>
      <c r="I1110" s="1" t="s">
        <v>8</v>
      </c>
      <c r="J1110" s="1">
        <v>1351</v>
      </c>
      <c r="K1110" s="1"/>
      <c r="L1110" s="1">
        <v>1993</v>
      </c>
      <c r="M1110" s="1">
        <v>0.495</v>
      </c>
      <c r="N1110" s="1">
        <v>9.76</v>
      </c>
      <c r="O1110" s="1">
        <v>9.6039999999999992</v>
      </c>
      <c r="P1110" s="9">
        <v>9.625</v>
      </c>
    </row>
    <row r="1111" spans="1:16" x14ac:dyDescent="0.25">
      <c r="A1111" s="8">
        <v>10.75</v>
      </c>
      <c r="B1111" s="1">
        <v>55.5</v>
      </c>
      <c r="C1111" s="1" t="s">
        <v>114</v>
      </c>
      <c r="D1111" s="1">
        <v>4850</v>
      </c>
      <c r="E1111" s="1">
        <v>10070</v>
      </c>
      <c r="F1111" s="1"/>
      <c r="G1111" s="1"/>
      <c r="H1111" s="1"/>
      <c r="I1111" s="1" t="s">
        <v>13</v>
      </c>
      <c r="J1111" s="1">
        <v>1925</v>
      </c>
      <c r="K1111" s="1"/>
      <c r="L1111" s="1">
        <v>1993</v>
      </c>
      <c r="M1111" s="1">
        <v>0.495</v>
      </c>
      <c r="N1111" s="1">
        <v>9.76</v>
      </c>
      <c r="O1111" s="1">
        <v>9.6039999999999992</v>
      </c>
      <c r="P1111" s="9">
        <v>9.625</v>
      </c>
    </row>
    <row r="1112" spans="1:16" x14ac:dyDescent="0.25">
      <c r="A1112" s="6">
        <v>10.75</v>
      </c>
      <c r="B1112" s="2">
        <v>60.7</v>
      </c>
      <c r="C1112" s="2" t="s">
        <v>111</v>
      </c>
      <c r="D1112" s="2">
        <v>5160</v>
      </c>
      <c r="E1112" s="2">
        <v>7100</v>
      </c>
      <c r="F1112" s="2"/>
      <c r="G1112" s="2"/>
      <c r="H1112" s="2"/>
      <c r="I1112" s="2" t="s">
        <v>8</v>
      </c>
      <c r="J1112" s="2">
        <v>983</v>
      </c>
      <c r="K1112" s="2"/>
      <c r="L1112" s="2">
        <v>1398</v>
      </c>
      <c r="M1112" s="2">
        <v>0.54500000000000004</v>
      </c>
      <c r="N1112" s="2">
        <v>9.66</v>
      </c>
      <c r="O1112" s="2">
        <v>9.5039999999999996</v>
      </c>
      <c r="P1112" s="7"/>
    </row>
    <row r="1113" spans="1:16" x14ac:dyDescent="0.25">
      <c r="A1113" s="6">
        <v>10.75</v>
      </c>
      <c r="B1113" s="2">
        <v>60.7</v>
      </c>
      <c r="C1113" s="2" t="s">
        <v>111</v>
      </c>
      <c r="D1113" s="2">
        <v>5160</v>
      </c>
      <c r="E1113" s="2">
        <v>7100</v>
      </c>
      <c r="F1113" s="2"/>
      <c r="G1113" s="2"/>
      <c r="H1113" s="2"/>
      <c r="I1113" s="2" t="s">
        <v>13</v>
      </c>
      <c r="J1113" s="2">
        <v>1428</v>
      </c>
      <c r="K1113" s="2"/>
      <c r="L1113" s="2">
        <v>1398</v>
      </c>
      <c r="M1113" s="2">
        <v>0.54500000000000004</v>
      </c>
      <c r="N1113" s="2">
        <v>9.66</v>
      </c>
      <c r="O1113" s="2">
        <v>9.5039999999999996</v>
      </c>
      <c r="P1113" s="7"/>
    </row>
    <row r="1114" spans="1:16" x14ac:dyDescent="0.25">
      <c r="A1114" s="8">
        <v>10.75</v>
      </c>
      <c r="B1114" s="1">
        <v>60.7</v>
      </c>
      <c r="C1114" s="1" t="s">
        <v>88</v>
      </c>
      <c r="D1114" s="1">
        <v>7550</v>
      </c>
      <c r="E1114" s="1">
        <v>7100</v>
      </c>
      <c r="F1114" s="1"/>
      <c r="G1114" s="1"/>
      <c r="H1114" s="1"/>
      <c r="I1114" s="1" t="s">
        <v>8</v>
      </c>
      <c r="J1114" s="1">
        <v>1123</v>
      </c>
      <c r="K1114" s="1"/>
      <c r="L1114" s="1">
        <v>1398</v>
      </c>
      <c r="M1114" s="1">
        <v>0.54500000000000004</v>
      </c>
      <c r="N1114" s="1">
        <v>9.66</v>
      </c>
      <c r="O1114" s="1">
        <v>9.5039999999999996</v>
      </c>
      <c r="P1114" s="9"/>
    </row>
    <row r="1115" spans="1:16" x14ac:dyDescent="0.25">
      <c r="A1115" s="8">
        <v>10.75</v>
      </c>
      <c r="B1115" s="1">
        <v>60.7</v>
      </c>
      <c r="C1115" s="1" t="s">
        <v>88</v>
      </c>
      <c r="D1115" s="1">
        <v>7550</v>
      </c>
      <c r="E1115" s="1">
        <v>7100</v>
      </c>
      <c r="F1115" s="1"/>
      <c r="G1115" s="1"/>
      <c r="H1115" s="1"/>
      <c r="I1115" s="1" t="s">
        <v>13</v>
      </c>
      <c r="J1115" s="1">
        <v>1579</v>
      </c>
      <c r="K1115" s="1"/>
      <c r="L1115" s="1">
        <v>1398</v>
      </c>
      <c r="M1115" s="1">
        <v>0.54500000000000004</v>
      </c>
      <c r="N1115" s="1">
        <v>9.66</v>
      </c>
      <c r="O1115" s="1">
        <v>9.5039999999999996</v>
      </c>
      <c r="P1115" s="9"/>
    </row>
    <row r="1116" spans="1:16" x14ac:dyDescent="0.25">
      <c r="A1116" s="6">
        <v>10.75</v>
      </c>
      <c r="B1116" s="2">
        <v>60.7</v>
      </c>
      <c r="C1116" s="2" t="s">
        <v>112</v>
      </c>
      <c r="D1116" s="2">
        <v>5160</v>
      </c>
      <c r="E1116" s="2">
        <v>7100</v>
      </c>
      <c r="F1116" s="2"/>
      <c r="G1116" s="2"/>
      <c r="H1116" s="2"/>
      <c r="I1116" s="2" t="s">
        <v>8</v>
      </c>
      <c r="J1116" s="2">
        <v>996</v>
      </c>
      <c r="K1116" s="2"/>
      <c r="L1116" s="2">
        <v>1398</v>
      </c>
      <c r="M1116" s="2">
        <v>0.54500000000000004</v>
      </c>
      <c r="N1116" s="2">
        <v>9.66</v>
      </c>
      <c r="O1116" s="2">
        <v>9.5039999999999996</v>
      </c>
      <c r="P1116" s="7"/>
    </row>
    <row r="1117" spans="1:16" x14ac:dyDescent="0.25">
      <c r="A1117" s="6">
        <v>10.75</v>
      </c>
      <c r="B1117" s="2">
        <v>60.7</v>
      </c>
      <c r="C1117" s="2" t="s">
        <v>112</v>
      </c>
      <c r="D1117" s="2">
        <v>5160</v>
      </c>
      <c r="E1117" s="2">
        <v>7100</v>
      </c>
      <c r="F1117" s="2"/>
      <c r="G1117" s="2"/>
      <c r="H1117" s="2"/>
      <c r="I1117" s="2" t="s">
        <v>13</v>
      </c>
      <c r="J1117" s="2">
        <v>1473</v>
      </c>
      <c r="K1117" s="2"/>
      <c r="L1117" s="2">
        <v>1398</v>
      </c>
      <c r="M1117" s="2">
        <v>0.54500000000000004</v>
      </c>
      <c r="N1117" s="2">
        <v>9.66</v>
      </c>
      <c r="O1117" s="2">
        <v>9.5039999999999996</v>
      </c>
      <c r="P1117" s="7"/>
    </row>
    <row r="1118" spans="1:16" x14ac:dyDescent="0.25">
      <c r="A1118" s="8">
        <v>10.75</v>
      </c>
      <c r="B1118" s="1">
        <v>60.7</v>
      </c>
      <c r="C1118" s="1" t="s">
        <v>112</v>
      </c>
      <c r="D1118" s="1">
        <v>5160</v>
      </c>
      <c r="E1118" s="1">
        <v>7100</v>
      </c>
      <c r="F1118" s="1"/>
      <c r="G1118" s="1"/>
      <c r="H1118" s="1"/>
      <c r="I1118" s="1" t="s">
        <v>8</v>
      </c>
      <c r="J1118" s="1">
        <v>996</v>
      </c>
      <c r="K1118" s="1"/>
      <c r="L1118" s="1">
        <v>1398</v>
      </c>
      <c r="M1118" s="1">
        <v>0.54500000000000004</v>
      </c>
      <c r="N1118" s="1">
        <v>9.66</v>
      </c>
      <c r="O1118" s="1">
        <v>9.5039999999999996</v>
      </c>
      <c r="P1118" s="9"/>
    </row>
    <row r="1119" spans="1:16" x14ac:dyDescent="0.25">
      <c r="A1119" s="8">
        <v>10.75</v>
      </c>
      <c r="B1119" s="1">
        <v>60.7</v>
      </c>
      <c r="C1119" s="1" t="s">
        <v>112</v>
      </c>
      <c r="D1119" s="1">
        <v>5160</v>
      </c>
      <c r="E1119" s="1">
        <v>7100</v>
      </c>
      <c r="F1119" s="1"/>
      <c r="G1119" s="1"/>
      <c r="H1119" s="1"/>
      <c r="I1119" s="1" t="s">
        <v>13</v>
      </c>
      <c r="J1119" s="1">
        <v>1473</v>
      </c>
      <c r="K1119" s="1"/>
      <c r="L1119" s="1">
        <v>1398</v>
      </c>
      <c r="M1119" s="1">
        <v>0.54500000000000004</v>
      </c>
      <c r="N1119" s="1">
        <v>9.66</v>
      </c>
      <c r="O1119" s="1">
        <v>9.5039999999999996</v>
      </c>
      <c r="P1119" s="9"/>
    </row>
    <row r="1120" spans="1:16" x14ac:dyDescent="0.25">
      <c r="A1120" s="6">
        <v>10.75</v>
      </c>
      <c r="B1120" s="2">
        <v>60.7</v>
      </c>
      <c r="C1120" s="2" t="s">
        <v>93</v>
      </c>
      <c r="D1120" s="2">
        <v>7550</v>
      </c>
      <c r="E1120" s="2">
        <v>7100</v>
      </c>
      <c r="F1120" s="2"/>
      <c r="G1120" s="2"/>
      <c r="H1120" s="2"/>
      <c r="I1120" s="2" t="s">
        <v>8</v>
      </c>
      <c r="J1120" s="2">
        <v>1136</v>
      </c>
      <c r="K1120" s="2"/>
      <c r="L1120" s="2">
        <v>1398</v>
      </c>
      <c r="M1120" s="2">
        <v>0.54500000000000004</v>
      </c>
      <c r="N1120" s="2">
        <v>9.66</v>
      </c>
      <c r="O1120" s="2">
        <v>9.5039999999999996</v>
      </c>
      <c r="P1120" s="7"/>
    </row>
    <row r="1121" spans="1:16" x14ac:dyDescent="0.25">
      <c r="A1121" s="6">
        <v>10.75</v>
      </c>
      <c r="B1121" s="2">
        <v>60.7</v>
      </c>
      <c r="C1121" s="2" t="s">
        <v>93</v>
      </c>
      <c r="D1121" s="2">
        <v>7550</v>
      </c>
      <c r="E1121" s="2">
        <v>7100</v>
      </c>
      <c r="F1121" s="2"/>
      <c r="G1121" s="2"/>
      <c r="H1121" s="2"/>
      <c r="I1121" s="2" t="s">
        <v>13</v>
      </c>
      <c r="J1121" s="2">
        <v>1579</v>
      </c>
      <c r="K1121" s="2"/>
      <c r="L1121" s="2">
        <v>1398</v>
      </c>
      <c r="M1121" s="2">
        <v>0.54500000000000004</v>
      </c>
      <c r="N1121" s="2">
        <v>9.66</v>
      </c>
      <c r="O1121" s="2">
        <v>9.5039999999999996</v>
      </c>
      <c r="P1121" s="7"/>
    </row>
    <row r="1122" spans="1:16" x14ac:dyDescent="0.25">
      <c r="A1122" s="8">
        <v>10.75</v>
      </c>
      <c r="B1122" s="1">
        <v>60.7</v>
      </c>
      <c r="C1122" s="1" t="s">
        <v>68</v>
      </c>
      <c r="D1122" s="1">
        <v>5460</v>
      </c>
      <c r="E1122" s="1">
        <v>7980</v>
      </c>
      <c r="F1122" s="1"/>
      <c r="G1122" s="1"/>
      <c r="H1122" s="1"/>
      <c r="I1122" s="1" t="s">
        <v>8</v>
      </c>
      <c r="J1122" s="1">
        <v>1089</v>
      </c>
      <c r="K1122" s="1"/>
      <c r="L1122" s="1">
        <v>1573</v>
      </c>
      <c r="M1122" s="1">
        <v>0.54500000000000004</v>
      </c>
      <c r="N1122" s="1">
        <v>9.66</v>
      </c>
      <c r="O1122" s="1">
        <v>9.5039999999999996</v>
      </c>
      <c r="P1122" s="9"/>
    </row>
    <row r="1123" spans="1:16" x14ac:dyDescent="0.25">
      <c r="A1123" s="8">
        <v>10.75</v>
      </c>
      <c r="B1123" s="1">
        <v>60.7</v>
      </c>
      <c r="C1123" s="1" t="s">
        <v>68</v>
      </c>
      <c r="D1123" s="1">
        <v>5460</v>
      </c>
      <c r="E1123" s="1">
        <v>7980</v>
      </c>
      <c r="F1123" s="1"/>
      <c r="G1123" s="1"/>
      <c r="H1123" s="1"/>
      <c r="I1123" s="1" t="s">
        <v>13</v>
      </c>
      <c r="J1123" s="1">
        <v>1544</v>
      </c>
      <c r="K1123" s="1"/>
      <c r="L1123" s="1">
        <v>1573</v>
      </c>
      <c r="M1123" s="1">
        <v>0.54500000000000004</v>
      </c>
      <c r="N1123" s="1">
        <v>9.66</v>
      </c>
      <c r="O1123" s="1">
        <v>9.5039999999999996</v>
      </c>
      <c r="P1123" s="9"/>
    </row>
    <row r="1124" spans="1:16" x14ac:dyDescent="0.25">
      <c r="A1124" s="6">
        <v>10.75</v>
      </c>
      <c r="B1124" s="2">
        <v>60.7</v>
      </c>
      <c r="C1124" s="2" t="s">
        <v>75</v>
      </c>
      <c r="D1124" s="2">
        <v>7550</v>
      </c>
      <c r="E1124" s="2">
        <v>7980</v>
      </c>
      <c r="F1124" s="2"/>
      <c r="G1124" s="2"/>
      <c r="H1124" s="2"/>
      <c r="I1124" s="2" t="s">
        <v>8</v>
      </c>
      <c r="J1124" s="2">
        <v>1136</v>
      </c>
      <c r="K1124" s="2"/>
      <c r="L1124" s="2">
        <v>1573</v>
      </c>
      <c r="M1124" s="2">
        <v>0.54500000000000004</v>
      </c>
      <c r="N1124" s="2">
        <v>9.66</v>
      </c>
      <c r="O1124" s="2">
        <v>9.5039999999999996</v>
      </c>
      <c r="P1124" s="7"/>
    </row>
    <row r="1125" spans="1:16" x14ac:dyDescent="0.25">
      <c r="A1125" s="6">
        <v>10.75</v>
      </c>
      <c r="B1125" s="2">
        <v>60.7</v>
      </c>
      <c r="C1125" s="2" t="s">
        <v>75</v>
      </c>
      <c r="D1125" s="2">
        <v>7550</v>
      </c>
      <c r="E1125" s="2">
        <v>7980</v>
      </c>
      <c r="F1125" s="2"/>
      <c r="G1125" s="2"/>
      <c r="H1125" s="2"/>
      <c r="I1125" s="2" t="s">
        <v>13</v>
      </c>
      <c r="J1125" s="2">
        <v>1579</v>
      </c>
      <c r="K1125" s="2"/>
      <c r="L1125" s="2">
        <v>1573</v>
      </c>
      <c r="M1125" s="2">
        <v>0.54500000000000004</v>
      </c>
      <c r="N1125" s="2">
        <v>9.66</v>
      </c>
      <c r="O1125" s="2">
        <v>9.5039999999999996</v>
      </c>
      <c r="P1125" s="7"/>
    </row>
    <row r="1126" spans="1:16" x14ac:dyDescent="0.25">
      <c r="A1126" s="8">
        <v>10.75</v>
      </c>
      <c r="B1126" s="1">
        <v>60.7</v>
      </c>
      <c r="C1126" s="1" t="s">
        <v>115</v>
      </c>
      <c r="D1126" s="1">
        <v>7550</v>
      </c>
      <c r="E1126" s="1">
        <v>8430</v>
      </c>
      <c r="F1126" s="1"/>
      <c r="G1126" s="1"/>
      <c r="H1126" s="1"/>
      <c r="I1126" s="1" t="s">
        <v>8</v>
      </c>
      <c r="J1126" s="1">
        <v>1161</v>
      </c>
      <c r="K1126" s="1"/>
      <c r="L1126" s="1">
        <v>1660</v>
      </c>
      <c r="M1126" s="1">
        <v>0.54500000000000004</v>
      </c>
      <c r="N1126" s="1">
        <v>9.66</v>
      </c>
      <c r="O1126" s="1">
        <v>9.5039999999999996</v>
      </c>
      <c r="P1126" s="9"/>
    </row>
    <row r="1127" spans="1:16" x14ac:dyDescent="0.25">
      <c r="A1127" s="8">
        <v>10.75</v>
      </c>
      <c r="B1127" s="1">
        <v>60.7</v>
      </c>
      <c r="C1127" s="1" t="s">
        <v>115</v>
      </c>
      <c r="D1127" s="1">
        <v>7550</v>
      </c>
      <c r="E1127" s="1">
        <v>8430</v>
      </c>
      <c r="F1127" s="1"/>
      <c r="G1127" s="1"/>
      <c r="H1127" s="1"/>
      <c r="I1127" s="1" t="s">
        <v>13</v>
      </c>
      <c r="J1127" s="1">
        <v>1670</v>
      </c>
      <c r="K1127" s="1"/>
      <c r="L1127" s="1">
        <v>1660</v>
      </c>
      <c r="M1127" s="1">
        <v>0.54500000000000004</v>
      </c>
      <c r="N1127" s="1">
        <v>9.66</v>
      </c>
      <c r="O1127" s="1">
        <v>9.5039999999999996</v>
      </c>
      <c r="P1127" s="9"/>
    </row>
    <row r="1128" spans="1:16" x14ac:dyDescent="0.25">
      <c r="A1128" s="6">
        <v>10.75</v>
      </c>
      <c r="B1128" s="2">
        <v>60.7</v>
      </c>
      <c r="C1128" s="2" t="s">
        <v>116</v>
      </c>
      <c r="D1128" s="2">
        <v>5590</v>
      </c>
      <c r="E1128" s="2">
        <v>8430</v>
      </c>
      <c r="F1128" s="2"/>
      <c r="G1128" s="2"/>
      <c r="H1128" s="2"/>
      <c r="I1128" s="2" t="s">
        <v>8</v>
      </c>
      <c r="J1128" s="2">
        <v>1148</v>
      </c>
      <c r="K1128" s="2"/>
      <c r="L1128" s="2">
        <v>1660</v>
      </c>
      <c r="M1128" s="2">
        <v>0.54500000000000004</v>
      </c>
      <c r="N1128" s="2">
        <v>9.66</v>
      </c>
      <c r="O1128" s="2">
        <v>9.5039999999999996</v>
      </c>
      <c r="P1128" s="7"/>
    </row>
    <row r="1129" spans="1:16" x14ac:dyDescent="0.25">
      <c r="A1129" s="6">
        <v>10.75</v>
      </c>
      <c r="B1129" s="2">
        <v>60.7</v>
      </c>
      <c r="C1129" s="2" t="s">
        <v>116</v>
      </c>
      <c r="D1129" s="2">
        <v>5590</v>
      </c>
      <c r="E1129" s="2">
        <v>8430</v>
      </c>
      <c r="F1129" s="2"/>
      <c r="G1129" s="2"/>
      <c r="H1129" s="2"/>
      <c r="I1129" s="2" t="s">
        <v>13</v>
      </c>
      <c r="J1129" s="2">
        <v>1625</v>
      </c>
      <c r="K1129" s="2"/>
      <c r="L1129" s="2">
        <v>1660</v>
      </c>
      <c r="M1129" s="2">
        <v>0.54500000000000004</v>
      </c>
      <c r="N1129" s="2">
        <v>9.66</v>
      </c>
      <c r="O1129" s="2">
        <v>9.5039999999999996</v>
      </c>
      <c r="P1129" s="7"/>
    </row>
    <row r="1130" spans="1:16" x14ac:dyDescent="0.25">
      <c r="A1130" s="8">
        <v>10.75</v>
      </c>
      <c r="B1130" s="1">
        <v>60.7</v>
      </c>
      <c r="C1130" s="1" t="s">
        <v>80</v>
      </c>
      <c r="D1130" s="1">
        <v>7550</v>
      </c>
      <c r="E1130" s="1">
        <v>8430</v>
      </c>
      <c r="F1130" s="1"/>
      <c r="G1130" s="1"/>
      <c r="H1130" s="1"/>
      <c r="I1130" s="1" t="s">
        <v>8</v>
      </c>
      <c r="J1130" s="1">
        <v>1148</v>
      </c>
      <c r="K1130" s="1"/>
      <c r="L1130" s="1">
        <v>1660</v>
      </c>
      <c r="M1130" s="1">
        <v>0.54500000000000004</v>
      </c>
      <c r="N1130" s="1">
        <v>9.66</v>
      </c>
      <c r="O1130" s="1">
        <v>9.5039999999999996</v>
      </c>
      <c r="P1130" s="9"/>
    </row>
    <row r="1131" spans="1:16" x14ac:dyDescent="0.25">
      <c r="A1131" s="8">
        <v>10.75</v>
      </c>
      <c r="B1131" s="1">
        <v>60.7</v>
      </c>
      <c r="C1131" s="1" t="s">
        <v>80</v>
      </c>
      <c r="D1131" s="1">
        <v>7550</v>
      </c>
      <c r="E1131" s="1">
        <v>8430</v>
      </c>
      <c r="F1131" s="1"/>
      <c r="G1131" s="1"/>
      <c r="H1131" s="1"/>
      <c r="I1131" s="1" t="s">
        <v>13</v>
      </c>
      <c r="J1131" s="1">
        <v>1625</v>
      </c>
      <c r="K1131" s="1"/>
      <c r="L1131" s="1">
        <v>1660</v>
      </c>
      <c r="M1131" s="1">
        <v>0.54500000000000004</v>
      </c>
      <c r="N1131" s="1">
        <v>9.66</v>
      </c>
      <c r="O1131" s="1">
        <v>9.5039999999999996</v>
      </c>
      <c r="P1131" s="9"/>
    </row>
    <row r="1132" spans="1:16" x14ac:dyDescent="0.25">
      <c r="A1132" s="6">
        <v>10.75</v>
      </c>
      <c r="B1132" s="2">
        <v>60.7</v>
      </c>
      <c r="C1132" s="2" t="s">
        <v>74</v>
      </c>
      <c r="D1132" s="2">
        <v>5590</v>
      </c>
      <c r="E1132" s="2">
        <v>8430</v>
      </c>
      <c r="F1132" s="2"/>
      <c r="G1132" s="2"/>
      <c r="H1132" s="2"/>
      <c r="I1132" s="2" t="s">
        <v>8</v>
      </c>
      <c r="J1132" s="2">
        <v>1148</v>
      </c>
      <c r="K1132" s="2"/>
      <c r="L1132" s="2">
        <v>1660</v>
      </c>
      <c r="M1132" s="2">
        <v>0.54500000000000004</v>
      </c>
      <c r="N1132" s="2">
        <v>9.66</v>
      </c>
      <c r="O1132" s="2">
        <v>9.5039999999999996</v>
      </c>
      <c r="P1132" s="7"/>
    </row>
    <row r="1133" spans="1:16" x14ac:dyDescent="0.25">
      <c r="A1133" s="6">
        <v>10.75</v>
      </c>
      <c r="B1133" s="2">
        <v>60.7</v>
      </c>
      <c r="C1133" s="2" t="s">
        <v>74</v>
      </c>
      <c r="D1133" s="2">
        <v>5590</v>
      </c>
      <c r="E1133" s="2">
        <v>8430</v>
      </c>
      <c r="F1133" s="2"/>
      <c r="G1133" s="2"/>
      <c r="H1133" s="2"/>
      <c r="I1133" s="2" t="s">
        <v>13</v>
      </c>
      <c r="J1133" s="2">
        <v>1625</v>
      </c>
      <c r="K1133" s="2"/>
      <c r="L1133" s="2">
        <v>1660</v>
      </c>
      <c r="M1133" s="2">
        <v>0.54500000000000004</v>
      </c>
      <c r="N1133" s="2">
        <v>9.66</v>
      </c>
      <c r="O1133" s="2">
        <v>9.5039999999999996</v>
      </c>
      <c r="P1133" s="7"/>
    </row>
    <row r="1134" spans="1:16" x14ac:dyDescent="0.25">
      <c r="A1134" s="8">
        <v>10.75</v>
      </c>
      <c r="B1134" s="1">
        <v>60.7</v>
      </c>
      <c r="C1134" s="1" t="s">
        <v>97</v>
      </c>
      <c r="D1134" s="1">
        <v>7550</v>
      </c>
      <c r="E1134" s="1">
        <v>9760</v>
      </c>
      <c r="F1134" s="1"/>
      <c r="G1134" s="1"/>
      <c r="H1134" s="1"/>
      <c r="I1134" s="1" t="s">
        <v>8</v>
      </c>
      <c r="J1134" s="1">
        <v>1338</v>
      </c>
      <c r="K1134" s="1"/>
      <c r="L1134" s="1">
        <v>1922</v>
      </c>
      <c r="M1134" s="1">
        <v>0.54500000000000004</v>
      </c>
      <c r="N1134" s="1">
        <v>9.66</v>
      </c>
      <c r="O1134" s="1">
        <v>9.5039999999999996</v>
      </c>
      <c r="P1134" s="9"/>
    </row>
    <row r="1135" spans="1:16" x14ac:dyDescent="0.25">
      <c r="A1135" s="8">
        <v>10.75</v>
      </c>
      <c r="B1135" s="1">
        <v>60.7</v>
      </c>
      <c r="C1135" s="1" t="s">
        <v>97</v>
      </c>
      <c r="D1135" s="1">
        <v>7550</v>
      </c>
      <c r="E1135" s="1">
        <v>9760</v>
      </c>
      <c r="F1135" s="1"/>
      <c r="G1135" s="1"/>
      <c r="H1135" s="1"/>
      <c r="I1135" s="1" t="s">
        <v>13</v>
      </c>
      <c r="J1135" s="1">
        <v>1912</v>
      </c>
      <c r="K1135" s="1"/>
      <c r="L1135" s="1">
        <v>1922</v>
      </c>
      <c r="M1135" s="1">
        <v>0.54500000000000004</v>
      </c>
      <c r="N1135" s="1">
        <v>9.66</v>
      </c>
      <c r="O1135" s="1">
        <v>9.5039999999999996</v>
      </c>
      <c r="P1135" s="9"/>
    </row>
    <row r="1136" spans="1:16" x14ac:dyDescent="0.25">
      <c r="A1136" s="6">
        <v>10.75</v>
      </c>
      <c r="B1136" s="2">
        <v>60.7</v>
      </c>
      <c r="C1136" s="2" t="s">
        <v>113</v>
      </c>
      <c r="D1136" s="2">
        <v>5880</v>
      </c>
      <c r="E1136" s="2">
        <v>9760</v>
      </c>
      <c r="F1136" s="2"/>
      <c r="G1136" s="2"/>
      <c r="H1136" s="2"/>
      <c r="I1136" s="2" t="s">
        <v>8</v>
      </c>
      <c r="J1136" s="2">
        <v>1338</v>
      </c>
      <c r="K1136" s="2"/>
      <c r="L1136" s="2">
        <v>1922</v>
      </c>
      <c r="M1136" s="2">
        <v>0.54500000000000004</v>
      </c>
      <c r="N1136" s="2">
        <v>9.66</v>
      </c>
      <c r="O1136" s="2">
        <v>9.5039999999999996</v>
      </c>
      <c r="P1136" s="7"/>
    </row>
    <row r="1137" spans="1:16" x14ac:dyDescent="0.25">
      <c r="A1137" s="6">
        <v>10.75</v>
      </c>
      <c r="B1137" s="2">
        <v>60.7</v>
      </c>
      <c r="C1137" s="2" t="s">
        <v>113</v>
      </c>
      <c r="D1137" s="2">
        <v>5880</v>
      </c>
      <c r="E1137" s="2">
        <v>9760</v>
      </c>
      <c r="F1137" s="2"/>
      <c r="G1137" s="2"/>
      <c r="H1137" s="2"/>
      <c r="I1137" s="2" t="s">
        <v>13</v>
      </c>
      <c r="J1137" s="2">
        <v>1912</v>
      </c>
      <c r="K1137" s="2"/>
      <c r="L1137" s="2">
        <v>1922</v>
      </c>
      <c r="M1137" s="2">
        <v>0.54500000000000004</v>
      </c>
      <c r="N1137" s="2">
        <v>9.66</v>
      </c>
      <c r="O1137" s="2">
        <v>9.5039999999999996</v>
      </c>
      <c r="P1137" s="7"/>
    </row>
    <row r="1138" spans="1:16" x14ac:dyDescent="0.25">
      <c r="A1138" s="8">
        <v>10.75</v>
      </c>
      <c r="B1138" s="1">
        <v>60.7</v>
      </c>
      <c r="C1138" s="1" t="s">
        <v>99</v>
      </c>
      <c r="D1138" s="1">
        <v>7550</v>
      </c>
      <c r="E1138" s="1">
        <v>11090</v>
      </c>
      <c r="F1138" s="1"/>
      <c r="G1138" s="1"/>
      <c r="H1138" s="1"/>
      <c r="I1138" s="1" t="s">
        <v>8</v>
      </c>
      <c r="J1138" s="1">
        <v>1503</v>
      </c>
      <c r="K1138" s="1"/>
      <c r="L1138" s="1">
        <v>2184</v>
      </c>
      <c r="M1138" s="1">
        <v>0.54500000000000004</v>
      </c>
      <c r="N1138" s="1">
        <v>9.66</v>
      </c>
      <c r="O1138" s="1">
        <v>9.5039999999999996</v>
      </c>
      <c r="P1138" s="9"/>
    </row>
    <row r="1139" spans="1:16" x14ac:dyDescent="0.25">
      <c r="A1139" s="8">
        <v>10.75</v>
      </c>
      <c r="B1139" s="1">
        <v>60.7</v>
      </c>
      <c r="C1139" s="1" t="s">
        <v>99</v>
      </c>
      <c r="D1139" s="1">
        <v>7550</v>
      </c>
      <c r="E1139" s="1">
        <v>11090</v>
      </c>
      <c r="F1139" s="1"/>
      <c r="G1139" s="1"/>
      <c r="H1139" s="1"/>
      <c r="I1139" s="1" t="s">
        <v>13</v>
      </c>
      <c r="J1139" s="1">
        <v>2109</v>
      </c>
      <c r="K1139" s="1"/>
      <c r="L1139" s="1">
        <v>2184</v>
      </c>
      <c r="M1139" s="1">
        <v>0.54500000000000004</v>
      </c>
      <c r="N1139" s="1">
        <v>9.66</v>
      </c>
      <c r="O1139" s="1">
        <v>9.5039999999999996</v>
      </c>
      <c r="P1139" s="9"/>
    </row>
    <row r="1140" spans="1:16" x14ac:dyDescent="0.25">
      <c r="A1140" s="6">
        <v>10.75</v>
      </c>
      <c r="B1140" s="2">
        <v>60.7</v>
      </c>
      <c r="C1140" s="2" t="s">
        <v>114</v>
      </c>
      <c r="D1140" s="2">
        <v>6070</v>
      </c>
      <c r="E1140" s="2">
        <v>11090</v>
      </c>
      <c r="F1140" s="2"/>
      <c r="G1140" s="2"/>
      <c r="H1140" s="2"/>
      <c r="I1140" s="2" t="s">
        <v>8</v>
      </c>
      <c r="J1140" s="2">
        <v>1503</v>
      </c>
      <c r="K1140" s="2"/>
      <c r="L1140" s="2">
        <v>2184</v>
      </c>
      <c r="M1140" s="2">
        <v>0.54500000000000004</v>
      </c>
      <c r="N1140" s="2">
        <v>9.66</v>
      </c>
      <c r="O1140" s="2">
        <v>9.5039999999999996</v>
      </c>
      <c r="P1140" s="7"/>
    </row>
    <row r="1141" spans="1:16" x14ac:dyDescent="0.25">
      <c r="A1141" s="6">
        <v>10.75</v>
      </c>
      <c r="B1141" s="2">
        <v>60.7</v>
      </c>
      <c r="C1141" s="2" t="s">
        <v>114</v>
      </c>
      <c r="D1141" s="2">
        <v>6070</v>
      </c>
      <c r="E1141" s="2">
        <v>11090</v>
      </c>
      <c r="F1141" s="2"/>
      <c r="G1141" s="2"/>
      <c r="H1141" s="2"/>
      <c r="I1141" s="2" t="s">
        <v>13</v>
      </c>
      <c r="J1141" s="2">
        <v>2109</v>
      </c>
      <c r="K1141" s="2"/>
      <c r="L1141" s="2">
        <v>2184</v>
      </c>
      <c r="M1141" s="2">
        <v>0.54500000000000004</v>
      </c>
      <c r="N1141" s="2">
        <v>9.66</v>
      </c>
      <c r="O1141" s="2">
        <v>9.5039999999999996</v>
      </c>
      <c r="P1141" s="7"/>
    </row>
    <row r="1142" spans="1:16" x14ac:dyDescent="0.25">
      <c r="A1142" s="8">
        <v>10.75</v>
      </c>
      <c r="B1142" s="1">
        <v>65.7</v>
      </c>
      <c r="C1142" s="1" t="s">
        <v>111</v>
      </c>
      <c r="D1142" s="1">
        <v>6300</v>
      </c>
      <c r="E1142" s="1">
        <v>7750</v>
      </c>
      <c r="F1142" s="1"/>
      <c r="G1142" s="1"/>
      <c r="H1142" s="1"/>
      <c r="I1142" s="1" t="s">
        <v>8</v>
      </c>
      <c r="J1142" s="1">
        <v>1082</v>
      </c>
      <c r="K1142" s="1"/>
      <c r="L1142" s="1">
        <v>1519</v>
      </c>
      <c r="M1142" s="1">
        <v>0.59499999999999997</v>
      </c>
      <c r="N1142" s="1">
        <v>9.56</v>
      </c>
      <c r="O1142" s="1">
        <v>9.4039999999999999</v>
      </c>
      <c r="P1142" s="9">
        <v>9.5039999999999996</v>
      </c>
    </row>
    <row r="1143" spans="1:16" x14ac:dyDescent="0.25">
      <c r="A1143" s="8">
        <v>10.75</v>
      </c>
      <c r="B1143" s="1">
        <v>65.7</v>
      </c>
      <c r="C1143" s="1" t="s">
        <v>111</v>
      </c>
      <c r="D1143" s="1">
        <v>6300</v>
      </c>
      <c r="E1143" s="1">
        <v>7750</v>
      </c>
      <c r="F1143" s="1"/>
      <c r="G1143" s="1"/>
      <c r="H1143" s="1"/>
      <c r="I1143" s="1" t="s">
        <v>13</v>
      </c>
      <c r="J1143" s="1">
        <v>1551</v>
      </c>
      <c r="K1143" s="1"/>
      <c r="L1143" s="1">
        <v>1519</v>
      </c>
      <c r="M1143" s="1">
        <v>0.59499999999999997</v>
      </c>
      <c r="N1143" s="1">
        <v>9.56</v>
      </c>
      <c r="O1143" s="1">
        <v>9.4039999999999999</v>
      </c>
      <c r="P1143" s="9">
        <v>9.5039999999999996</v>
      </c>
    </row>
    <row r="1144" spans="1:16" x14ac:dyDescent="0.25">
      <c r="A1144" s="6">
        <v>10.75</v>
      </c>
      <c r="B1144" s="2">
        <v>65.7</v>
      </c>
      <c r="C1144" s="2" t="s">
        <v>88</v>
      </c>
      <c r="D1144" s="2">
        <v>8640</v>
      </c>
      <c r="E1144" s="2">
        <v>7750</v>
      </c>
      <c r="F1144" s="2"/>
      <c r="G1144" s="2"/>
      <c r="H1144" s="2"/>
      <c r="I1144" s="2" t="s">
        <v>8</v>
      </c>
      <c r="J1144" s="2">
        <v>1236</v>
      </c>
      <c r="K1144" s="2"/>
      <c r="L1144" s="2">
        <v>1519</v>
      </c>
      <c r="M1144" s="2">
        <v>0.59499999999999997</v>
      </c>
      <c r="N1144" s="2">
        <v>9.56</v>
      </c>
      <c r="O1144" s="2">
        <v>9.4039999999999999</v>
      </c>
      <c r="P1144" s="7">
        <v>9.5039999999999996</v>
      </c>
    </row>
    <row r="1145" spans="1:16" x14ac:dyDescent="0.25">
      <c r="A1145" s="6">
        <v>10.75</v>
      </c>
      <c r="B1145" s="2">
        <v>65.7</v>
      </c>
      <c r="C1145" s="2" t="s">
        <v>88</v>
      </c>
      <c r="D1145" s="2">
        <v>8640</v>
      </c>
      <c r="E1145" s="2">
        <v>7750</v>
      </c>
      <c r="F1145" s="2"/>
      <c r="G1145" s="2"/>
      <c r="H1145" s="2"/>
      <c r="I1145" s="2" t="s">
        <v>13</v>
      </c>
      <c r="J1145" s="2">
        <v>1716</v>
      </c>
      <c r="K1145" s="2"/>
      <c r="L1145" s="2">
        <v>1519</v>
      </c>
      <c r="M1145" s="2">
        <v>0.59499999999999997</v>
      </c>
      <c r="N1145" s="2">
        <v>9.56</v>
      </c>
      <c r="O1145" s="2">
        <v>9.4039999999999999</v>
      </c>
      <c r="P1145" s="7">
        <v>9.5039999999999996</v>
      </c>
    </row>
    <row r="1146" spans="1:16" x14ac:dyDescent="0.25">
      <c r="A1146" s="8">
        <v>10.75</v>
      </c>
      <c r="B1146" s="1">
        <v>65.7</v>
      </c>
      <c r="C1146" s="1" t="s">
        <v>112</v>
      </c>
      <c r="D1146" s="1">
        <v>6300</v>
      </c>
      <c r="E1146" s="1">
        <v>7750</v>
      </c>
      <c r="F1146" s="1"/>
      <c r="G1146" s="1"/>
      <c r="H1146" s="1"/>
      <c r="I1146" s="1" t="s">
        <v>8</v>
      </c>
      <c r="J1146" s="1">
        <v>1096</v>
      </c>
      <c r="K1146" s="1"/>
      <c r="L1146" s="1">
        <v>1519</v>
      </c>
      <c r="M1146" s="1">
        <v>0.59499999999999997</v>
      </c>
      <c r="N1146" s="1">
        <v>9.56</v>
      </c>
      <c r="O1146" s="1">
        <v>9.4039999999999999</v>
      </c>
      <c r="P1146" s="9">
        <v>9.5039999999999996</v>
      </c>
    </row>
    <row r="1147" spans="1:16" x14ac:dyDescent="0.25">
      <c r="A1147" s="8">
        <v>10.75</v>
      </c>
      <c r="B1147" s="1">
        <v>65.7</v>
      </c>
      <c r="C1147" s="1" t="s">
        <v>112</v>
      </c>
      <c r="D1147" s="1">
        <v>6300</v>
      </c>
      <c r="E1147" s="1">
        <v>7750</v>
      </c>
      <c r="F1147" s="1"/>
      <c r="G1147" s="1"/>
      <c r="H1147" s="1"/>
      <c r="I1147" s="1" t="s">
        <v>13</v>
      </c>
      <c r="J1147" s="1">
        <v>1600</v>
      </c>
      <c r="K1147" s="1"/>
      <c r="L1147" s="1">
        <v>1519</v>
      </c>
      <c r="M1147" s="1">
        <v>0.59499999999999997</v>
      </c>
      <c r="N1147" s="1">
        <v>9.56</v>
      </c>
      <c r="O1147" s="1">
        <v>9.4039999999999999</v>
      </c>
      <c r="P1147" s="9">
        <v>9.5039999999999996</v>
      </c>
    </row>
    <row r="1148" spans="1:16" x14ac:dyDescent="0.25">
      <c r="A1148" s="6">
        <v>10.75</v>
      </c>
      <c r="B1148" s="2">
        <v>65.7</v>
      </c>
      <c r="C1148" s="2" t="s">
        <v>93</v>
      </c>
      <c r="D1148" s="2">
        <v>8640</v>
      </c>
      <c r="E1148" s="2">
        <v>7750</v>
      </c>
      <c r="F1148" s="2"/>
      <c r="G1148" s="2"/>
      <c r="H1148" s="2"/>
      <c r="I1148" s="2" t="s">
        <v>8</v>
      </c>
      <c r="J1148" s="2">
        <v>1249</v>
      </c>
      <c r="K1148" s="2"/>
      <c r="L1148" s="2">
        <v>1519</v>
      </c>
      <c r="M1148" s="2">
        <v>0.59499999999999997</v>
      </c>
      <c r="N1148" s="2">
        <v>9.56</v>
      </c>
      <c r="O1148" s="2">
        <v>9.4039999999999999</v>
      </c>
      <c r="P1148" s="7">
        <v>9.5039999999999996</v>
      </c>
    </row>
    <row r="1149" spans="1:16" x14ac:dyDescent="0.25">
      <c r="A1149" s="6">
        <v>10.75</v>
      </c>
      <c r="B1149" s="2">
        <v>65.7</v>
      </c>
      <c r="C1149" s="2" t="s">
        <v>93</v>
      </c>
      <c r="D1149" s="2">
        <v>8640</v>
      </c>
      <c r="E1149" s="2">
        <v>7750</v>
      </c>
      <c r="F1149" s="2"/>
      <c r="G1149" s="2"/>
      <c r="H1149" s="2"/>
      <c r="I1149" s="2" t="s">
        <v>13</v>
      </c>
      <c r="J1149" s="2">
        <v>1716</v>
      </c>
      <c r="K1149" s="2"/>
      <c r="L1149" s="2">
        <v>1519</v>
      </c>
      <c r="M1149" s="2">
        <v>0.59499999999999997</v>
      </c>
      <c r="N1149" s="2">
        <v>9.56</v>
      </c>
      <c r="O1149" s="2">
        <v>9.4039999999999999</v>
      </c>
      <c r="P1149" s="7">
        <v>9.5039999999999996</v>
      </c>
    </row>
    <row r="1150" spans="1:16" x14ac:dyDescent="0.25">
      <c r="A1150" s="8">
        <v>10.75</v>
      </c>
      <c r="B1150" s="1">
        <v>65.7</v>
      </c>
      <c r="C1150" s="1" t="s">
        <v>68</v>
      </c>
      <c r="D1150" s="1">
        <v>6760</v>
      </c>
      <c r="E1150" s="1">
        <v>8720</v>
      </c>
      <c r="F1150" s="1"/>
      <c r="G1150" s="1"/>
      <c r="H1150" s="1"/>
      <c r="I1150" s="1" t="s">
        <v>8</v>
      </c>
      <c r="J1150" s="1">
        <v>1198</v>
      </c>
      <c r="K1150" s="1"/>
      <c r="L1150" s="1">
        <v>1708</v>
      </c>
      <c r="M1150" s="1">
        <v>0.59499999999999997</v>
      </c>
      <c r="N1150" s="1">
        <v>9.56</v>
      </c>
      <c r="O1150" s="1">
        <v>9.4039999999999999</v>
      </c>
      <c r="P1150" s="9"/>
    </row>
    <row r="1151" spans="1:16" x14ac:dyDescent="0.25">
      <c r="A1151" s="8">
        <v>10.75</v>
      </c>
      <c r="B1151" s="1">
        <v>65.7</v>
      </c>
      <c r="C1151" s="1" t="s">
        <v>68</v>
      </c>
      <c r="D1151" s="1">
        <v>6760</v>
      </c>
      <c r="E1151" s="1">
        <v>8720</v>
      </c>
      <c r="F1151" s="1"/>
      <c r="G1151" s="1"/>
      <c r="H1151" s="1"/>
      <c r="I1151" s="1" t="s">
        <v>13</v>
      </c>
      <c r="J1151" s="1">
        <v>1677</v>
      </c>
      <c r="K1151" s="1"/>
      <c r="L1151" s="1">
        <v>1708</v>
      </c>
      <c r="M1151" s="1">
        <v>0.59499999999999997</v>
      </c>
      <c r="N1151" s="1">
        <v>9.56</v>
      </c>
      <c r="O1151" s="1">
        <v>9.4039999999999999</v>
      </c>
      <c r="P1151" s="9"/>
    </row>
    <row r="1152" spans="1:16" x14ac:dyDescent="0.25">
      <c r="A1152" s="6">
        <v>10.75</v>
      </c>
      <c r="B1152" s="2">
        <v>65.7</v>
      </c>
      <c r="C1152" s="2" t="s">
        <v>75</v>
      </c>
      <c r="D1152" s="2">
        <v>8640</v>
      </c>
      <c r="E1152" s="2">
        <v>8720</v>
      </c>
      <c r="F1152" s="2"/>
      <c r="G1152" s="2"/>
      <c r="H1152" s="2"/>
      <c r="I1152" s="2" t="s">
        <v>8</v>
      </c>
      <c r="J1152" s="2">
        <v>1249</v>
      </c>
      <c r="K1152" s="2"/>
      <c r="L1152" s="2">
        <v>1708</v>
      </c>
      <c r="M1152" s="2">
        <v>0.59499999999999997</v>
      </c>
      <c r="N1152" s="2">
        <v>9.56</v>
      </c>
      <c r="O1152" s="2">
        <v>9.4039999999999999</v>
      </c>
      <c r="P1152" s="7">
        <v>9.5039999999999996</v>
      </c>
    </row>
    <row r="1153" spans="1:16" x14ac:dyDescent="0.25">
      <c r="A1153" s="6">
        <v>10.75</v>
      </c>
      <c r="B1153" s="2">
        <v>65.7</v>
      </c>
      <c r="C1153" s="2" t="s">
        <v>75</v>
      </c>
      <c r="D1153" s="2">
        <v>8640</v>
      </c>
      <c r="E1153" s="2">
        <v>8720</v>
      </c>
      <c r="F1153" s="2"/>
      <c r="G1153" s="2"/>
      <c r="H1153" s="2"/>
      <c r="I1153" s="2" t="s">
        <v>13</v>
      </c>
      <c r="J1153" s="2">
        <v>1716</v>
      </c>
      <c r="K1153" s="2"/>
      <c r="L1153" s="2">
        <v>1708</v>
      </c>
      <c r="M1153" s="2">
        <v>0.59499999999999997</v>
      </c>
      <c r="N1153" s="2">
        <v>9.56</v>
      </c>
      <c r="O1153" s="2">
        <v>9.4039999999999999</v>
      </c>
      <c r="P1153" s="7">
        <v>9.5039999999999996</v>
      </c>
    </row>
    <row r="1154" spans="1:16" x14ac:dyDescent="0.25">
      <c r="A1154" s="8">
        <v>10.75</v>
      </c>
      <c r="B1154" s="1">
        <v>65.7</v>
      </c>
      <c r="C1154" s="1" t="s">
        <v>115</v>
      </c>
      <c r="D1154" s="1">
        <v>8640</v>
      </c>
      <c r="E1154" s="1">
        <v>9200</v>
      </c>
      <c r="F1154" s="1"/>
      <c r="G1154" s="1"/>
      <c r="H1154" s="1"/>
      <c r="I1154" s="1" t="s">
        <v>8</v>
      </c>
      <c r="J1154" s="1">
        <v>1277</v>
      </c>
      <c r="K1154" s="1"/>
      <c r="L1154" s="1">
        <v>1803</v>
      </c>
      <c r="M1154" s="1">
        <v>0.59499999999999997</v>
      </c>
      <c r="N1154" s="1">
        <v>9.56</v>
      </c>
      <c r="O1154" s="1">
        <v>9.4039999999999999</v>
      </c>
      <c r="P1154" s="9">
        <v>9.5039999999999996</v>
      </c>
    </row>
    <row r="1155" spans="1:16" x14ac:dyDescent="0.25">
      <c r="A1155" s="8">
        <v>10.75</v>
      </c>
      <c r="B1155" s="1">
        <v>65.7</v>
      </c>
      <c r="C1155" s="1" t="s">
        <v>115</v>
      </c>
      <c r="D1155" s="1">
        <v>8640</v>
      </c>
      <c r="E1155" s="1">
        <v>9200</v>
      </c>
      <c r="F1155" s="1"/>
      <c r="G1155" s="1"/>
      <c r="H1155" s="1"/>
      <c r="I1155" s="1" t="s">
        <v>13</v>
      </c>
      <c r="J1155" s="1">
        <v>1814</v>
      </c>
      <c r="K1155" s="1"/>
      <c r="L1155" s="1">
        <v>1803</v>
      </c>
      <c r="M1155" s="1">
        <v>0.59499999999999997</v>
      </c>
      <c r="N1155" s="1">
        <v>9.56</v>
      </c>
      <c r="O1155" s="1">
        <v>9.4039999999999999</v>
      </c>
      <c r="P1155" s="9">
        <v>9.5039999999999996</v>
      </c>
    </row>
    <row r="1156" spans="1:16" x14ac:dyDescent="0.25">
      <c r="A1156" s="6">
        <v>10.75</v>
      </c>
      <c r="B1156" s="2">
        <v>65.7</v>
      </c>
      <c r="C1156" s="2" t="s">
        <v>116</v>
      </c>
      <c r="D1156" s="2">
        <v>6960</v>
      </c>
      <c r="E1156" s="2">
        <v>9200</v>
      </c>
      <c r="F1156" s="2"/>
      <c r="G1156" s="2"/>
      <c r="H1156" s="2"/>
      <c r="I1156" s="2" t="s">
        <v>8</v>
      </c>
      <c r="J1156" s="2">
        <v>1263</v>
      </c>
      <c r="K1156" s="2"/>
      <c r="L1156" s="2">
        <v>1803</v>
      </c>
      <c r="M1156" s="2">
        <v>0.59499999999999997</v>
      </c>
      <c r="N1156" s="2">
        <v>9.56</v>
      </c>
      <c r="O1156" s="2">
        <v>9.4039999999999999</v>
      </c>
      <c r="P1156" s="7"/>
    </row>
    <row r="1157" spans="1:16" x14ac:dyDescent="0.25">
      <c r="A1157" s="6">
        <v>10.75</v>
      </c>
      <c r="B1157" s="2">
        <v>65.7</v>
      </c>
      <c r="C1157" s="2" t="s">
        <v>116</v>
      </c>
      <c r="D1157" s="2">
        <v>6960</v>
      </c>
      <c r="E1157" s="2">
        <v>9200</v>
      </c>
      <c r="F1157" s="2"/>
      <c r="G1157" s="2"/>
      <c r="H1157" s="2"/>
      <c r="I1157" s="2" t="s">
        <v>13</v>
      </c>
      <c r="J1157" s="2">
        <v>1765</v>
      </c>
      <c r="K1157" s="2"/>
      <c r="L1157" s="2">
        <v>1803</v>
      </c>
      <c r="M1157" s="2">
        <v>0.59499999999999997</v>
      </c>
      <c r="N1157" s="2">
        <v>9.56</v>
      </c>
      <c r="O1157" s="2">
        <v>9.4039999999999999</v>
      </c>
      <c r="P1157" s="7"/>
    </row>
    <row r="1158" spans="1:16" x14ac:dyDescent="0.25">
      <c r="A1158" s="8">
        <v>10.75</v>
      </c>
      <c r="B1158" s="1">
        <v>65.7</v>
      </c>
      <c r="C1158" s="1" t="s">
        <v>80</v>
      </c>
      <c r="D1158" s="1">
        <v>8640</v>
      </c>
      <c r="E1158" s="1">
        <v>9200</v>
      </c>
      <c r="F1158" s="1"/>
      <c r="G1158" s="1"/>
      <c r="H1158" s="1"/>
      <c r="I1158" s="1" t="s">
        <v>8</v>
      </c>
      <c r="J1158" s="1">
        <v>1263</v>
      </c>
      <c r="K1158" s="1"/>
      <c r="L1158" s="1">
        <v>1803</v>
      </c>
      <c r="M1158" s="1">
        <v>0.59499999999999997</v>
      </c>
      <c r="N1158" s="1">
        <v>9.56</v>
      </c>
      <c r="O1158" s="1">
        <v>9.4039999999999999</v>
      </c>
      <c r="P1158" s="9">
        <v>9.5039999999999996</v>
      </c>
    </row>
    <row r="1159" spans="1:16" x14ac:dyDescent="0.25">
      <c r="A1159" s="8">
        <v>10.75</v>
      </c>
      <c r="B1159" s="1">
        <v>65.7</v>
      </c>
      <c r="C1159" s="1" t="s">
        <v>80</v>
      </c>
      <c r="D1159" s="1">
        <v>8640</v>
      </c>
      <c r="E1159" s="1">
        <v>9200</v>
      </c>
      <c r="F1159" s="1"/>
      <c r="G1159" s="1"/>
      <c r="H1159" s="1"/>
      <c r="I1159" s="1" t="s">
        <v>13</v>
      </c>
      <c r="J1159" s="1">
        <v>1765</v>
      </c>
      <c r="K1159" s="1"/>
      <c r="L1159" s="1">
        <v>1803</v>
      </c>
      <c r="M1159" s="1">
        <v>0.59499999999999997</v>
      </c>
      <c r="N1159" s="1">
        <v>9.56</v>
      </c>
      <c r="O1159" s="1">
        <v>9.4039999999999999</v>
      </c>
      <c r="P1159" s="9">
        <v>9.5039999999999996</v>
      </c>
    </row>
    <row r="1160" spans="1:16" x14ac:dyDescent="0.25">
      <c r="A1160" s="6">
        <v>10.75</v>
      </c>
      <c r="B1160" s="2">
        <v>65.7</v>
      </c>
      <c r="C1160" s="2" t="s">
        <v>74</v>
      </c>
      <c r="D1160" s="2">
        <v>6960</v>
      </c>
      <c r="E1160" s="2">
        <v>9200</v>
      </c>
      <c r="F1160" s="2"/>
      <c r="G1160" s="2"/>
      <c r="H1160" s="2"/>
      <c r="I1160" s="2" t="s">
        <v>8</v>
      </c>
      <c r="J1160" s="2">
        <v>1263</v>
      </c>
      <c r="K1160" s="2"/>
      <c r="L1160" s="2">
        <v>1803</v>
      </c>
      <c r="M1160" s="2">
        <v>0.59499999999999997</v>
      </c>
      <c r="N1160" s="2">
        <v>9.56</v>
      </c>
      <c r="O1160" s="2">
        <v>9.4039999999999999</v>
      </c>
      <c r="P1160" s="7">
        <v>9.5039999999999996</v>
      </c>
    </row>
    <row r="1161" spans="1:16" x14ac:dyDescent="0.25">
      <c r="A1161" s="6">
        <v>10.75</v>
      </c>
      <c r="B1161" s="2">
        <v>65.7</v>
      </c>
      <c r="C1161" s="2" t="s">
        <v>74</v>
      </c>
      <c r="D1161" s="2">
        <v>6960</v>
      </c>
      <c r="E1161" s="2">
        <v>9200</v>
      </c>
      <c r="F1161" s="2"/>
      <c r="G1161" s="2"/>
      <c r="H1161" s="2"/>
      <c r="I1161" s="2" t="s">
        <v>13</v>
      </c>
      <c r="J1161" s="2">
        <v>1765</v>
      </c>
      <c r="K1161" s="2"/>
      <c r="L1161" s="2">
        <v>1803</v>
      </c>
      <c r="M1161" s="2">
        <v>0.59499999999999997</v>
      </c>
      <c r="N1161" s="2">
        <v>9.56</v>
      </c>
      <c r="O1161" s="2">
        <v>9.4039999999999999</v>
      </c>
      <c r="P1161" s="7">
        <v>9.5039999999999996</v>
      </c>
    </row>
    <row r="1162" spans="1:16" x14ac:dyDescent="0.25">
      <c r="A1162" s="8">
        <v>10.75</v>
      </c>
      <c r="B1162" s="1">
        <v>65.7</v>
      </c>
      <c r="C1162" s="1" t="s">
        <v>97</v>
      </c>
      <c r="D1162" s="1">
        <v>8640</v>
      </c>
      <c r="E1162" s="1">
        <v>10650</v>
      </c>
      <c r="F1162" s="1"/>
      <c r="G1162" s="1"/>
      <c r="H1162" s="1"/>
      <c r="I1162" s="1" t="s">
        <v>8</v>
      </c>
      <c r="J1162" s="1">
        <v>1472</v>
      </c>
      <c r="K1162" s="1"/>
      <c r="L1162" s="1">
        <v>2088</v>
      </c>
      <c r="M1162" s="1">
        <v>0.59499999999999997</v>
      </c>
      <c r="N1162" s="1">
        <v>9.56</v>
      </c>
      <c r="O1162" s="1">
        <v>9.4039999999999999</v>
      </c>
      <c r="P1162" s="9">
        <v>9.5039999999999996</v>
      </c>
    </row>
    <row r="1163" spans="1:16" x14ac:dyDescent="0.25">
      <c r="A1163" s="8">
        <v>10.75</v>
      </c>
      <c r="B1163" s="1">
        <v>65.7</v>
      </c>
      <c r="C1163" s="1" t="s">
        <v>97</v>
      </c>
      <c r="D1163" s="1">
        <v>8640</v>
      </c>
      <c r="E1163" s="1">
        <v>10650</v>
      </c>
      <c r="F1163" s="1"/>
      <c r="G1163" s="1"/>
      <c r="H1163" s="1"/>
      <c r="I1163" s="1" t="s">
        <v>13</v>
      </c>
      <c r="J1163" s="1">
        <v>2077</v>
      </c>
      <c r="K1163" s="1"/>
      <c r="L1163" s="1">
        <v>2088</v>
      </c>
      <c r="M1163" s="1">
        <v>0.59499999999999997</v>
      </c>
      <c r="N1163" s="1">
        <v>9.56</v>
      </c>
      <c r="O1163" s="1">
        <v>9.4039999999999999</v>
      </c>
      <c r="P1163" s="9">
        <v>9.5039999999999996</v>
      </c>
    </row>
    <row r="1164" spans="1:16" x14ac:dyDescent="0.25">
      <c r="A1164" s="6">
        <v>10.75</v>
      </c>
      <c r="B1164" s="2">
        <v>65.7</v>
      </c>
      <c r="C1164" s="2" t="s">
        <v>113</v>
      </c>
      <c r="D1164" s="2">
        <v>7500</v>
      </c>
      <c r="E1164" s="2">
        <v>10650</v>
      </c>
      <c r="F1164" s="2"/>
      <c r="G1164" s="2"/>
      <c r="H1164" s="2"/>
      <c r="I1164" s="2" t="s">
        <v>8</v>
      </c>
      <c r="J1164" s="2">
        <v>1472</v>
      </c>
      <c r="K1164" s="2"/>
      <c r="L1164" s="2">
        <v>2088</v>
      </c>
      <c r="M1164" s="2">
        <v>0.59499999999999997</v>
      </c>
      <c r="N1164" s="2">
        <v>9.56</v>
      </c>
      <c r="O1164" s="2">
        <v>9.4039999999999999</v>
      </c>
      <c r="P1164" s="7">
        <v>9.5039999999999996</v>
      </c>
    </row>
    <row r="1165" spans="1:16" x14ac:dyDescent="0.25">
      <c r="A1165" s="6">
        <v>10.75</v>
      </c>
      <c r="B1165" s="2">
        <v>65.7</v>
      </c>
      <c r="C1165" s="2" t="s">
        <v>113</v>
      </c>
      <c r="D1165" s="2">
        <v>7500</v>
      </c>
      <c r="E1165" s="2">
        <v>10650</v>
      </c>
      <c r="F1165" s="2"/>
      <c r="G1165" s="2"/>
      <c r="H1165" s="2"/>
      <c r="I1165" s="2" t="s">
        <v>13</v>
      </c>
      <c r="J1165" s="2">
        <v>2077</v>
      </c>
      <c r="K1165" s="2"/>
      <c r="L1165" s="2">
        <v>2088</v>
      </c>
      <c r="M1165" s="2">
        <v>0.59499999999999997</v>
      </c>
      <c r="N1165" s="2">
        <v>9.56</v>
      </c>
      <c r="O1165" s="2">
        <v>9.4039999999999999</v>
      </c>
      <c r="P1165" s="7">
        <v>9.5039999999999996</v>
      </c>
    </row>
    <row r="1166" spans="1:16" x14ac:dyDescent="0.25">
      <c r="A1166" s="8">
        <v>10.75</v>
      </c>
      <c r="B1166" s="1">
        <v>65.7</v>
      </c>
      <c r="C1166" s="1" t="s">
        <v>99</v>
      </c>
      <c r="D1166" s="1">
        <v>8640</v>
      </c>
      <c r="E1166" s="1">
        <v>12110</v>
      </c>
      <c r="F1166" s="1"/>
      <c r="G1166" s="1"/>
      <c r="H1166" s="1"/>
      <c r="I1166" s="1" t="s">
        <v>8</v>
      </c>
      <c r="J1166" s="1">
        <v>1653</v>
      </c>
      <c r="K1166" s="1"/>
      <c r="L1166" s="1">
        <v>2373</v>
      </c>
      <c r="M1166" s="1">
        <v>0.59499999999999997</v>
      </c>
      <c r="N1166" s="1">
        <v>9.56</v>
      </c>
      <c r="O1166" s="1">
        <v>9.4039999999999999</v>
      </c>
      <c r="P1166" s="9">
        <v>9.5039999999999996</v>
      </c>
    </row>
    <row r="1167" spans="1:16" x14ac:dyDescent="0.25">
      <c r="A1167" s="8">
        <v>10.75</v>
      </c>
      <c r="B1167" s="1">
        <v>65.7</v>
      </c>
      <c r="C1167" s="1" t="s">
        <v>99</v>
      </c>
      <c r="D1167" s="1">
        <v>8640</v>
      </c>
      <c r="E1167" s="1">
        <v>12110</v>
      </c>
      <c r="F1167" s="1"/>
      <c r="G1167" s="1"/>
      <c r="H1167" s="1"/>
      <c r="I1167" s="1" t="s">
        <v>13</v>
      </c>
      <c r="J1167" s="1">
        <v>2291</v>
      </c>
      <c r="K1167" s="1"/>
      <c r="L1167" s="1">
        <v>2373</v>
      </c>
      <c r="M1167" s="1">
        <v>0.59499999999999997</v>
      </c>
      <c r="N1167" s="1">
        <v>9.56</v>
      </c>
      <c r="O1167" s="1">
        <v>9.4039999999999999</v>
      </c>
      <c r="P1167" s="9">
        <v>9.5039999999999996</v>
      </c>
    </row>
    <row r="1168" spans="1:16" x14ac:dyDescent="0.25">
      <c r="A1168" s="6">
        <v>10.75</v>
      </c>
      <c r="B1168" s="2">
        <v>65.7</v>
      </c>
      <c r="C1168" s="2" t="s">
        <v>114</v>
      </c>
      <c r="D1168" s="2">
        <v>7920</v>
      </c>
      <c r="E1168" s="2">
        <v>12110</v>
      </c>
      <c r="F1168" s="2"/>
      <c r="G1168" s="2"/>
      <c r="H1168" s="2"/>
      <c r="I1168" s="2" t="s">
        <v>8</v>
      </c>
      <c r="J1168" s="2">
        <v>1653</v>
      </c>
      <c r="K1168" s="2"/>
      <c r="L1168" s="2">
        <v>2373</v>
      </c>
      <c r="M1168" s="2">
        <v>0.59499999999999997</v>
      </c>
      <c r="N1168" s="2">
        <v>9.56</v>
      </c>
      <c r="O1168" s="2">
        <v>9.4039999999999999</v>
      </c>
      <c r="P1168" s="7">
        <v>9.5039999999999996</v>
      </c>
    </row>
    <row r="1169" spans="1:16" x14ac:dyDescent="0.25">
      <c r="A1169" s="6">
        <v>10.75</v>
      </c>
      <c r="B1169" s="2">
        <v>65.7</v>
      </c>
      <c r="C1169" s="2" t="s">
        <v>114</v>
      </c>
      <c r="D1169" s="2">
        <v>7920</v>
      </c>
      <c r="E1169" s="2">
        <v>12110</v>
      </c>
      <c r="F1169" s="2"/>
      <c r="G1169" s="2"/>
      <c r="H1169" s="2"/>
      <c r="I1169" s="2" t="s">
        <v>13</v>
      </c>
      <c r="J1169" s="2">
        <v>2291</v>
      </c>
      <c r="K1169" s="2"/>
      <c r="L1169" s="2">
        <v>2373</v>
      </c>
      <c r="M1169" s="2">
        <v>0.59499999999999997</v>
      </c>
      <c r="N1169" s="2">
        <v>9.56</v>
      </c>
      <c r="O1169" s="2">
        <v>9.4039999999999999</v>
      </c>
      <c r="P1169" s="7">
        <v>9.5039999999999996</v>
      </c>
    </row>
    <row r="1170" spans="1:16" x14ac:dyDescent="0.25">
      <c r="A1170" s="8">
        <v>10.75</v>
      </c>
      <c r="B1170" s="1">
        <v>65.7</v>
      </c>
      <c r="C1170" s="1" t="s">
        <v>117</v>
      </c>
      <c r="D1170" s="1">
        <v>8320</v>
      </c>
      <c r="E1170" s="1">
        <v>14530</v>
      </c>
      <c r="F1170" s="1"/>
      <c r="G1170" s="1"/>
      <c r="H1170" s="1"/>
      <c r="I1170" s="1" t="s">
        <v>8</v>
      </c>
      <c r="J1170" s="1">
        <v>1978</v>
      </c>
      <c r="K1170" s="1"/>
      <c r="L1170" s="1">
        <v>2847</v>
      </c>
      <c r="M1170" s="1">
        <v>0.59499999999999997</v>
      </c>
      <c r="N1170" s="1">
        <v>9.56</v>
      </c>
      <c r="O1170" s="1">
        <v>9.4039999999999999</v>
      </c>
      <c r="P1170" s="9">
        <v>9.5039999999999996</v>
      </c>
    </row>
    <row r="1171" spans="1:16" x14ac:dyDescent="0.25">
      <c r="A1171" s="8">
        <v>10.75</v>
      </c>
      <c r="B1171" s="1">
        <v>65.7</v>
      </c>
      <c r="C1171" s="1" t="s">
        <v>117</v>
      </c>
      <c r="D1171" s="1">
        <v>8320</v>
      </c>
      <c r="E1171" s="1">
        <v>14530</v>
      </c>
      <c r="F1171" s="1"/>
      <c r="G1171" s="1"/>
      <c r="H1171" s="1"/>
      <c r="I1171" s="1" t="s">
        <v>13</v>
      </c>
      <c r="J1171" s="1">
        <v>2730</v>
      </c>
      <c r="K1171" s="1"/>
      <c r="L1171" s="1">
        <v>2847</v>
      </c>
      <c r="M1171" s="1">
        <v>0.59499999999999997</v>
      </c>
      <c r="N1171" s="1">
        <v>9.56</v>
      </c>
      <c r="O1171" s="1">
        <v>9.4039999999999999</v>
      </c>
      <c r="P1171" s="9">
        <v>9.5039999999999996</v>
      </c>
    </row>
    <row r="1172" spans="1:16" x14ac:dyDescent="0.25">
      <c r="A1172" s="6">
        <v>10.75</v>
      </c>
      <c r="B1172" s="2">
        <v>71.099999999999994</v>
      </c>
      <c r="C1172" s="2" t="s">
        <v>75</v>
      </c>
      <c r="D1172" s="2">
        <v>9300</v>
      </c>
      <c r="E1172" s="2">
        <v>9200</v>
      </c>
      <c r="F1172" s="2"/>
      <c r="G1172" s="2"/>
      <c r="H1172" s="2"/>
      <c r="I1172" s="2" t="s">
        <v>8</v>
      </c>
      <c r="J1172" s="2">
        <v>1317</v>
      </c>
      <c r="K1172" s="2"/>
      <c r="L1172" s="2">
        <v>1856</v>
      </c>
      <c r="M1172" s="2">
        <v>0.65</v>
      </c>
      <c r="N1172" s="2">
        <v>9.4499999999999993</v>
      </c>
      <c r="O1172" s="2">
        <v>9.2940000000000005</v>
      </c>
      <c r="P1172" s="7"/>
    </row>
    <row r="1173" spans="1:16" x14ac:dyDescent="0.25">
      <c r="A1173" s="6">
        <v>10.75</v>
      </c>
      <c r="B1173" s="2">
        <v>71.099999999999994</v>
      </c>
      <c r="C1173" s="2" t="s">
        <v>75</v>
      </c>
      <c r="D1173" s="2">
        <v>9300</v>
      </c>
      <c r="E1173" s="2">
        <v>8980</v>
      </c>
      <c r="F1173" s="2"/>
      <c r="G1173" s="2"/>
      <c r="H1173" s="2"/>
      <c r="I1173" s="2" t="s">
        <v>13</v>
      </c>
      <c r="J1173" s="2">
        <v>1822</v>
      </c>
      <c r="K1173" s="2"/>
      <c r="L1173" s="2">
        <v>1856</v>
      </c>
      <c r="M1173" s="2">
        <v>0.65</v>
      </c>
      <c r="N1173" s="2">
        <v>9.4499999999999993</v>
      </c>
      <c r="O1173" s="2">
        <v>9.2940000000000005</v>
      </c>
      <c r="P1173" s="7"/>
    </row>
    <row r="1174" spans="1:16" x14ac:dyDescent="0.25">
      <c r="A1174" s="8">
        <v>10.75</v>
      </c>
      <c r="B1174" s="1">
        <v>71.099999999999994</v>
      </c>
      <c r="C1174" s="1" t="s">
        <v>115</v>
      </c>
      <c r="D1174" s="1">
        <v>9600</v>
      </c>
      <c r="E1174" s="1">
        <v>9710</v>
      </c>
      <c r="F1174" s="1"/>
      <c r="G1174" s="1"/>
      <c r="H1174" s="1"/>
      <c r="I1174" s="1" t="s">
        <v>8</v>
      </c>
      <c r="J1174" s="1">
        <v>1403</v>
      </c>
      <c r="K1174" s="1"/>
      <c r="L1174" s="1">
        <v>1959</v>
      </c>
      <c r="M1174" s="1">
        <v>0.65</v>
      </c>
      <c r="N1174" s="1">
        <v>9.4499999999999993</v>
      </c>
      <c r="O1174" s="1">
        <v>9.2940000000000005</v>
      </c>
      <c r="P1174" s="9"/>
    </row>
    <row r="1175" spans="1:16" x14ac:dyDescent="0.25">
      <c r="A1175" s="8">
        <v>10.75</v>
      </c>
      <c r="B1175" s="1">
        <v>71.099999999999994</v>
      </c>
      <c r="C1175" s="1" t="s">
        <v>115</v>
      </c>
      <c r="D1175" s="1">
        <v>9600</v>
      </c>
      <c r="E1175" s="1">
        <v>9480</v>
      </c>
      <c r="F1175" s="1"/>
      <c r="G1175" s="1"/>
      <c r="H1175" s="1"/>
      <c r="I1175" s="1" t="s">
        <v>13</v>
      </c>
      <c r="J1175" s="1">
        <v>1971</v>
      </c>
      <c r="K1175" s="1"/>
      <c r="L1175" s="1">
        <v>1959</v>
      </c>
      <c r="M1175" s="1">
        <v>0.65</v>
      </c>
      <c r="N1175" s="1">
        <v>9.4499999999999993</v>
      </c>
      <c r="O1175" s="1">
        <v>9.2940000000000005</v>
      </c>
      <c r="P1175" s="9"/>
    </row>
    <row r="1176" spans="1:16" x14ac:dyDescent="0.25">
      <c r="A1176" s="6">
        <v>10.75</v>
      </c>
      <c r="B1176" s="2">
        <v>71.099999999999994</v>
      </c>
      <c r="C1176" s="2" t="s">
        <v>80</v>
      </c>
      <c r="D1176" s="2">
        <v>9600</v>
      </c>
      <c r="E1176" s="2">
        <v>9710</v>
      </c>
      <c r="F1176" s="2"/>
      <c r="G1176" s="2"/>
      <c r="H1176" s="2"/>
      <c r="I1176" s="2" t="s">
        <v>8</v>
      </c>
      <c r="J1176" s="2">
        <v>1388</v>
      </c>
      <c r="K1176" s="2"/>
      <c r="L1176" s="2">
        <v>1959</v>
      </c>
      <c r="M1176" s="2">
        <v>0.65</v>
      </c>
      <c r="N1176" s="2">
        <v>9.4499999999999993</v>
      </c>
      <c r="O1176" s="2">
        <v>9.2940000000000005</v>
      </c>
      <c r="P1176" s="7"/>
    </row>
    <row r="1177" spans="1:16" x14ac:dyDescent="0.25">
      <c r="A1177" s="6">
        <v>10.75</v>
      </c>
      <c r="B1177" s="2">
        <v>71.099999999999994</v>
      </c>
      <c r="C1177" s="2" t="s">
        <v>80</v>
      </c>
      <c r="D1177" s="2">
        <v>9600</v>
      </c>
      <c r="E1177" s="2">
        <v>9480</v>
      </c>
      <c r="F1177" s="2"/>
      <c r="G1177" s="2"/>
      <c r="H1177" s="2"/>
      <c r="I1177" s="2" t="s">
        <v>13</v>
      </c>
      <c r="J1177" s="2">
        <v>1918</v>
      </c>
      <c r="K1177" s="2"/>
      <c r="L1177" s="2">
        <v>1959</v>
      </c>
      <c r="M1177" s="2">
        <v>0.65</v>
      </c>
      <c r="N1177" s="2">
        <v>9.4499999999999993</v>
      </c>
      <c r="O1177" s="2">
        <v>9.2940000000000005</v>
      </c>
      <c r="P1177" s="7"/>
    </row>
    <row r="1178" spans="1:16" x14ac:dyDescent="0.25">
      <c r="A1178" s="8">
        <v>10.75</v>
      </c>
      <c r="B1178" s="1">
        <v>71.099999999999994</v>
      </c>
      <c r="C1178" s="1" t="s">
        <v>97</v>
      </c>
      <c r="D1178" s="1">
        <v>9600</v>
      </c>
      <c r="E1178" s="1">
        <v>11240</v>
      </c>
      <c r="F1178" s="1"/>
      <c r="G1178" s="1"/>
      <c r="H1178" s="1"/>
      <c r="I1178" s="1" t="s">
        <v>8</v>
      </c>
      <c r="J1178" s="1">
        <v>1618</v>
      </c>
      <c r="K1178" s="1"/>
      <c r="L1178" s="1">
        <v>2269</v>
      </c>
      <c r="M1178" s="1">
        <v>0.65</v>
      </c>
      <c r="N1178" s="1">
        <v>9.4499999999999993</v>
      </c>
      <c r="O1178" s="1">
        <v>9.2940000000000005</v>
      </c>
      <c r="P1178" s="9"/>
    </row>
    <row r="1179" spans="1:16" x14ac:dyDescent="0.25">
      <c r="A1179" s="8">
        <v>10.75</v>
      </c>
      <c r="B1179" s="1">
        <v>71.099999999999994</v>
      </c>
      <c r="C1179" s="1" t="s">
        <v>97</v>
      </c>
      <c r="D1179" s="1">
        <v>9600</v>
      </c>
      <c r="E1179" s="1">
        <v>10980</v>
      </c>
      <c r="F1179" s="1"/>
      <c r="G1179" s="1"/>
      <c r="H1179" s="1"/>
      <c r="I1179" s="1" t="s">
        <v>13</v>
      </c>
      <c r="J1179" s="1">
        <v>2257</v>
      </c>
      <c r="K1179" s="1"/>
      <c r="L1179" s="1">
        <v>2269</v>
      </c>
      <c r="M1179" s="1">
        <v>0.65</v>
      </c>
      <c r="N1179" s="1">
        <v>9.4499999999999993</v>
      </c>
      <c r="O1179" s="1">
        <v>9.2940000000000005</v>
      </c>
      <c r="P1179" s="9"/>
    </row>
    <row r="1180" spans="1:16" x14ac:dyDescent="0.25">
      <c r="A1180" s="6">
        <v>10.75</v>
      </c>
      <c r="B1180" s="2">
        <v>71.099999999999994</v>
      </c>
      <c r="C1180" s="2" t="s">
        <v>113</v>
      </c>
      <c r="D1180" s="2">
        <v>9300</v>
      </c>
      <c r="E1180" s="2">
        <v>11240</v>
      </c>
      <c r="F1180" s="2"/>
      <c r="G1180" s="2"/>
      <c r="H1180" s="2"/>
      <c r="I1180" s="2" t="s">
        <v>8</v>
      </c>
      <c r="J1180" s="2">
        <v>1618</v>
      </c>
      <c r="K1180" s="2"/>
      <c r="L1180" s="2">
        <v>2269</v>
      </c>
      <c r="M1180" s="2">
        <v>0.65</v>
      </c>
      <c r="N1180" s="2">
        <v>9.4499999999999993</v>
      </c>
      <c r="O1180" s="2">
        <v>9.2940000000000005</v>
      </c>
      <c r="P1180" s="7"/>
    </row>
    <row r="1181" spans="1:16" x14ac:dyDescent="0.25">
      <c r="A1181" s="6">
        <v>10.75</v>
      </c>
      <c r="B1181" s="2">
        <v>71.099999999999994</v>
      </c>
      <c r="C1181" s="2" t="s">
        <v>113</v>
      </c>
      <c r="D1181" s="2">
        <v>9300</v>
      </c>
      <c r="E1181" s="2">
        <v>10980</v>
      </c>
      <c r="F1181" s="2"/>
      <c r="G1181" s="2"/>
      <c r="H1181" s="2"/>
      <c r="I1181" s="2" t="s">
        <v>13</v>
      </c>
      <c r="J1181" s="2">
        <v>2257</v>
      </c>
      <c r="K1181" s="2"/>
      <c r="L1181" s="2">
        <v>2269</v>
      </c>
      <c r="M1181" s="2">
        <v>0.65</v>
      </c>
      <c r="N1181" s="2">
        <v>9.4499999999999993</v>
      </c>
      <c r="O1181" s="2">
        <v>9.2940000000000005</v>
      </c>
      <c r="P1181" s="7"/>
    </row>
    <row r="1182" spans="1:16" x14ac:dyDescent="0.25">
      <c r="A1182" s="8">
        <v>10.75</v>
      </c>
      <c r="B1182" s="1">
        <v>71.099999999999994</v>
      </c>
      <c r="C1182" s="1" t="s">
        <v>114</v>
      </c>
      <c r="D1182" s="1">
        <v>9990</v>
      </c>
      <c r="E1182" s="1">
        <v>12780</v>
      </c>
      <c r="F1182" s="1"/>
      <c r="G1182" s="1"/>
      <c r="H1182" s="1"/>
      <c r="I1182" s="1" t="s">
        <v>8</v>
      </c>
      <c r="J1182" s="1">
        <v>1817</v>
      </c>
      <c r="K1182" s="1"/>
      <c r="L1182" s="1">
        <v>2578</v>
      </c>
      <c r="M1182" s="1">
        <v>0.65</v>
      </c>
      <c r="N1182" s="1">
        <v>9.4499999999999993</v>
      </c>
      <c r="O1182" s="1">
        <v>9.2940000000000005</v>
      </c>
      <c r="P1182" s="9"/>
    </row>
    <row r="1183" spans="1:16" x14ac:dyDescent="0.25">
      <c r="A1183" s="8">
        <v>10.75</v>
      </c>
      <c r="B1183" s="1">
        <v>71.099999999999994</v>
      </c>
      <c r="C1183" s="1" t="s">
        <v>114</v>
      </c>
      <c r="D1183" s="1">
        <v>9990</v>
      </c>
      <c r="E1183" s="1">
        <v>12480</v>
      </c>
      <c r="F1183" s="1"/>
      <c r="G1183" s="1"/>
      <c r="H1183" s="1"/>
      <c r="I1183" s="1" t="s">
        <v>13</v>
      </c>
      <c r="J1183" s="1">
        <v>2489</v>
      </c>
      <c r="K1183" s="1"/>
      <c r="L1183" s="1">
        <v>2578</v>
      </c>
      <c r="M1183" s="1">
        <v>0.65</v>
      </c>
      <c r="N1183" s="1">
        <v>9.4499999999999993</v>
      </c>
      <c r="O1183" s="1">
        <v>9.2940000000000005</v>
      </c>
      <c r="P1183" s="9"/>
    </row>
    <row r="1184" spans="1:16" x14ac:dyDescent="0.25">
      <c r="A1184" s="6">
        <v>10.75</v>
      </c>
      <c r="B1184" s="2">
        <v>71.099999999999994</v>
      </c>
      <c r="C1184" s="2" t="s">
        <v>117</v>
      </c>
      <c r="D1184" s="2">
        <v>10880</v>
      </c>
      <c r="E1184" s="2">
        <v>15330</v>
      </c>
      <c r="F1184" s="2"/>
      <c r="G1184" s="2"/>
      <c r="H1184" s="2"/>
      <c r="I1184" s="2" t="s">
        <v>8</v>
      </c>
      <c r="J1184" s="2">
        <v>2174</v>
      </c>
      <c r="K1184" s="2"/>
      <c r="L1184" s="2">
        <v>3094</v>
      </c>
      <c r="M1184" s="2">
        <v>0.65</v>
      </c>
      <c r="N1184" s="2">
        <v>9.4499999999999993</v>
      </c>
      <c r="O1184" s="2">
        <v>9.2940000000000005</v>
      </c>
      <c r="P1184" s="7"/>
    </row>
    <row r="1185" spans="1:16" x14ac:dyDescent="0.25">
      <c r="A1185" s="6">
        <v>10.75</v>
      </c>
      <c r="B1185" s="2">
        <v>71.099999999999994</v>
      </c>
      <c r="C1185" s="2" t="s">
        <v>117</v>
      </c>
      <c r="D1185" s="2">
        <v>10880</v>
      </c>
      <c r="E1185" s="2">
        <v>14970</v>
      </c>
      <c r="F1185" s="2"/>
      <c r="G1185" s="2"/>
      <c r="H1185" s="2"/>
      <c r="I1185" s="2" t="s">
        <v>13</v>
      </c>
      <c r="J1185" s="2">
        <v>2966</v>
      </c>
      <c r="K1185" s="2"/>
      <c r="L1185" s="2">
        <v>3094</v>
      </c>
      <c r="M1185" s="2">
        <v>0.65</v>
      </c>
      <c r="N1185" s="2">
        <v>9.4499999999999993</v>
      </c>
      <c r="O1185" s="2">
        <v>9.2940000000000005</v>
      </c>
      <c r="P1185" s="7"/>
    </row>
    <row r="1186" spans="1:16" x14ac:dyDescent="0.25">
      <c r="A1186" s="8">
        <v>10.75</v>
      </c>
      <c r="B1186" s="1">
        <v>73.2</v>
      </c>
      <c r="C1186" s="1" t="s">
        <v>68</v>
      </c>
      <c r="D1186" s="1">
        <v>8760</v>
      </c>
      <c r="E1186" s="1">
        <v>9850</v>
      </c>
      <c r="F1186" s="1"/>
      <c r="G1186" s="1"/>
      <c r="H1186" s="1"/>
      <c r="I1186" s="1" t="s">
        <v>79</v>
      </c>
      <c r="J1186" s="1">
        <v>1915</v>
      </c>
      <c r="K1186" s="1"/>
      <c r="L1186" s="1">
        <v>1915</v>
      </c>
      <c r="M1186" s="1">
        <v>0.67200000000000004</v>
      </c>
      <c r="N1186" s="1">
        <v>9.4060000000000006</v>
      </c>
      <c r="O1186" s="1">
        <v>9.25</v>
      </c>
      <c r="P1186" s="9"/>
    </row>
    <row r="1187" spans="1:16" x14ac:dyDescent="0.25">
      <c r="A1187" s="6">
        <v>10.75</v>
      </c>
      <c r="B1187" s="2">
        <v>73.2</v>
      </c>
      <c r="C1187" s="2" t="s">
        <v>116</v>
      </c>
      <c r="D1187" s="2">
        <v>9090</v>
      </c>
      <c r="E1187" s="2">
        <v>10390</v>
      </c>
      <c r="F1187" s="2"/>
      <c r="G1187" s="2"/>
      <c r="H1187" s="2"/>
      <c r="I1187" s="2" t="s">
        <v>79</v>
      </c>
      <c r="J1187" s="2">
        <v>2021</v>
      </c>
      <c r="K1187" s="2"/>
      <c r="L1187" s="2">
        <v>2021</v>
      </c>
      <c r="M1187" s="2">
        <v>0.67200000000000004</v>
      </c>
      <c r="N1187" s="2">
        <v>9.4060000000000006</v>
      </c>
      <c r="O1187" s="2">
        <v>9.25</v>
      </c>
      <c r="P1187" s="7"/>
    </row>
    <row r="1188" spans="1:16" x14ac:dyDescent="0.25">
      <c r="A1188" s="8">
        <v>10.75</v>
      </c>
      <c r="B1188" s="1">
        <v>79.2</v>
      </c>
      <c r="C1188" s="1" t="s">
        <v>68</v>
      </c>
      <c r="D1188" s="1">
        <v>10370</v>
      </c>
      <c r="E1188" s="1">
        <v>10750</v>
      </c>
      <c r="F1188" s="1"/>
      <c r="G1188" s="1"/>
      <c r="H1188" s="1"/>
      <c r="I1188" s="1" t="s">
        <v>79</v>
      </c>
      <c r="J1188" s="1">
        <v>2079</v>
      </c>
      <c r="K1188" s="1"/>
      <c r="L1188" s="1">
        <v>2079</v>
      </c>
      <c r="M1188" s="1">
        <v>0.73399999999999999</v>
      </c>
      <c r="N1188" s="1">
        <v>9.282</v>
      </c>
      <c r="O1188" s="1">
        <v>9.1259999999999994</v>
      </c>
      <c r="P1188" s="9"/>
    </row>
    <row r="1189" spans="1:16" x14ac:dyDescent="0.25">
      <c r="A1189" s="6">
        <v>10.75</v>
      </c>
      <c r="B1189" s="2">
        <v>79.2</v>
      </c>
      <c r="C1189" s="2" t="s">
        <v>116</v>
      </c>
      <c r="D1189" s="2">
        <v>10800</v>
      </c>
      <c r="E1189" s="2">
        <v>11350</v>
      </c>
      <c r="F1189" s="2"/>
      <c r="G1189" s="2"/>
      <c r="H1189" s="2"/>
      <c r="I1189" s="2" t="s">
        <v>79</v>
      </c>
      <c r="J1189" s="2">
        <v>2194</v>
      </c>
      <c r="K1189" s="2"/>
      <c r="L1189" s="2">
        <v>2194</v>
      </c>
      <c r="M1189" s="2">
        <v>0.73399999999999999</v>
      </c>
      <c r="N1189" s="2">
        <v>9.282</v>
      </c>
      <c r="O1189" s="2">
        <v>9.1259999999999994</v>
      </c>
      <c r="P1189" s="7"/>
    </row>
    <row r="1190" spans="1:16" x14ac:dyDescent="0.25">
      <c r="A1190" s="8">
        <v>10.75</v>
      </c>
      <c r="B1190" s="1">
        <v>85.3</v>
      </c>
      <c r="C1190" s="1" t="s">
        <v>68</v>
      </c>
      <c r="D1190" s="1">
        <v>12010</v>
      </c>
      <c r="E1190" s="1">
        <v>11680</v>
      </c>
      <c r="F1190" s="1"/>
      <c r="G1190" s="1"/>
      <c r="H1190" s="1"/>
      <c r="I1190" s="1" t="s">
        <v>79</v>
      </c>
      <c r="J1190" s="1">
        <v>2243</v>
      </c>
      <c r="K1190" s="1"/>
      <c r="L1190" s="1">
        <v>2243</v>
      </c>
      <c r="M1190" s="1">
        <v>0.79700000000000004</v>
      </c>
      <c r="N1190" s="1">
        <v>9.1560000000000006</v>
      </c>
      <c r="O1190" s="1">
        <v>9</v>
      </c>
      <c r="P1190" s="9"/>
    </row>
    <row r="1191" spans="1:16" ht="15.75" customHeight="1" thickBot="1" x14ac:dyDescent="0.3">
      <c r="A1191" s="13">
        <v>10.75</v>
      </c>
      <c r="B1191" s="14">
        <v>85.3</v>
      </c>
      <c r="C1191" s="14" t="s">
        <v>116</v>
      </c>
      <c r="D1191" s="14">
        <v>12540</v>
      </c>
      <c r="E1191" s="14">
        <v>12330</v>
      </c>
      <c r="F1191" s="14"/>
      <c r="G1191" s="14"/>
      <c r="H1191" s="14"/>
      <c r="I1191" s="14" t="s">
        <v>79</v>
      </c>
      <c r="J1191" s="14">
        <v>2367</v>
      </c>
      <c r="K1191" s="14"/>
      <c r="L1191" s="14">
        <v>2367</v>
      </c>
      <c r="M1191" s="14">
        <v>0.79700000000000004</v>
      </c>
      <c r="N1191" s="14">
        <v>9.1560000000000006</v>
      </c>
      <c r="O1191" s="14">
        <v>9</v>
      </c>
      <c r="P1191" s="15"/>
    </row>
    <row r="1192" spans="1:16" ht="15.75" customHeight="1" thickBot="1" x14ac:dyDescent="0.3">
      <c r="A1192" s="3">
        <v>11.75</v>
      </c>
      <c r="B1192" s="4">
        <v>42</v>
      </c>
      <c r="C1192" s="4" t="s">
        <v>81</v>
      </c>
      <c r="D1192" s="4">
        <v>1040</v>
      </c>
      <c r="E1192" s="4">
        <v>1980</v>
      </c>
      <c r="F1192" s="4"/>
      <c r="G1192" s="4"/>
      <c r="H1192" s="4"/>
      <c r="I1192" s="4" t="s">
        <v>8</v>
      </c>
      <c r="J1192" s="4">
        <v>307</v>
      </c>
      <c r="K1192" s="4"/>
      <c r="L1192" s="4">
        <v>478</v>
      </c>
      <c r="M1192" s="4">
        <v>0.33300000000000002</v>
      </c>
      <c r="N1192" s="4">
        <v>11.084</v>
      </c>
      <c r="O1192" s="4">
        <v>10.928000000000001</v>
      </c>
      <c r="P1192" s="5">
        <v>11</v>
      </c>
    </row>
    <row r="1193" spans="1:16" x14ac:dyDescent="0.25">
      <c r="A1193" s="3">
        <v>11.75</v>
      </c>
      <c r="B1193" s="4">
        <v>42</v>
      </c>
      <c r="C1193" s="4" t="s">
        <v>81</v>
      </c>
      <c r="D1193" s="4">
        <v>1040</v>
      </c>
      <c r="E1193" s="4">
        <v>1980</v>
      </c>
      <c r="F1193" s="4"/>
      <c r="G1193" s="4"/>
      <c r="H1193" s="4"/>
      <c r="I1193" s="4" t="s">
        <v>13</v>
      </c>
      <c r="J1193" s="4">
        <v>554</v>
      </c>
      <c r="K1193" s="4"/>
      <c r="L1193" s="4">
        <v>478</v>
      </c>
      <c r="M1193" s="4">
        <v>0.33300000000000002</v>
      </c>
      <c r="N1193" s="4">
        <v>11.084</v>
      </c>
      <c r="O1193" s="4">
        <v>10.928000000000001</v>
      </c>
      <c r="P1193" s="5">
        <v>11</v>
      </c>
    </row>
    <row r="1194" spans="1:16" x14ac:dyDescent="0.25">
      <c r="A1194" s="6">
        <v>11.75</v>
      </c>
      <c r="B1194" s="2">
        <v>47</v>
      </c>
      <c r="C1194" s="2" t="s">
        <v>66</v>
      </c>
      <c r="D1194" s="2">
        <v>1510</v>
      </c>
      <c r="E1194" s="2">
        <v>3070</v>
      </c>
      <c r="F1194" s="2"/>
      <c r="G1194" s="2"/>
      <c r="H1194" s="2"/>
      <c r="I1194" s="2" t="s">
        <v>8</v>
      </c>
      <c r="J1194" s="2">
        <v>477</v>
      </c>
      <c r="K1194" s="2"/>
      <c r="L1194" s="2">
        <v>737</v>
      </c>
      <c r="M1194" s="2">
        <v>0.375</v>
      </c>
      <c r="N1194" s="2">
        <v>11</v>
      </c>
      <c r="O1194" s="2">
        <v>10.843999999999999</v>
      </c>
      <c r="P1194" s="7"/>
    </row>
    <row r="1195" spans="1:16" ht="15.75" customHeight="1" thickBot="1" x14ac:dyDescent="0.3">
      <c r="A1195" s="6">
        <v>11.75</v>
      </c>
      <c r="B1195" s="2">
        <v>47</v>
      </c>
      <c r="C1195" s="2" t="s">
        <v>66</v>
      </c>
      <c r="D1195" s="2">
        <v>1510</v>
      </c>
      <c r="E1195" s="2">
        <v>3070</v>
      </c>
      <c r="F1195" s="2"/>
      <c r="G1195" s="2"/>
      <c r="H1195" s="2"/>
      <c r="I1195" s="2" t="s">
        <v>13</v>
      </c>
      <c r="J1195" s="2">
        <v>807</v>
      </c>
      <c r="K1195" s="2"/>
      <c r="L1195" s="2">
        <v>737</v>
      </c>
      <c r="M1195" s="2">
        <v>0.375</v>
      </c>
      <c r="N1195" s="2">
        <v>11</v>
      </c>
      <c r="O1195" s="2">
        <v>10.843999999999999</v>
      </c>
      <c r="P1195" s="7"/>
    </row>
    <row r="1196" spans="1:16" ht="15.75" customHeight="1" thickBot="1" x14ac:dyDescent="0.3">
      <c r="A1196" s="8">
        <v>11.75</v>
      </c>
      <c r="B1196" s="1">
        <v>47</v>
      </c>
      <c r="C1196" s="1" t="s">
        <v>110</v>
      </c>
      <c r="D1196" s="1">
        <v>1510</v>
      </c>
      <c r="E1196" s="1">
        <v>3070</v>
      </c>
      <c r="F1196" s="1"/>
      <c r="G1196" s="1"/>
      <c r="H1196" s="1"/>
      <c r="I1196" s="4" t="s">
        <v>8</v>
      </c>
      <c r="J1196" s="1">
        <v>509</v>
      </c>
      <c r="K1196" s="1"/>
      <c r="L1196" s="1">
        <v>737</v>
      </c>
      <c r="M1196" s="1">
        <v>0.375</v>
      </c>
      <c r="N1196" s="1">
        <v>11</v>
      </c>
      <c r="O1196" s="1">
        <v>10.843999999999999</v>
      </c>
      <c r="P1196" s="9"/>
    </row>
    <row r="1197" spans="1:16" x14ac:dyDescent="0.25">
      <c r="A1197" s="8">
        <v>11.75</v>
      </c>
      <c r="B1197" s="1">
        <v>47</v>
      </c>
      <c r="C1197" s="1" t="s">
        <v>110</v>
      </c>
      <c r="D1197" s="1">
        <v>1510</v>
      </c>
      <c r="E1197" s="1">
        <v>3070</v>
      </c>
      <c r="F1197" s="1"/>
      <c r="G1197" s="1"/>
      <c r="H1197" s="1"/>
      <c r="I1197" s="4" t="s">
        <v>13</v>
      </c>
      <c r="J1197" s="1">
        <v>935</v>
      </c>
      <c r="K1197" s="1"/>
      <c r="L1197" s="1">
        <v>737</v>
      </c>
      <c r="M1197" s="1">
        <v>0.375</v>
      </c>
      <c r="N1197" s="1">
        <v>11</v>
      </c>
      <c r="O1197" s="1">
        <v>10.843999999999999</v>
      </c>
      <c r="P1197" s="9"/>
    </row>
    <row r="1198" spans="1:16" x14ac:dyDescent="0.25">
      <c r="A1198" s="6">
        <v>11.75</v>
      </c>
      <c r="B1198" s="2">
        <v>47</v>
      </c>
      <c r="C1198" s="2" t="s">
        <v>84</v>
      </c>
      <c r="D1198" s="2">
        <v>2000</v>
      </c>
      <c r="E1198" s="2">
        <v>3070</v>
      </c>
      <c r="F1198" s="2"/>
      <c r="G1198" s="2"/>
      <c r="H1198" s="2"/>
      <c r="I1198" s="2" t="s">
        <v>8</v>
      </c>
      <c r="J1198" s="2">
        <v>638</v>
      </c>
      <c r="K1198" s="2"/>
      <c r="L1198" s="2">
        <v>737</v>
      </c>
      <c r="M1198" s="2">
        <v>0.375</v>
      </c>
      <c r="N1198" s="2">
        <v>11</v>
      </c>
      <c r="O1198" s="2">
        <v>10.843999999999999</v>
      </c>
      <c r="P1198" s="7"/>
    </row>
    <row r="1199" spans="1:16" ht="15.75" customHeight="1" thickBot="1" x14ac:dyDescent="0.3">
      <c r="A1199" s="6">
        <v>11.75</v>
      </c>
      <c r="B1199" s="2">
        <v>47</v>
      </c>
      <c r="C1199" s="2" t="s">
        <v>84</v>
      </c>
      <c r="D1199" s="2">
        <v>2000</v>
      </c>
      <c r="E1199" s="2">
        <v>3070</v>
      </c>
      <c r="F1199" s="2"/>
      <c r="G1199" s="2"/>
      <c r="H1199" s="2"/>
      <c r="I1199" s="2" t="s">
        <v>13</v>
      </c>
      <c r="J1199" s="2">
        <v>1054</v>
      </c>
      <c r="K1199" s="2"/>
      <c r="L1199" s="2">
        <v>737</v>
      </c>
      <c r="M1199" s="2">
        <v>0.375</v>
      </c>
      <c r="N1199" s="2">
        <v>11</v>
      </c>
      <c r="O1199" s="2">
        <v>10.843999999999999</v>
      </c>
      <c r="P1199" s="7"/>
    </row>
    <row r="1200" spans="1:16" ht="15.75" customHeight="1" thickBot="1" x14ac:dyDescent="0.3">
      <c r="A1200" s="8">
        <v>11.75</v>
      </c>
      <c r="B1200" s="1">
        <v>54</v>
      </c>
      <c r="C1200" s="1" t="s">
        <v>66</v>
      </c>
      <c r="D1200" s="1">
        <v>2070</v>
      </c>
      <c r="E1200" s="1">
        <v>3560</v>
      </c>
      <c r="F1200" s="1"/>
      <c r="G1200" s="1"/>
      <c r="H1200" s="1"/>
      <c r="I1200" s="4" t="s">
        <v>8</v>
      </c>
      <c r="J1200" s="1">
        <v>568</v>
      </c>
      <c r="K1200" s="1"/>
      <c r="L1200" s="1">
        <v>850</v>
      </c>
      <c r="M1200" s="1">
        <v>0.435</v>
      </c>
      <c r="N1200" s="1">
        <v>10.88</v>
      </c>
      <c r="O1200" s="1">
        <v>10.724</v>
      </c>
      <c r="P1200" s="9"/>
    </row>
    <row r="1201" spans="1:16" x14ac:dyDescent="0.25">
      <c r="A1201" s="8">
        <v>11.75</v>
      </c>
      <c r="B1201" s="1">
        <v>54</v>
      </c>
      <c r="C1201" s="1" t="s">
        <v>66</v>
      </c>
      <c r="D1201" s="1">
        <v>2070</v>
      </c>
      <c r="E1201" s="1">
        <v>3560</v>
      </c>
      <c r="F1201" s="1"/>
      <c r="G1201" s="1"/>
      <c r="H1201" s="1"/>
      <c r="I1201" s="4" t="s">
        <v>13</v>
      </c>
      <c r="J1201" s="1">
        <v>931</v>
      </c>
      <c r="K1201" s="1"/>
      <c r="L1201" s="1">
        <v>850</v>
      </c>
      <c r="M1201" s="1">
        <v>0.435</v>
      </c>
      <c r="N1201" s="1">
        <v>10.88</v>
      </c>
      <c r="O1201" s="1">
        <v>10.724</v>
      </c>
      <c r="P1201" s="9"/>
    </row>
    <row r="1202" spans="1:16" x14ac:dyDescent="0.25">
      <c r="A1202" s="6">
        <v>11.75</v>
      </c>
      <c r="B1202" s="2">
        <v>54</v>
      </c>
      <c r="C1202" s="2" t="s">
        <v>110</v>
      </c>
      <c r="D1202" s="2">
        <v>2070</v>
      </c>
      <c r="E1202" s="2">
        <v>3560</v>
      </c>
      <c r="F1202" s="2"/>
      <c r="G1202" s="2"/>
      <c r="H1202" s="2"/>
      <c r="I1202" s="2" t="s">
        <v>8</v>
      </c>
      <c r="J1202" s="2">
        <v>606</v>
      </c>
      <c r="K1202" s="2"/>
      <c r="L1202" s="2">
        <v>850</v>
      </c>
      <c r="M1202" s="2">
        <v>0.435</v>
      </c>
      <c r="N1202" s="2">
        <v>10.88</v>
      </c>
      <c r="O1202" s="2">
        <v>10.724</v>
      </c>
      <c r="P1202" s="7"/>
    </row>
    <row r="1203" spans="1:16" ht="15.75" customHeight="1" thickBot="1" x14ac:dyDescent="0.3">
      <c r="A1203" s="6">
        <v>11.75</v>
      </c>
      <c r="B1203" s="2">
        <v>54</v>
      </c>
      <c r="C1203" s="2" t="s">
        <v>110</v>
      </c>
      <c r="D1203" s="2">
        <v>2070</v>
      </c>
      <c r="E1203" s="2">
        <v>3560</v>
      </c>
      <c r="F1203" s="2"/>
      <c r="G1203" s="2"/>
      <c r="H1203" s="2"/>
      <c r="I1203" s="2" t="s">
        <v>13</v>
      </c>
      <c r="J1203" s="2">
        <v>1079</v>
      </c>
      <c r="K1203" s="2"/>
      <c r="L1203" s="2">
        <v>850</v>
      </c>
      <c r="M1203" s="2">
        <v>0.435</v>
      </c>
      <c r="N1203" s="2">
        <v>10.88</v>
      </c>
      <c r="O1203" s="2">
        <v>10.724</v>
      </c>
      <c r="P1203" s="7"/>
    </row>
    <row r="1204" spans="1:16" ht="15.75" customHeight="1" thickBot="1" x14ac:dyDescent="0.3">
      <c r="A1204" s="8">
        <v>11.75</v>
      </c>
      <c r="B1204" s="1">
        <v>54</v>
      </c>
      <c r="C1204" s="1" t="s">
        <v>84</v>
      </c>
      <c r="D1204" s="1">
        <v>3100</v>
      </c>
      <c r="E1204" s="1">
        <v>3560</v>
      </c>
      <c r="F1204" s="1"/>
      <c r="G1204" s="1"/>
      <c r="H1204" s="1"/>
      <c r="I1204" s="4" t="s">
        <v>8</v>
      </c>
      <c r="J1204" s="1">
        <v>760</v>
      </c>
      <c r="K1204" s="1"/>
      <c r="L1204" s="1">
        <v>850</v>
      </c>
      <c r="M1204" s="1">
        <v>0.435</v>
      </c>
      <c r="N1204" s="1">
        <v>10.88</v>
      </c>
      <c r="O1204" s="1">
        <v>10.724</v>
      </c>
      <c r="P1204" s="9"/>
    </row>
    <row r="1205" spans="1:16" x14ac:dyDescent="0.25">
      <c r="A1205" s="8">
        <v>11.75</v>
      </c>
      <c r="B1205" s="1">
        <v>54</v>
      </c>
      <c r="C1205" s="1" t="s">
        <v>84</v>
      </c>
      <c r="D1205" s="1">
        <v>3100</v>
      </c>
      <c r="E1205" s="1">
        <v>3560</v>
      </c>
      <c r="F1205" s="1"/>
      <c r="G1205" s="1"/>
      <c r="H1205" s="1"/>
      <c r="I1205" s="4" t="s">
        <v>13</v>
      </c>
      <c r="J1205" s="1">
        <v>1216</v>
      </c>
      <c r="K1205" s="1"/>
      <c r="L1205" s="1">
        <v>850</v>
      </c>
      <c r="M1205" s="1">
        <v>0.435</v>
      </c>
      <c r="N1205" s="1">
        <v>10.88</v>
      </c>
      <c r="O1205" s="1">
        <v>10.724</v>
      </c>
      <c r="P1205" s="9"/>
    </row>
    <row r="1206" spans="1:16" x14ac:dyDescent="0.25">
      <c r="A1206" s="6">
        <v>11.75</v>
      </c>
      <c r="B1206" s="2">
        <v>60</v>
      </c>
      <c r="C1206" s="2" t="s">
        <v>66</v>
      </c>
      <c r="D1206" s="2">
        <v>2660</v>
      </c>
      <c r="E1206" s="2">
        <v>4010</v>
      </c>
      <c r="F1206" s="2"/>
      <c r="G1206" s="2"/>
      <c r="H1206" s="2"/>
      <c r="I1206" s="2" t="s">
        <v>8</v>
      </c>
      <c r="J1206" s="2">
        <v>649</v>
      </c>
      <c r="K1206" s="2"/>
      <c r="L1206" s="2">
        <v>952</v>
      </c>
      <c r="M1206" s="2">
        <v>0.48899999999999999</v>
      </c>
      <c r="N1206" s="2">
        <v>10.772</v>
      </c>
      <c r="O1206" s="2">
        <v>10.616</v>
      </c>
      <c r="P1206" s="7">
        <v>10.625</v>
      </c>
    </row>
    <row r="1207" spans="1:16" ht="15.75" customHeight="1" thickBot="1" x14ac:dyDescent="0.3">
      <c r="A1207" s="6">
        <v>11.75</v>
      </c>
      <c r="B1207" s="2">
        <v>60</v>
      </c>
      <c r="C1207" s="2" t="s">
        <v>66</v>
      </c>
      <c r="D1207" s="2">
        <v>2660</v>
      </c>
      <c r="E1207" s="2">
        <v>4010</v>
      </c>
      <c r="F1207" s="2"/>
      <c r="G1207" s="2"/>
      <c r="H1207" s="2"/>
      <c r="I1207" s="2" t="s">
        <v>13</v>
      </c>
      <c r="J1207" s="2">
        <v>1042</v>
      </c>
      <c r="K1207" s="2"/>
      <c r="L1207" s="2">
        <v>952</v>
      </c>
      <c r="M1207" s="2">
        <v>0.48899999999999999</v>
      </c>
      <c r="N1207" s="2">
        <v>10.772</v>
      </c>
      <c r="O1207" s="2">
        <v>10.616</v>
      </c>
      <c r="P1207" s="7">
        <v>10.625</v>
      </c>
    </row>
    <row r="1208" spans="1:16" ht="15.75" customHeight="1" thickBot="1" x14ac:dyDescent="0.3">
      <c r="A1208" s="8">
        <v>11.75</v>
      </c>
      <c r="B1208" s="1">
        <v>60</v>
      </c>
      <c r="C1208" s="1" t="s">
        <v>110</v>
      </c>
      <c r="D1208" s="1">
        <v>2660</v>
      </c>
      <c r="E1208" s="1">
        <v>4010</v>
      </c>
      <c r="F1208" s="1"/>
      <c r="G1208" s="1"/>
      <c r="H1208" s="1"/>
      <c r="I1208" s="4" t="s">
        <v>8</v>
      </c>
      <c r="J1208" s="1">
        <v>693</v>
      </c>
      <c r="K1208" s="1"/>
      <c r="L1208" s="1">
        <v>952</v>
      </c>
      <c r="M1208" s="1">
        <v>0.48899999999999999</v>
      </c>
      <c r="N1208" s="1">
        <v>10.772</v>
      </c>
      <c r="O1208" s="1">
        <v>10.616</v>
      </c>
      <c r="P1208" s="9">
        <v>10.625</v>
      </c>
    </row>
    <row r="1209" spans="1:16" x14ac:dyDescent="0.25">
      <c r="A1209" s="8">
        <v>11.75</v>
      </c>
      <c r="B1209" s="1">
        <v>60</v>
      </c>
      <c r="C1209" s="1" t="s">
        <v>110</v>
      </c>
      <c r="D1209" s="1">
        <v>2660</v>
      </c>
      <c r="E1209" s="1">
        <v>4010</v>
      </c>
      <c r="F1209" s="1"/>
      <c r="G1209" s="1"/>
      <c r="H1209" s="1"/>
      <c r="I1209" s="4" t="s">
        <v>13</v>
      </c>
      <c r="J1209" s="1">
        <v>1208</v>
      </c>
      <c r="K1209" s="1"/>
      <c r="L1209" s="1">
        <v>952</v>
      </c>
      <c r="M1209" s="1">
        <v>0.48899999999999999</v>
      </c>
      <c r="N1209" s="1">
        <v>10.772</v>
      </c>
      <c r="O1209" s="1">
        <v>10.616</v>
      </c>
      <c r="P1209" s="9">
        <v>10.625</v>
      </c>
    </row>
    <row r="1210" spans="1:16" x14ac:dyDescent="0.25">
      <c r="A1210" s="6">
        <v>11.75</v>
      </c>
      <c r="B1210" s="2">
        <v>60</v>
      </c>
      <c r="C1210" s="2" t="s">
        <v>84</v>
      </c>
      <c r="D1210" s="2">
        <v>4360</v>
      </c>
      <c r="E1210" s="2">
        <v>4010</v>
      </c>
      <c r="F1210" s="2"/>
      <c r="G1210" s="2"/>
      <c r="H1210" s="2"/>
      <c r="I1210" s="2" t="s">
        <v>8</v>
      </c>
      <c r="J1210" s="2">
        <v>869</v>
      </c>
      <c r="K1210" s="2"/>
      <c r="L1210" s="2">
        <v>952</v>
      </c>
      <c r="M1210" s="2">
        <v>0.48899999999999999</v>
      </c>
      <c r="N1210" s="2">
        <v>10.772</v>
      </c>
      <c r="O1210" s="2">
        <v>10.616</v>
      </c>
      <c r="P1210" s="7">
        <v>10.625</v>
      </c>
    </row>
    <row r="1211" spans="1:16" ht="15.75" customHeight="1" thickBot="1" x14ac:dyDescent="0.3">
      <c r="A1211" s="6">
        <v>11.75</v>
      </c>
      <c r="B1211" s="2">
        <v>60</v>
      </c>
      <c r="C1211" s="2" t="s">
        <v>84</v>
      </c>
      <c r="D1211" s="2">
        <v>4360</v>
      </c>
      <c r="E1211" s="2">
        <v>4010</v>
      </c>
      <c r="F1211" s="2"/>
      <c r="G1211" s="2"/>
      <c r="H1211" s="2"/>
      <c r="I1211" s="2" t="s">
        <v>13</v>
      </c>
      <c r="J1211" s="2">
        <v>1361</v>
      </c>
      <c r="K1211" s="2"/>
      <c r="L1211" s="2">
        <v>952</v>
      </c>
      <c r="M1211" s="2">
        <v>0.48899999999999999</v>
      </c>
      <c r="N1211" s="2">
        <v>10.772</v>
      </c>
      <c r="O1211" s="2">
        <v>10.616</v>
      </c>
      <c r="P1211" s="7">
        <v>10.625</v>
      </c>
    </row>
    <row r="1212" spans="1:16" ht="15.75" customHeight="1" thickBot="1" x14ac:dyDescent="0.3">
      <c r="A1212" s="8">
        <v>11.75</v>
      </c>
      <c r="B1212" s="1">
        <v>60</v>
      </c>
      <c r="C1212" s="1" t="s">
        <v>111</v>
      </c>
      <c r="D1212" s="1">
        <v>3180</v>
      </c>
      <c r="E1212" s="1">
        <v>5830</v>
      </c>
      <c r="F1212" s="1"/>
      <c r="G1212" s="1"/>
      <c r="H1212" s="1"/>
      <c r="I1212" s="4" t="s">
        <v>8</v>
      </c>
      <c r="J1212" s="1">
        <v>913</v>
      </c>
      <c r="K1212" s="1"/>
      <c r="L1212" s="1">
        <v>1384</v>
      </c>
      <c r="M1212" s="1">
        <v>0.48899999999999999</v>
      </c>
      <c r="N1212" s="1">
        <v>10.772</v>
      </c>
      <c r="O1212" s="1">
        <v>10.616</v>
      </c>
      <c r="P1212" s="9">
        <v>10.625</v>
      </c>
    </row>
    <row r="1213" spans="1:16" x14ac:dyDescent="0.25">
      <c r="A1213" s="8">
        <v>11.75</v>
      </c>
      <c r="B1213" s="1">
        <v>60</v>
      </c>
      <c r="C1213" s="1" t="s">
        <v>111</v>
      </c>
      <c r="D1213" s="1">
        <v>3180</v>
      </c>
      <c r="E1213" s="1">
        <v>5830</v>
      </c>
      <c r="F1213" s="1"/>
      <c r="G1213" s="1"/>
      <c r="H1213" s="1"/>
      <c r="I1213" s="4" t="s">
        <v>13</v>
      </c>
      <c r="J1213" s="1">
        <v>1399</v>
      </c>
      <c r="K1213" s="1"/>
      <c r="L1213" s="1">
        <v>1384</v>
      </c>
      <c r="M1213" s="1">
        <v>0.48899999999999999</v>
      </c>
      <c r="N1213" s="1">
        <v>10.772</v>
      </c>
      <c r="O1213" s="1">
        <v>10.616</v>
      </c>
      <c r="P1213" s="9">
        <v>10.625</v>
      </c>
    </row>
    <row r="1214" spans="1:16" x14ac:dyDescent="0.25">
      <c r="A1214" s="6">
        <v>11.75</v>
      </c>
      <c r="B1214" s="2">
        <v>60</v>
      </c>
      <c r="C1214" s="2" t="s">
        <v>88</v>
      </c>
      <c r="D1214" s="2">
        <v>4410</v>
      </c>
      <c r="E1214" s="2">
        <v>5830</v>
      </c>
      <c r="F1214" s="2"/>
      <c r="G1214" s="2"/>
      <c r="H1214" s="2"/>
      <c r="I1214" s="2" t="s">
        <v>8</v>
      </c>
      <c r="J1214" s="2">
        <v>1055</v>
      </c>
      <c r="K1214" s="2"/>
      <c r="L1214" s="2">
        <v>1384</v>
      </c>
      <c r="M1214" s="2">
        <v>0.48899999999999999</v>
      </c>
      <c r="N1214" s="2">
        <v>10.772</v>
      </c>
      <c r="O1214" s="2">
        <v>10.616</v>
      </c>
      <c r="P1214" s="7">
        <v>10.625</v>
      </c>
    </row>
    <row r="1215" spans="1:16" ht="15.75" customHeight="1" thickBot="1" x14ac:dyDescent="0.3">
      <c r="A1215" s="6">
        <v>11.75</v>
      </c>
      <c r="B1215" s="2">
        <v>60</v>
      </c>
      <c r="C1215" s="2" t="s">
        <v>88</v>
      </c>
      <c r="D1215" s="2">
        <v>4410</v>
      </c>
      <c r="E1215" s="2">
        <v>5830</v>
      </c>
      <c r="F1215" s="2"/>
      <c r="G1215" s="2"/>
      <c r="H1215" s="2"/>
      <c r="I1215" s="2" t="s">
        <v>13</v>
      </c>
      <c r="J1215" s="2">
        <v>1555</v>
      </c>
      <c r="K1215" s="2"/>
      <c r="L1215" s="2">
        <v>1384</v>
      </c>
      <c r="M1215" s="2">
        <v>0.48899999999999999</v>
      </c>
      <c r="N1215" s="2">
        <v>10.772</v>
      </c>
      <c r="O1215" s="2">
        <v>10.616</v>
      </c>
      <c r="P1215" s="7">
        <v>10.625</v>
      </c>
    </row>
    <row r="1216" spans="1:16" ht="15.75" customHeight="1" thickBot="1" x14ac:dyDescent="0.3">
      <c r="A1216" s="8">
        <v>11.75</v>
      </c>
      <c r="B1216" s="1">
        <v>60</v>
      </c>
      <c r="C1216" s="1" t="s">
        <v>112</v>
      </c>
      <c r="D1216" s="1">
        <v>3180</v>
      </c>
      <c r="E1216" s="1">
        <v>5830</v>
      </c>
      <c r="F1216" s="1"/>
      <c r="G1216" s="1"/>
      <c r="H1216" s="1"/>
      <c r="I1216" s="4" t="s">
        <v>8</v>
      </c>
      <c r="J1216" s="1">
        <v>924</v>
      </c>
      <c r="K1216" s="1"/>
      <c r="L1216" s="1">
        <v>1384</v>
      </c>
      <c r="M1216" s="1">
        <v>0.48899999999999999</v>
      </c>
      <c r="N1216" s="1">
        <v>10.772</v>
      </c>
      <c r="O1216" s="1">
        <v>10.616</v>
      </c>
      <c r="P1216" s="9">
        <v>10.625</v>
      </c>
    </row>
    <row r="1217" spans="1:16" x14ac:dyDescent="0.25">
      <c r="A1217" s="8">
        <v>11.75</v>
      </c>
      <c r="B1217" s="1">
        <v>60</v>
      </c>
      <c r="C1217" s="1" t="s">
        <v>112</v>
      </c>
      <c r="D1217" s="1">
        <v>3180</v>
      </c>
      <c r="E1217" s="1">
        <v>5830</v>
      </c>
      <c r="F1217" s="1"/>
      <c r="G1217" s="1"/>
      <c r="H1217" s="1"/>
      <c r="I1217" s="4" t="s">
        <v>13</v>
      </c>
      <c r="J1217" s="1">
        <v>1440</v>
      </c>
      <c r="K1217" s="1"/>
      <c r="L1217" s="1">
        <v>1384</v>
      </c>
      <c r="M1217" s="1">
        <v>0.48899999999999999</v>
      </c>
      <c r="N1217" s="1">
        <v>10.772</v>
      </c>
      <c r="O1217" s="1">
        <v>10.616</v>
      </c>
      <c r="P1217" s="9">
        <v>10.625</v>
      </c>
    </row>
    <row r="1218" spans="1:16" x14ac:dyDescent="0.25">
      <c r="A1218" s="6">
        <v>11.75</v>
      </c>
      <c r="B1218" s="2">
        <v>60</v>
      </c>
      <c r="C1218" s="2" t="s">
        <v>93</v>
      </c>
      <c r="D1218" s="2">
        <v>4410</v>
      </c>
      <c r="E1218" s="2">
        <v>5830</v>
      </c>
      <c r="F1218" s="2"/>
      <c r="G1218" s="2"/>
      <c r="H1218" s="2"/>
      <c r="I1218" s="2" t="s">
        <v>8</v>
      </c>
      <c r="J1218" s="2">
        <v>1055</v>
      </c>
      <c r="K1218" s="2"/>
      <c r="L1218" s="2">
        <v>1384</v>
      </c>
      <c r="M1218" s="2">
        <v>0.48899999999999999</v>
      </c>
      <c r="N1218" s="2">
        <v>10.772</v>
      </c>
      <c r="O1218" s="2">
        <v>10.616</v>
      </c>
      <c r="P1218" s="7">
        <v>10.625</v>
      </c>
    </row>
    <row r="1219" spans="1:16" ht="15.75" customHeight="1" thickBot="1" x14ac:dyDescent="0.3">
      <c r="A1219" s="6">
        <v>11.75</v>
      </c>
      <c r="B1219" s="2">
        <v>60</v>
      </c>
      <c r="C1219" s="2" t="s">
        <v>93</v>
      </c>
      <c r="D1219" s="2">
        <v>4410</v>
      </c>
      <c r="E1219" s="2">
        <v>5830</v>
      </c>
      <c r="F1219" s="2"/>
      <c r="G1219" s="2"/>
      <c r="H1219" s="2"/>
      <c r="I1219" s="2" t="s">
        <v>13</v>
      </c>
      <c r="J1219" s="2">
        <v>1555</v>
      </c>
      <c r="K1219" s="2"/>
      <c r="L1219" s="2">
        <v>1384</v>
      </c>
      <c r="M1219" s="2">
        <v>0.48899999999999999</v>
      </c>
      <c r="N1219" s="2">
        <v>10.772</v>
      </c>
      <c r="O1219" s="2">
        <v>10.616</v>
      </c>
      <c r="P1219" s="7">
        <v>10.625</v>
      </c>
    </row>
    <row r="1220" spans="1:16" ht="15.75" customHeight="1" thickBot="1" x14ac:dyDescent="0.3">
      <c r="A1220" s="8">
        <v>11.75</v>
      </c>
      <c r="B1220" s="1">
        <v>60</v>
      </c>
      <c r="C1220" s="1" t="s">
        <v>68</v>
      </c>
      <c r="D1220" s="1">
        <v>3360</v>
      </c>
      <c r="E1220" s="1">
        <v>6550</v>
      </c>
      <c r="F1220" s="1"/>
      <c r="G1220" s="1"/>
      <c r="H1220" s="1"/>
      <c r="I1220" s="4" t="s">
        <v>8</v>
      </c>
      <c r="J1220" s="1">
        <v>1011</v>
      </c>
      <c r="K1220" s="1"/>
      <c r="L1220" s="1">
        <v>1557</v>
      </c>
      <c r="M1220" s="1">
        <v>0.48899999999999999</v>
      </c>
      <c r="N1220" s="1">
        <v>10.772</v>
      </c>
      <c r="O1220" s="1">
        <v>10.616</v>
      </c>
      <c r="P1220" s="9">
        <v>10.625</v>
      </c>
    </row>
    <row r="1221" spans="1:16" x14ac:dyDescent="0.25">
      <c r="A1221" s="8">
        <v>11.75</v>
      </c>
      <c r="B1221" s="1">
        <v>60</v>
      </c>
      <c r="C1221" s="1" t="s">
        <v>68</v>
      </c>
      <c r="D1221" s="1">
        <v>3360</v>
      </c>
      <c r="E1221" s="1">
        <v>6550</v>
      </c>
      <c r="F1221" s="1"/>
      <c r="G1221" s="1"/>
      <c r="H1221" s="1"/>
      <c r="I1221" s="4" t="s">
        <v>13</v>
      </c>
      <c r="J1221" s="1">
        <v>1517</v>
      </c>
      <c r="K1221" s="1"/>
      <c r="L1221" s="1">
        <v>1557</v>
      </c>
      <c r="M1221" s="1">
        <v>0.48899999999999999</v>
      </c>
      <c r="N1221" s="1">
        <v>10.772</v>
      </c>
      <c r="O1221" s="1">
        <v>10.616</v>
      </c>
      <c r="P1221" s="9">
        <v>10.625</v>
      </c>
    </row>
    <row r="1222" spans="1:16" x14ac:dyDescent="0.25">
      <c r="A1222" s="6">
        <v>11.75</v>
      </c>
      <c r="B1222" s="2">
        <v>60</v>
      </c>
      <c r="C1222" s="2" t="s">
        <v>75</v>
      </c>
      <c r="D1222" s="2">
        <v>4410</v>
      </c>
      <c r="E1222" s="2">
        <v>6550</v>
      </c>
      <c r="F1222" s="2"/>
      <c r="G1222" s="2"/>
      <c r="H1222" s="2"/>
      <c r="I1222" s="2" t="s">
        <v>8</v>
      </c>
      <c r="J1222" s="2">
        <v>1055</v>
      </c>
      <c r="K1222" s="2"/>
      <c r="L1222" s="2">
        <v>1557</v>
      </c>
      <c r="M1222" s="2">
        <v>0.48899999999999999</v>
      </c>
      <c r="N1222" s="2">
        <v>10.772</v>
      </c>
      <c r="O1222" s="2">
        <v>10.616</v>
      </c>
      <c r="P1222" s="7">
        <v>10.625</v>
      </c>
    </row>
    <row r="1223" spans="1:16" ht="15.75" customHeight="1" thickBot="1" x14ac:dyDescent="0.3">
      <c r="A1223" s="6">
        <v>11.75</v>
      </c>
      <c r="B1223" s="2">
        <v>60</v>
      </c>
      <c r="C1223" s="2" t="s">
        <v>75</v>
      </c>
      <c r="D1223" s="2">
        <v>4410</v>
      </c>
      <c r="E1223" s="2">
        <v>6550</v>
      </c>
      <c r="F1223" s="2"/>
      <c r="G1223" s="2"/>
      <c r="H1223" s="2"/>
      <c r="I1223" s="2" t="s">
        <v>13</v>
      </c>
      <c r="J1223" s="2">
        <v>1555</v>
      </c>
      <c r="K1223" s="2"/>
      <c r="L1223" s="2">
        <v>1557</v>
      </c>
      <c r="M1223" s="2">
        <v>0.48899999999999999</v>
      </c>
      <c r="N1223" s="2">
        <v>10.772</v>
      </c>
      <c r="O1223" s="2">
        <v>10.616</v>
      </c>
      <c r="P1223" s="7">
        <v>10.625</v>
      </c>
    </row>
    <row r="1224" spans="1:16" ht="15.75" customHeight="1" thickBot="1" x14ac:dyDescent="0.3">
      <c r="A1224" s="8">
        <v>11.75</v>
      </c>
      <c r="B1224" s="1">
        <v>60</v>
      </c>
      <c r="C1224" s="1" t="s">
        <v>115</v>
      </c>
      <c r="D1224" s="1">
        <v>4410</v>
      </c>
      <c r="E1224" s="1">
        <v>6920</v>
      </c>
      <c r="F1224" s="1"/>
      <c r="G1224" s="1"/>
      <c r="H1224" s="1"/>
      <c r="I1224" s="4" t="s">
        <v>8</v>
      </c>
      <c r="J1224" s="1">
        <v>1077</v>
      </c>
      <c r="K1224" s="1"/>
      <c r="L1224" s="1">
        <v>1644</v>
      </c>
      <c r="M1224" s="1">
        <v>0.48899999999999999</v>
      </c>
      <c r="N1224" s="1">
        <v>10.772</v>
      </c>
      <c r="O1224" s="1">
        <v>10.616</v>
      </c>
      <c r="P1224" s="9">
        <v>10.625</v>
      </c>
    </row>
    <row r="1225" spans="1:16" x14ac:dyDescent="0.25">
      <c r="A1225" s="8">
        <v>11.75</v>
      </c>
      <c r="B1225" s="1">
        <v>60</v>
      </c>
      <c r="C1225" s="1" t="s">
        <v>115</v>
      </c>
      <c r="D1225" s="1">
        <v>4410</v>
      </c>
      <c r="E1225" s="1">
        <v>6920</v>
      </c>
      <c r="F1225" s="1"/>
      <c r="G1225" s="1"/>
      <c r="H1225" s="1"/>
      <c r="I1225" s="4" t="s">
        <v>13</v>
      </c>
      <c r="J1225" s="1">
        <v>1638</v>
      </c>
      <c r="K1225" s="1"/>
      <c r="L1225" s="1">
        <v>1644</v>
      </c>
      <c r="M1225" s="1">
        <v>0.48899999999999999</v>
      </c>
      <c r="N1225" s="1">
        <v>10.772</v>
      </c>
      <c r="O1225" s="1">
        <v>10.616</v>
      </c>
      <c r="P1225" s="9">
        <v>10.625</v>
      </c>
    </row>
    <row r="1226" spans="1:16" x14ac:dyDescent="0.25">
      <c r="A1226" s="6">
        <v>11.75</v>
      </c>
      <c r="B1226" s="2">
        <v>60</v>
      </c>
      <c r="C1226" s="2" t="s">
        <v>116</v>
      </c>
      <c r="D1226" s="2">
        <v>3440</v>
      </c>
      <c r="E1226" s="2">
        <v>6920</v>
      </c>
      <c r="F1226" s="2"/>
      <c r="G1226" s="2"/>
      <c r="H1226" s="2"/>
      <c r="I1226" s="2" t="s">
        <v>8</v>
      </c>
      <c r="J1226" s="2">
        <v>1066</v>
      </c>
      <c r="K1226" s="2"/>
      <c r="L1226" s="2">
        <v>1644</v>
      </c>
      <c r="M1226" s="2">
        <v>0.48899999999999999</v>
      </c>
      <c r="N1226" s="2">
        <v>10.772</v>
      </c>
      <c r="O1226" s="2">
        <v>10.616</v>
      </c>
      <c r="P1226" s="7">
        <v>10.625</v>
      </c>
    </row>
    <row r="1227" spans="1:16" ht="15.75" customHeight="1" thickBot="1" x14ac:dyDescent="0.3">
      <c r="A1227" s="6">
        <v>11.75</v>
      </c>
      <c r="B1227" s="2">
        <v>60</v>
      </c>
      <c r="C1227" s="2" t="s">
        <v>116</v>
      </c>
      <c r="D1227" s="2">
        <v>3440</v>
      </c>
      <c r="E1227" s="2">
        <v>6920</v>
      </c>
      <c r="F1227" s="2"/>
      <c r="G1227" s="2"/>
      <c r="H1227" s="2"/>
      <c r="I1227" s="2" t="s">
        <v>13</v>
      </c>
      <c r="J1227" s="2">
        <v>1596</v>
      </c>
      <c r="K1227" s="2"/>
      <c r="L1227" s="2">
        <v>1644</v>
      </c>
      <c r="M1227" s="2">
        <v>0.48899999999999999</v>
      </c>
      <c r="N1227" s="2">
        <v>10.772</v>
      </c>
      <c r="O1227" s="2">
        <v>10.616</v>
      </c>
      <c r="P1227" s="7">
        <v>10.625</v>
      </c>
    </row>
    <row r="1228" spans="1:16" ht="15.75" customHeight="1" thickBot="1" x14ac:dyDescent="0.3">
      <c r="A1228" s="8">
        <v>11.75</v>
      </c>
      <c r="B1228" s="1">
        <v>60</v>
      </c>
      <c r="C1228" s="1" t="s">
        <v>80</v>
      </c>
      <c r="D1228" s="1">
        <v>4410</v>
      </c>
      <c r="E1228" s="1">
        <v>6920</v>
      </c>
      <c r="F1228" s="1"/>
      <c r="G1228" s="1"/>
      <c r="H1228" s="1"/>
      <c r="I1228" s="4" t="s">
        <v>8</v>
      </c>
      <c r="J1228" s="1">
        <v>1066</v>
      </c>
      <c r="K1228" s="1"/>
      <c r="L1228" s="1">
        <v>1644</v>
      </c>
      <c r="M1228" s="1">
        <v>0.48899999999999999</v>
      </c>
      <c r="N1228" s="1">
        <v>10.772</v>
      </c>
      <c r="O1228" s="1">
        <v>10.616</v>
      </c>
      <c r="P1228" s="9">
        <v>10.625</v>
      </c>
    </row>
    <row r="1229" spans="1:16" x14ac:dyDescent="0.25">
      <c r="A1229" s="8">
        <v>11.75</v>
      </c>
      <c r="B1229" s="1">
        <v>60</v>
      </c>
      <c r="C1229" s="1" t="s">
        <v>80</v>
      </c>
      <c r="D1229" s="1">
        <v>4410</v>
      </c>
      <c r="E1229" s="1">
        <v>6920</v>
      </c>
      <c r="F1229" s="1"/>
      <c r="G1229" s="1"/>
      <c r="H1229" s="1"/>
      <c r="I1229" s="4" t="s">
        <v>13</v>
      </c>
      <c r="J1229" s="1">
        <v>1596</v>
      </c>
      <c r="K1229" s="1"/>
      <c r="L1229" s="1">
        <v>1644</v>
      </c>
      <c r="M1229" s="1">
        <v>0.48899999999999999</v>
      </c>
      <c r="N1229" s="1">
        <v>10.772</v>
      </c>
      <c r="O1229" s="1">
        <v>10.616</v>
      </c>
      <c r="P1229" s="9">
        <v>10.625</v>
      </c>
    </row>
    <row r="1230" spans="1:16" x14ac:dyDescent="0.25">
      <c r="A1230" s="6">
        <v>11.75</v>
      </c>
      <c r="B1230" s="2">
        <v>60</v>
      </c>
      <c r="C1230" s="2" t="s">
        <v>74</v>
      </c>
      <c r="D1230" s="2">
        <v>3440</v>
      </c>
      <c r="E1230" s="2">
        <v>6920</v>
      </c>
      <c r="F1230" s="2"/>
      <c r="G1230" s="2"/>
      <c r="H1230" s="2"/>
      <c r="I1230" s="2" t="s">
        <v>8</v>
      </c>
      <c r="J1230" s="2">
        <v>1066</v>
      </c>
      <c r="K1230" s="2"/>
      <c r="L1230" s="2">
        <v>1644</v>
      </c>
      <c r="M1230" s="2">
        <v>0.48899999999999999</v>
      </c>
      <c r="N1230" s="2">
        <v>10.772</v>
      </c>
      <c r="O1230" s="2">
        <v>10.616</v>
      </c>
      <c r="P1230" s="7">
        <v>10.625</v>
      </c>
    </row>
    <row r="1231" spans="1:16" ht="15.75" customHeight="1" thickBot="1" x14ac:dyDescent="0.3">
      <c r="A1231" s="6">
        <v>11.75</v>
      </c>
      <c r="B1231" s="2">
        <v>60</v>
      </c>
      <c r="C1231" s="2" t="s">
        <v>74</v>
      </c>
      <c r="D1231" s="2">
        <v>3440</v>
      </c>
      <c r="E1231" s="2">
        <v>6920</v>
      </c>
      <c r="F1231" s="2"/>
      <c r="G1231" s="2"/>
      <c r="H1231" s="2"/>
      <c r="I1231" s="2" t="s">
        <v>13</v>
      </c>
      <c r="J1231" s="2">
        <v>1596</v>
      </c>
      <c r="K1231" s="2"/>
      <c r="L1231" s="2">
        <v>1644</v>
      </c>
      <c r="M1231" s="2">
        <v>0.48899999999999999</v>
      </c>
      <c r="N1231" s="2">
        <v>10.772</v>
      </c>
      <c r="O1231" s="2">
        <v>10.616</v>
      </c>
      <c r="P1231" s="7">
        <v>10.625</v>
      </c>
    </row>
    <row r="1232" spans="1:16" ht="15.75" customHeight="1" thickBot="1" x14ac:dyDescent="0.3">
      <c r="A1232" s="8">
        <v>11.75</v>
      </c>
      <c r="B1232" s="1">
        <v>60</v>
      </c>
      <c r="C1232" s="1" t="s">
        <v>97</v>
      </c>
      <c r="D1232" s="1">
        <v>4410</v>
      </c>
      <c r="E1232" s="1">
        <v>8010</v>
      </c>
      <c r="F1232" s="1"/>
      <c r="G1232" s="1"/>
      <c r="H1232" s="1"/>
      <c r="I1232" s="4" t="s">
        <v>8</v>
      </c>
      <c r="J1232" s="1">
        <v>1242</v>
      </c>
      <c r="K1232" s="1"/>
      <c r="L1232" s="1">
        <v>1903</v>
      </c>
      <c r="M1232" s="1">
        <v>0.48899999999999999</v>
      </c>
      <c r="N1232" s="1">
        <v>10.772</v>
      </c>
      <c r="O1232" s="1">
        <v>10.616</v>
      </c>
      <c r="P1232" s="9">
        <v>10.625</v>
      </c>
    </row>
    <row r="1233" spans="1:16" x14ac:dyDescent="0.25">
      <c r="A1233" s="8">
        <v>11.75</v>
      </c>
      <c r="B1233" s="1">
        <v>60</v>
      </c>
      <c r="C1233" s="1" t="s">
        <v>97</v>
      </c>
      <c r="D1233" s="1">
        <v>4410</v>
      </c>
      <c r="E1233" s="1">
        <v>8010</v>
      </c>
      <c r="F1233" s="1"/>
      <c r="G1233" s="1"/>
      <c r="H1233" s="1"/>
      <c r="I1233" s="4" t="s">
        <v>13</v>
      </c>
      <c r="J1233" s="1">
        <v>1877</v>
      </c>
      <c r="K1233" s="1"/>
      <c r="L1233" s="1">
        <v>1903</v>
      </c>
      <c r="M1233" s="1">
        <v>0.48899999999999999</v>
      </c>
      <c r="N1233" s="1">
        <v>10.772</v>
      </c>
      <c r="O1233" s="1">
        <v>10.616</v>
      </c>
      <c r="P1233" s="9">
        <v>10.625</v>
      </c>
    </row>
    <row r="1234" spans="1:16" x14ac:dyDescent="0.25">
      <c r="A1234" s="6">
        <v>11.75</v>
      </c>
      <c r="B1234" s="2">
        <v>60</v>
      </c>
      <c r="C1234" s="2" t="s">
        <v>113</v>
      </c>
      <c r="D1234" s="2">
        <v>3610</v>
      </c>
      <c r="E1234" s="2">
        <v>8010</v>
      </c>
      <c r="F1234" s="2"/>
      <c r="G1234" s="2"/>
      <c r="H1234" s="2"/>
      <c r="I1234" s="2" t="s">
        <v>8</v>
      </c>
      <c r="J1234" s="2">
        <v>1242</v>
      </c>
      <c r="K1234" s="2"/>
      <c r="L1234" s="2">
        <v>1903</v>
      </c>
      <c r="M1234" s="2">
        <v>0.48899999999999999</v>
      </c>
      <c r="N1234" s="2">
        <v>10.772</v>
      </c>
      <c r="O1234" s="2">
        <v>10.616</v>
      </c>
      <c r="P1234" s="7">
        <v>10.625</v>
      </c>
    </row>
    <row r="1235" spans="1:16" ht="15.75" customHeight="1" thickBot="1" x14ac:dyDescent="0.3">
      <c r="A1235" s="6">
        <v>11.75</v>
      </c>
      <c r="B1235" s="2">
        <v>60</v>
      </c>
      <c r="C1235" s="2" t="s">
        <v>113</v>
      </c>
      <c r="D1235" s="2">
        <v>3610</v>
      </c>
      <c r="E1235" s="2">
        <v>8010</v>
      </c>
      <c r="F1235" s="2"/>
      <c r="G1235" s="2"/>
      <c r="H1235" s="2"/>
      <c r="I1235" s="2" t="s">
        <v>13</v>
      </c>
      <c r="J1235" s="2">
        <v>1877</v>
      </c>
      <c r="K1235" s="2"/>
      <c r="L1235" s="2">
        <v>1903</v>
      </c>
      <c r="M1235" s="2">
        <v>0.48899999999999999</v>
      </c>
      <c r="N1235" s="2">
        <v>10.772</v>
      </c>
      <c r="O1235" s="2">
        <v>10.616</v>
      </c>
      <c r="P1235" s="7">
        <v>10.625</v>
      </c>
    </row>
    <row r="1236" spans="1:16" ht="15.75" customHeight="1" thickBot="1" x14ac:dyDescent="0.3">
      <c r="A1236" s="8">
        <v>11.75</v>
      </c>
      <c r="B1236" s="1">
        <v>60</v>
      </c>
      <c r="C1236" s="1" t="s">
        <v>99</v>
      </c>
      <c r="D1236" s="1">
        <v>4410</v>
      </c>
      <c r="E1236" s="1">
        <v>9100</v>
      </c>
      <c r="F1236" s="1"/>
      <c r="G1236" s="1"/>
      <c r="H1236" s="1"/>
      <c r="I1236" s="4" t="s">
        <v>8</v>
      </c>
      <c r="J1236" s="1">
        <v>1396</v>
      </c>
      <c r="K1236" s="1"/>
      <c r="L1236" s="1">
        <v>2163</v>
      </c>
      <c r="M1236" s="1">
        <v>0.48899999999999999</v>
      </c>
      <c r="N1236" s="1">
        <v>10.772</v>
      </c>
      <c r="O1236" s="1">
        <v>10.616</v>
      </c>
      <c r="P1236" s="9">
        <v>10.625</v>
      </c>
    </row>
    <row r="1237" spans="1:16" x14ac:dyDescent="0.25">
      <c r="A1237" s="8">
        <v>11.75</v>
      </c>
      <c r="B1237" s="1">
        <v>60</v>
      </c>
      <c r="C1237" s="1" t="s">
        <v>99</v>
      </c>
      <c r="D1237" s="1">
        <v>4410</v>
      </c>
      <c r="E1237" s="1">
        <v>9100</v>
      </c>
      <c r="F1237" s="1"/>
      <c r="G1237" s="1"/>
      <c r="H1237" s="1"/>
      <c r="I1237" s="4" t="s">
        <v>13</v>
      </c>
      <c r="J1237" s="1">
        <v>2074</v>
      </c>
      <c r="K1237" s="1"/>
      <c r="L1237" s="1">
        <v>2163</v>
      </c>
      <c r="M1237" s="1">
        <v>0.48899999999999999</v>
      </c>
      <c r="N1237" s="1">
        <v>10.772</v>
      </c>
      <c r="O1237" s="1">
        <v>10.616</v>
      </c>
      <c r="P1237" s="9">
        <v>10.625</v>
      </c>
    </row>
    <row r="1238" spans="1:16" x14ac:dyDescent="0.25">
      <c r="A1238" s="6">
        <v>11.75</v>
      </c>
      <c r="B1238" s="2">
        <v>60</v>
      </c>
      <c r="C1238" s="2" t="s">
        <v>114</v>
      </c>
      <c r="D1238" s="2">
        <v>3680</v>
      </c>
      <c r="E1238" s="2">
        <v>9100</v>
      </c>
      <c r="F1238" s="2"/>
      <c r="G1238" s="2"/>
      <c r="H1238" s="2"/>
      <c r="I1238" s="2" t="s">
        <v>8</v>
      </c>
      <c r="J1238" s="2">
        <v>1396</v>
      </c>
      <c r="K1238" s="2"/>
      <c r="L1238" s="2">
        <v>2163</v>
      </c>
      <c r="M1238" s="2">
        <v>0.48899999999999999</v>
      </c>
      <c r="N1238" s="2">
        <v>10.772</v>
      </c>
      <c r="O1238" s="2">
        <v>10.616</v>
      </c>
      <c r="P1238" s="7">
        <v>10.625</v>
      </c>
    </row>
    <row r="1239" spans="1:16" ht="15.75" customHeight="1" thickBot="1" x14ac:dyDescent="0.3">
      <c r="A1239" s="6">
        <v>11.75</v>
      </c>
      <c r="B1239" s="2">
        <v>60</v>
      </c>
      <c r="C1239" s="2" t="s">
        <v>114</v>
      </c>
      <c r="D1239" s="2">
        <v>3680</v>
      </c>
      <c r="E1239" s="2">
        <v>9100</v>
      </c>
      <c r="F1239" s="2"/>
      <c r="G1239" s="2"/>
      <c r="H1239" s="2"/>
      <c r="I1239" s="2" t="s">
        <v>13</v>
      </c>
      <c r="J1239" s="2">
        <v>2074</v>
      </c>
      <c r="K1239" s="2"/>
      <c r="L1239" s="2">
        <v>2163</v>
      </c>
      <c r="M1239" s="2">
        <v>0.48899999999999999</v>
      </c>
      <c r="N1239" s="2">
        <v>10.772</v>
      </c>
      <c r="O1239" s="2">
        <v>10.616</v>
      </c>
      <c r="P1239" s="7">
        <v>10.625</v>
      </c>
    </row>
    <row r="1240" spans="1:16" ht="15.75" customHeight="1" thickBot="1" x14ac:dyDescent="0.3">
      <c r="A1240" s="8">
        <v>11.75</v>
      </c>
      <c r="B1240" s="1">
        <v>65</v>
      </c>
      <c r="C1240" s="1" t="s">
        <v>111</v>
      </c>
      <c r="D1240" s="1">
        <v>3870</v>
      </c>
      <c r="E1240" s="1">
        <v>6360</v>
      </c>
      <c r="F1240" s="1"/>
      <c r="G1240" s="1"/>
      <c r="H1240" s="1"/>
      <c r="I1240" s="4" t="s">
        <v>8</v>
      </c>
      <c r="J1240" s="1">
        <v>1007</v>
      </c>
      <c r="K1240" s="1"/>
      <c r="L1240" s="1">
        <v>1505</v>
      </c>
      <c r="M1240" s="1">
        <v>0.53400000000000003</v>
      </c>
      <c r="N1240" s="1">
        <v>10.682</v>
      </c>
      <c r="O1240" s="1">
        <v>10.526</v>
      </c>
      <c r="P1240" s="9">
        <v>10.625</v>
      </c>
    </row>
    <row r="1241" spans="1:16" x14ac:dyDescent="0.25">
      <c r="A1241" s="8">
        <v>11.75</v>
      </c>
      <c r="B1241" s="1">
        <v>65</v>
      </c>
      <c r="C1241" s="1" t="s">
        <v>111</v>
      </c>
      <c r="D1241" s="1">
        <v>3870</v>
      </c>
      <c r="E1241" s="1">
        <v>6360</v>
      </c>
      <c r="F1241" s="1"/>
      <c r="G1241" s="1"/>
      <c r="H1241" s="1"/>
      <c r="I1241" s="4" t="s">
        <v>13</v>
      </c>
      <c r="J1241" s="1">
        <v>1521</v>
      </c>
      <c r="K1241" s="1"/>
      <c r="L1241" s="1">
        <v>1505</v>
      </c>
      <c r="M1241" s="1">
        <v>0.53400000000000003</v>
      </c>
      <c r="N1241" s="1">
        <v>10.682</v>
      </c>
      <c r="O1241" s="1">
        <v>10.526</v>
      </c>
      <c r="P1241" s="9">
        <v>10.625</v>
      </c>
    </row>
    <row r="1242" spans="1:16" x14ac:dyDescent="0.25">
      <c r="A1242" s="6">
        <v>11.75</v>
      </c>
      <c r="B1242" s="2">
        <v>65</v>
      </c>
      <c r="C1242" s="2" t="s">
        <v>88</v>
      </c>
      <c r="D1242" s="2">
        <v>5740</v>
      </c>
      <c r="E1242" s="2">
        <v>6360</v>
      </c>
      <c r="F1242" s="2"/>
      <c r="G1242" s="2"/>
      <c r="H1242" s="2"/>
      <c r="I1242" s="2" t="s">
        <v>8</v>
      </c>
      <c r="J1242" s="2">
        <v>1152</v>
      </c>
      <c r="K1242" s="2"/>
      <c r="L1242" s="2">
        <v>1505</v>
      </c>
      <c r="M1242" s="2">
        <v>0.53400000000000003</v>
      </c>
      <c r="N1242" s="2">
        <v>10.682</v>
      </c>
      <c r="O1242" s="2">
        <v>10.526</v>
      </c>
      <c r="P1242" s="7">
        <v>10.625</v>
      </c>
    </row>
    <row r="1243" spans="1:16" ht="15.75" customHeight="1" thickBot="1" x14ac:dyDescent="0.3">
      <c r="A1243" s="6">
        <v>11.75</v>
      </c>
      <c r="B1243" s="2">
        <v>65</v>
      </c>
      <c r="C1243" s="2" t="s">
        <v>88</v>
      </c>
      <c r="D1243" s="2">
        <v>5740</v>
      </c>
      <c r="E1243" s="2">
        <v>6360</v>
      </c>
      <c r="F1243" s="2"/>
      <c r="G1243" s="2"/>
      <c r="H1243" s="2"/>
      <c r="I1243" s="2" t="s">
        <v>13</v>
      </c>
      <c r="J1243" s="2">
        <v>1691</v>
      </c>
      <c r="K1243" s="2"/>
      <c r="L1243" s="2">
        <v>1505</v>
      </c>
      <c r="M1243" s="2">
        <v>0.53400000000000003</v>
      </c>
      <c r="N1243" s="2">
        <v>10.682</v>
      </c>
      <c r="O1243" s="2">
        <v>10.526</v>
      </c>
      <c r="P1243" s="7">
        <v>10.625</v>
      </c>
    </row>
    <row r="1244" spans="1:16" ht="15.75" customHeight="1" thickBot="1" x14ac:dyDescent="0.3">
      <c r="A1244" s="8">
        <v>11.75</v>
      </c>
      <c r="B1244" s="1">
        <v>65</v>
      </c>
      <c r="C1244" s="1" t="s">
        <v>112</v>
      </c>
      <c r="D1244" s="1">
        <v>3870</v>
      </c>
      <c r="E1244" s="1">
        <v>6360</v>
      </c>
      <c r="F1244" s="1"/>
      <c r="G1244" s="1"/>
      <c r="H1244" s="1"/>
      <c r="I1244" s="4" t="s">
        <v>8</v>
      </c>
      <c r="J1244" s="1">
        <v>1019</v>
      </c>
      <c r="K1244" s="1"/>
      <c r="L1244" s="1">
        <v>1505</v>
      </c>
      <c r="M1244" s="1">
        <v>0.53400000000000003</v>
      </c>
      <c r="N1244" s="1">
        <v>10.682</v>
      </c>
      <c r="O1244" s="1">
        <v>10.526</v>
      </c>
      <c r="P1244" s="9">
        <v>10.625</v>
      </c>
    </row>
    <row r="1245" spans="1:16" x14ac:dyDescent="0.25">
      <c r="A1245" s="8">
        <v>11.75</v>
      </c>
      <c r="B1245" s="1">
        <v>65</v>
      </c>
      <c r="C1245" s="1" t="s">
        <v>112</v>
      </c>
      <c r="D1245" s="1">
        <v>3870</v>
      </c>
      <c r="E1245" s="1">
        <v>6360</v>
      </c>
      <c r="F1245" s="1"/>
      <c r="G1245" s="1"/>
      <c r="H1245" s="1"/>
      <c r="I1245" s="4" t="s">
        <v>13</v>
      </c>
      <c r="J1245" s="1">
        <v>1566</v>
      </c>
      <c r="K1245" s="1"/>
      <c r="L1245" s="1">
        <v>1505</v>
      </c>
      <c r="M1245" s="1">
        <v>0.53400000000000003</v>
      </c>
      <c r="N1245" s="1">
        <v>10.682</v>
      </c>
      <c r="O1245" s="1">
        <v>10.526</v>
      </c>
      <c r="P1245" s="9">
        <v>10.625</v>
      </c>
    </row>
    <row r="1246" spans="1:16" x14ac:dyDescent="0.25">
      <c r="A1246" s="6">
        <v>11.75</v>
      </c>
      <c r="B1246" s="2">
        <v>65</v>
      </c>
      <c r="C1246" s="2" t="s">
        <v>93</v>
      </c>
      <c r="D1246" s="2">
        <v>5740</v>
      </c>
      <c r="E1246" s="2">
        <v>6360</v>
      </c>
      <c r="F1246" s="2"/>
      <c r="G1246" s="2"/>
      <c r="H1246" s="2"/>
      <c r="I1246" s="2" t="s">
        <v>8</v>
      </c>
      <c r="J1246" s="2">
        <v>1164</v>
      </c>
      <c r="K1246" s="2"/>
      <c r="L1246" s="2">
        <v>1505</v>
      </c>
      <c r="M1246" s="2">
        <v>0.53400000000000003</v>
      </c>
      <c r="N1246" s="2">
        <v>10.682</v>
      </c>
      <c r="O1246" s="2">
        <v>10.526</v>
      </c>
      <c r="P1246" s="7">
        <v>10.625</v>
      </c>
    </row>
    <row r="1247" spans="1:16" ht="15.75" customHeight="1" thickBot="1" x14ac:dyDescent="0.3">
      <c r="A1247" s="6">
        <v>11.75</v>
      </c>
      <c r="B1247" s="2">
        <v>65</v>
      </c>
      <c r="C1247" s="2" t="s">
        <v>93</v>
      </c>
      <c r="D1247" s="2">
        <v>5740</v>
      </c>
      <c r="E1247" s="2">
        <v>6360</v>
      </c>
      <c r="F1247" s="2"/>
      <c r="G1247" s="2"/>
      <c r="H1247" s="2"/>
      <c r="I1247" s="2" t="s">
        <v>13</v>
      </c>
      <c r="J1247" s="2">
        <v>1691</v>
      </c>
      <c r="K1247" s="2"/>
      <c r="L1247" s="2">
        <v>1505</v>
      </c>
      <c r="M1247" s="2">
        <v>0.53400000000000003</v>
      </c>
      <c r="N1247" s="2">
        <v>10.682</v>
      </c>
      <c r="O1247" s="2">
        <v>10.526</v>
      </c>
      <c r="P1247" s="7">
        <v>10.625</v>
      </c>
    </row>
    <row r="1248" spans="1:16" ht="15.75" customHeight="1" thickBot="1" x14ac:dyDescent="0.3">
      <c r="A1248" s="8">
        <v>11.75</v>
      </c>
      <c r="B1248" s="1">
        <v>65</v>
      </c>
      <c r="C1248" s="1" t="s">
        <v>75</v>
      </c>
      <c r="D1248" s="1">
        <v>5140</v>
      </c>
      <c r="E1248" s="1">
        <v>7160</v>
      </c>
      <c r="F1248" s="1"/>
      <c r="G1248" s="1"/>
      <c r="H1248" s="1"/>
      <c r="I1248" s="4" t="s">
        <v>8</v>
      </c>
      <c r="J1248" s="1">
        <v>1164</v>
      </c>
      <c r="K1248" s="1"/>
      <c r="L1248" s="1">
        <v>1639</v>
      </c>
      <c r="M1248" s="1">
        <v>0.53400000000000003</v>
      </c>
      <c r="N1248" s="1">
        <v>10.682</v>
      </c>
      <c r="O1248" s="1">
        <v>10.526</v>
      </c>
      <c r="P1248" s="9">
        <v>10.625</v>
      </c>
    </row>
    <row r="1249" spans="1:16" x14ac:dyDescent="0.25">
      <c r="A1249" s="8">
        <v>11.75</v>
      </c>
      <c r="B1249" s="1">
        <v>65</v>
      </c>
      <c r="C1249" s="1" t="s">
        <v>75</v>
      </c>
      <c r="D1249" s="1">
        <v>5140</v>
      </c>
      <c r="E1249" s="1">
        <v>7160</v>
      </c>
      <c r="F1249" s="1"/>
      <c r="G1249" s="1"/>
      <c r="H1249" s="1"/>
      <c r="I1249" s="4" t="s">
        <v>13</v>
      </c>
      <c r="J1249" s="1">
        <v>1691</v>
      </c>
      <c r="K1249" s="1"/>
      <c r="L1249" s="1">
        <v>1639</v>
      </c>
      <c r="M1249" s="1">
        <v>0.53400000000000003</v>
      </c>
      <c r="N1249" s="1">
        <v>10.682</v>
      </c>
      <c r="O1249" s="1">
        <v>10.526</v>
      </c>
      <c r="P1249" s="9">
        <v>10.625</v>
      </c>
    </row>
    <row r="1250" spans="1:16" x14ac:dyDescent="0.25">
      <c r="A1250" s="6">
        <v>11.75</v>
      </c>
      <c r="B1250" s="2">
        <v>65</v>
      </c>
      <c r="C1250" s="2" t="s">
        <v>115</v>
      </c>
      <c r="D1250" s="2">
        <v>5740</v>
      </c>
      <c r="E1250" s="2">
        <v>7560</v>
      </c>
      <c r="F1250" s="2"/>
      <c r="G1250" s="2"/>
      <c r="H1250" s="2"/>
      <c r="I1250" s="2" t="s">
        <v>8</v>
      </c>
      <c r="J1250" s="2">
        <v>1189</v>
      </c>
      <c r="K1250" s="2"/>
      <c r="L1250" s="2">
        <v>1788</v>
      </c>
      <c r="M1250" s="2">
        <v>0.53400000000000003</v>
      </c>
      <c r="N1250" s="2">
        <v>10.682</v>
      </c>
      <c r="O1250" s="2">
        <v>10.526</v>
      </c>
      <c r="P1250" s="7">
        <v>10.625</v>
      </c>
    </row>
    <row r="1251" spans="1:16" ht="15.75" customHeight="1" thickBot="1" x14ac:dyDescent="0.3">
      <c r="A1251" s="6">
        <v>11.75</v>
      </c>
      <c r="B1251" s="2">
        <v>65</v>
      </c>
      <c r="C1251" s="2" t="s">
        <v>115</v>
      </c>
      <c r="D1251" s="2">
        <v>5740</v>
      </c>
      <c r="E1251" s="2">
        <v>7560</v>
      </c>
      <c r="F1251" s="2"/>
      <c r="G1251" s="2"/>
      <c r="H1251" s="2"/>
      <c r="I1251" s="2" t="s">
        <v>13</v>
      </c>
      <c r="J1251" s="2">
        <v>1781</v>
      </c>
      <c r="K1251" s="2"/>
      <c r="L1251" s="2">
        <v>1788</v>
      </c>
      <c r="M1251" s="2">
        <v>0.53400000000000003</v>
      </c>
      <c r="N1251" s="2">
        <v>10.682</v>
      </c>
      <c r="O1251" s="2">
        <v>10.526</v>
      </c>
      <c r="P1251" s="7">
        <v>10.625</v>
      </c>
    </row>
    <row r="1252" spans="1:16" ht="15.75" customHeight="1" thickBot="1" x14ac:dyDescent="0.3">
      <c r="A1252" s="8">
        <v>11.75</v>
      </c>
      <c r="B1252" s="1">
        <v>65</v>
      </c>
      <c r="C1252" s="1" t="s">
        <v>80</v>
      </c>
      <c r="D1252" s="1">
        <v>5740</v>
      </c>
      <c r="E1252" s="1">
        <v>7560</v>
      </c>
      <c r="F1252" s="1"/>
      <c r="G1252" s="1"/>
      <c r="H1252" s="1"/>
      <c r="I1252" s="4" t="s">
        <v>8</v>
      </c>
      <c r="J1252" s="1">
        <v>1177</v>
      </c>
      <c r="K1252" s="1"/>
      <c r="L1252" s="1">
        <v>1788</v>
      </c>
      <c r="M1252" s="1">
        <v>0.53400000000000003</v>
      </c>
      <c r="N1252" s="1">
        <v>10.682</v>
      </c>
      <c r="O1252" s="1">
        <v>10.526</v>
      </c>
      <c r="P1252" s="9">
        <v>10.625</v>
      </c>
    </row>
    <row r="1253" spans="1:16" x14ac:dyDescent="0.25">
      <c r="A1253" s="8">
        <v>11.75</v>
      </c>
      <c r="B1253" s="1">
        <v>65</v>
      </c>
      <c r="C1253" s="1" t="s">
        <v>80</v>
      </c>
      <c r="D1253" s="1">
        <v>5740</v>
      </c>
      <c r="E1253" s="1">
        <v>7560</v>
      </c>
      <c r="F1253" s="1"/>
      <c r="G1253" s="1"/>
      <c r="H1253" s="1"/>
      <c r="I1253" s="4" t="s">
        <v>13</v>
      </c>
      <c r="J1253" s="1">
        <v>1736</v>
      </c>
      <c r="K1253" s="1"/>
      <c r="L1253" s="1">
        <v>1788</v>
      </c>
      <c r="M1253" s="1">
        <v>0.53400000000000003</v>
      </c>
      <c r="N1253" s="1">
        <v>10.682</v>
      </c>
      <c r="O1253" s="1">
        <v>10.526</v>
      </c>
      <c r="P1253" s="9">
        <v>10.625</v>
      </c>
    </row>
    <row r="1254" spans="1:16" x14ac:dyDescent="0.25">
      <c r="A1254" s="6">
        <v>11.75</v>
      </c>
      <c r="B1254" s="2">
        <v>65</v>
      </c>
      <c r="C1254" s="2" t="s">
        <v>97</v>
      </c>
      <c r="D1254" s="2">
        <v>5740</v>
      </c>
      <c r="E1254" s="2">
        <v>8750</v>
      </c>
      <c r="F1254" s="2"/>
      <c r="G1254" s="2"/>
      <c r="H1254" s="2"/>
      <c r="I1254" s="2" t="s">
        <v>8</v>
      </c>
      <c r="J1254" s="2">
        <v>1371</v>
      </c>
      <c r="K1254" s="2"/>
      <c r="L1254" s="2">
        <v>2070</v>
      </c>
      <c r="M1254" s="2">
        <v>0.53400000000000003</v>
      </c>
      <c r="N1254" s="2">
        <v>10.682</v>
      </c>
      <c r="O1254" s="2">
        <v>10.526</v>
      </c>
      <c r="P1254" s="7">
        <v>10.625</v>
      </c>
    </row>
    <row r="1255" spans="1:16" ht="15.75" customHeight="1" thickBot="1" x14ac:dyDescent="0.3">
      <c r="A1255" s="6">
        <v>11.75</v>
      </c>
      <c r="B1255" s="2">
        <v>65</v>
      </c>
      <c r="C1255" s="2" t="s">
        <v>97</v>
      </c>
      <c r="D1255" s="2">
        <v>5740</v>
      </c>
      <c r="E1255" s="2">
        <v>8750</v>
      </c>
      <c r="F1255" s="2"/>
      <c r="G1255" s="2"/>
      <c r="H1255" s="2"/>
      <c r="I1255" s="2" t="s">
        <v>13</v>
      </c>
      <c r="J1255" s="2">
        <v>2041</v>
      </c>
      <c r="K1255" s="2"/>
      <c r="L1255" s="2">
        <v>2070</v>
      </c>
      <c r="M1255" s="2">
        <v>0.53400000000000003</v>
      </c>
      <c r="N1255" s="2">
        <v>10.682</v>
      </c>
      <c r="O1255" s="2">
        <v>10.526</v>
      </c>
      <c r="P1255" s="7">
        <v>10.625</v>
      </c>
    </row>
    <row r="1256" spans="1:16" ht="15.75" customHeight="1" thickBot="1" x14ac:dyDescent="0.3">
      <c r="A1256" s="8">
        <v>11.75</v>
      </c>
      <c r="B1256" s="1">
        <v>65</v>
      </c>
      <c r="C1256" s="1" t="s">
        <v>113</v>
      </c>
      <c r="D1256" s="1">
        <v>4480</v>
      </c>
      <c r="E1256" s="1">
        <v>8750</v>
      </c>
      <c r="F1256" s="1"/>
      <c r="G1256" s="1"/>
      <c r="H1256" s="1"/>
      <c r="I1256" s="4" t="s">
        <v>8</v>
      </c>
      <c r="J1256" s="1">
        <v>1371</v>
      </c>
      <c r="K1256" s="1"/>
      <c r="L1256" s="1">
        <v>2070</v>
      </c>
      <c r="M1256" s="1">
        <v>0.53400000000000003</v>
      </c>
      <c r="N1256" s="1">
        <v>10.682</v>
      </c>
      <c r="O1256" s="1">
        <v>10.526</v>
      </c>
      <c r="P1256" s="9">
        <v>10.625</v>
      </c>
    </row>
    <row r="1257" spans="1:16" x14ac:dyDescent="0.25">
      <c r="A1257" s="8">
        <v>11.75</v>
      </c>
      <c r="B1257" s="1">
        <v>65</v>
      </c>
      <c r="C1257" s="1" t="s">
        <v>113</v>
      </c>
      <c r="D1257" s="1">
        <v>4480</v>
      </c>
      <c r="E1257" s="1">
        <v>8750</v>
      </c>
      <c r="F1257" s="1"/>
      <c r="G1257" s="1"/>
      <c r="H1257" s="1"/>
      <c r="I1257" s="4" t="s">
        <v>13</v>
      </c>
      <c r="J1257" s="1">
        <v>2041</v>
      </c>
      <c r="K1257" s="1"/>
      <c r="L1257" s="1">
        <v>2070</v>
      </c>
      <c r="M1257" s="1">
        <v>0.53400000000000003</v>
      </c>
      <c r="N1257" s="1">
        <v>10.682</v>
      </c>
      <c r="O1257" s="1">
        <v>10.526</v>
      </c>
      <c r="P1257" s="9">
        <v>10.625</v>
      </c>
    </row>
    <row r="1258" spans="1:16" x14ac:dyDescent="0.25">
      <c r="A1258" s="6">
        <v>11.75</v>
      </c>
      <c r="B1258" s="2">
        <v>65</v>
      </c>
      <c r="C1258" s="2" t="s">
        <v>99</v>
      </c>
      <c r="D1258" s="2">
        <v>5740</v>
      </c>
      <c r="E1258" s="2">
        <v>9940</v>
      </c>
      <c r="F1258" s="2"/>
      <c r="G1258" s="2"/>
      <c r="H1258" s="2"/>
      <c r="I1258" s="2" t="s">
        <v>8</v>
      </c>
      <c r="J1258" s="2">
        <v>1540</v>
      </c>
      <c r="K1258" s="2"/>
      <c r="L1258" s="2">
        <v>2352</v>
      </c>
      <c r="M1258" s="2">
        <v>0.53400000000000003</v>
      </c>
      <c r="N1258" s="2">
        <v>10.682</v>
      </c>
      <c r="O1258" s="2">
        <v>10.526</v>
      </c>
      <c r="P1258" s="7">
        <v>10.625</v>
      </c>
    </row>
    <row r="1259" spans="1:16" ht="15.75" customHeight="1" thickBot="1" x14ac:dyDescent="0.3">
      <c r="A1259" s="6">
        <v>11.75</v>
      </c>
      <c r="B1259" s="2">
        <v>65</v>
      </c>
      <c r="C1259" s="2" t="s">
        <v>99</v>
      </c>
      <c r="D1259" s="2">
        <v>5740</v>
      </c>
      <c r="E1259" s="2">
        <v>9940</v>
      </c>
      <c r="F1259" s="2"/>
      <c r="G1259" s="2"/>
      <c r="H1259" s="2"/>
      <c r="I1259" s="2" t="s">
        <v>13</v>
      </c>
      <c r="J1259" s="2">
        <v>2256</v>
      </c>
      <c r="K1259" s="2"/>
      <c r="L1259" s="2">
        <v>2352</v>
      </c>
      <c r="M1259" s="2">
        <v>0.53400000000000003</v>
      </c>
      <c r="N1259" s="2">
        <v>10.682</v>
      </c>
      <c r="O1259" s="2">
        <v>10.526</v>
      </c>
      <c r="P1259" s="7">
        <v>10.625</v>
      </c>
    </row>
    <row r="1260" spans="1:16" ht="15.75" customHeight="1" thickBot="1" x14ac:dyDescent="0.3">
      <c r="A1260" s="8">
        <v>11.75</v>
      </c>
      <c r="B1260" s="1">
        <v>65</v>
      </c>
      <c r="C1260" s="1" t="s">
        <v>114</v>
      </c>
      <c r="D1260" s="1">
        <v>4690</v>
      </c>
      <c r="E1260" s="1">
        <v>9940</v>
      </c>
      <c r="F1260" s="1"/>
      <c r="G1260" s="1"/>
      <c r="H1260" s="1"/>
      <c r="I1260" s="4" t="s">
        <v>8</v>
      </c>
      <c r="J1260" s="1">
        <v>1540</v>
      </c>
      <c r="K1260" s="1"/>
      <c r="L1260" s="1">
        <v>2352</v>
      </c>
      <c r="M1260" s="1">
        <v>0.53400000000000003</v>
      </c>
      <c r="N1260" s="1">
        <v>10.682</v>
      </c>
      <c r="O1260" s="1">
        <v>10.526</v>
      </c>
      <c r="P1260" s="9">
        <v>10.625</v>
      </c>
    </row>
    <row r="1261" spans="1:16" x14ac:dyDescent="0.25">
      <c r="A1261" s="8">
        <v>11.75</v>
      </c>
      <c r="B1261" s="1">
        <v>65</v>
      </c>
      <c r="C1261" s="1" t="s">
        <v>114</v>
      </c>
      <c r="D1261" s="1">
        <v>4690</v>
      </c>
      <c r="E1261" s="1">
        <v>9940</v>
      </c>
      <c r="F1261" s="1"/>
      <c r="G1261" s="1"/>
      <c r="H1261" s="1"/>
      <c r="I1261" s="4" t="s">
        <v>13</v>
      </c>
      <c r="J1261" s="1">
        <v>2256</v>
      </c>
      <c r="K1261" s="1"/>
      <c r="L1261" s="1">
        <v>2352</v>
      </c>
      <c r="M1261" s="1">
        <v>0.53400000000000003</v>
      </c>
      <c r="N1261" s="1">
        <v>10.682</v>
      </c>
      <c r="O1261" s="1">
        <v>10.526</v>
      </c>
      <c r="P1261" s="9">
        <v>10.625</v>
      </c>
    </row>
    <row r="1262" spans="1:16" x14ac:dyDescent="0.25">
      <c r="A1262" s="6">
        <v>11.75</v>
      </c>
      <c r="B1262" s="2">
        <v>71</v>
      </c>
      <c r="C1262" s="2" t="s">
        <v>75</v>
      </c>
      <c r="D1262" s="2">
        <v>7280</v>
      </c>
      <c r="E1262" s="2">
        <v>7800</v>
      </c>
      <c r="F1262" s="2"/>
      <c r="G1262" s="2"/>
      <c r="H1262" s="2"/>
      <c r="I1262" s="2" t="s">
        <v>8</v>
      </c>
      <c r="J1262" s="2">
        <v>1226</v>
      </c>
      <c r="K1262" s="2"/>
      <c r="L1262" s="2">
        <v>1838</v>
      </c>
      <c r="M1262" s="2">
        <v>0.58199999999999996</v>
      </c>
      <c r="N1262" s="2">
        <v>10.586</v>
      </c>
      <c r="O1262" s="2">
        <v>10.43</v>
      </c>
      <c r="P1262" s="7"/>
    </row>
    <row r="1263" spans="1:16" ht="15.75" customHeight="1" thickBot="1" x14ac:dyDescent="0.3">
      <c r="A1263" s="6">
        <v>11.75</v>
      </c>
      <c r="B1263" s="2">
        <v>71</v>
      </c>
      <c r="C1263" s="2" t="s">
        <v>75</v>
      </c>
      <c r="D1263" s="2">
        <v>7280</v>
      </c>
      <c r="E1263" s="2">
        <v>7800</v>
      </c>
      <c r="F1263" s="2"/>
      <c r="G1263" s="2"/>
      <c r="H1263" s="2"/>
      <c r="I1263" s="2" t="s">
        <v>13</v>
      </c>
      <c r="J1263" s="2">
        <v>1790</v>
      </c>
      <c r="K1263" s="2"/>
      <c r="L1263" s="2">
        <v>1838</v>
      </c>
      <c r="M1263" s="2">
        <v>0.58199999999999996</v>
      </c>
      <c r="N1263" s="2">
        <v>10.586</v>
      </c>
      <c r="O1263" s="2">
        <v>10.43</v>
      </c>
      <c r="P1263" s="7"/>
    </row>
    <row r="1264" spans="1:16" ht="15.75" customHeight="1" thickBot="1" x14ac:dyDescent="0.3">
      <c r="A1264" s="8">
        <v>11.75</v>
      </c>
      <c r="B1264" s="1">
        <v>71</v>
      </c>
      <c r="C1264" s="1" t="s">
        <v>115</v>
      </c>
      <c r="D1264" s="1">
        <v>7280</v>
      </c>
      <c r="E1264" s="1">
        <v>8230</v>
      </c>
      <c r="F1264" s="1"/>
      <c r="G1264" s="1"/>
      <c r="H1264" s="1"/>
      <c r="I1264" s="4" t="s">
        <v>8</v>
      </c>
      <c r="J1264" s="1">
        <v>1306</v>
      </c>
      <c r="K1264" s="1"/>
      <c r="L1264" s="1">
        <v>1940</v>
      </c>
      <c r="M1264" s="1">
        <v>0.58199999999999996</v>
      </c>
      <c r="N1264" s="1">
        <v>10.586</v>
      </c>
      <c r="O1264" s="1">
        <v>10.43</v>
      </c>
      <c r="P1264" s="9"/>
    </row>
    <row r="1265" spans="1:16" x14ac:dyDescent="0.25">
      <c r="A1265" s="8">
        <v>11.75</v>
      </c>
      <c r="B1265" s="1">
        <v>71</v>
      </c>
      <c r="C1265" s="1" t="s">
        <v>115</v>
      </c>
      <c r="D1265" s="1">
        <v>7280</v>
      </c>
      <c r="E1265" s="1">
        <v>8230</v>
      </c>
      <c r="F1265" s="1"/>
      <c r="G1265" s="1"/>
      <c r="H1265" s="1"/>
      <c r="I1265" s="4" t="s">
        <v>13</v>
      </c>
      <c r="J1265" s="1">
        <v>1933</v>
      </c>
      <c r="K1265" s="1"/>
      <c r="L1265" s="1">
        <v>1940</v>
      </c>
      <c r="M1265" s="1">
        <v>0.58199999999999996</v>
      </c>
      <c r="N1265" s="1">
        <v>10.586</v>
      </c>
      <c r="O1265" s="1">
        <v>10.43</v>
      </c>
      <c r="P1265" s="9"/>
    </row>
    <row r="1266" spans="1:16" x14ac:dyDescent="0.25">
      <c r="A1266" s="6">
        <v>11.75</v>
      </c>
      <c r="B1266" s="2">
        <v>71</v>
      </c>
      <c r="C1266" s="2" t="s">
        <v>80</v>
      </c>
      <c r="D1266" s="2">
        <v>7280</v>
      </c>
      <c r="E1266" s="2">
        <v>8230</v>
      </c>
      <c r="F1266" s="2"/>
      <c r="G1266" s="2"/>
      <c r="H1266" s="2"/>
      <c r="I1266" s="2" t="s">
        <v>8</v>
      </c>
      <c r="J1266" s="2">
        <v>1293</v>
      </c>
      <c r="K1266" s="2"/>
      <c r="L1266" s="2">
        <v>1940</v>
      </c>
      <c r="M1266" s="2">
        <v>0.58199999999999996</v>
      </c>
      <c r="N1266" s="2">
        <v>10.586</v>
      </c>
      <c r="O1266" s="2">
        <v>10.43</v>
      </c>
      <c r="P1266" s="7"/>
    </row>
    <row r="1267" spans="1:16" ht="15.75" customHeight="1" thickBot="1" x14ac:dyDescent="0.3">
      <c r="A1267" s="6">
        <v>11.75</v>
      </c>
      <c r="B1267" s="2">
        <v>71</v>
      </c>
      <c r="C1267" s="2" t="s">
        <v>80</v>
      </c>
      <c r="D1267" s="2">
        <v>7280</v>
      </c>
      <c r="E1267" s="2">
        <v>8230</v>
      </c>
      <c r="F1267" s="2"/>
      <c r="G1267" s="2"/>
      <c r="H1267" s="2"/>
      <c r="I1267" s="2" t="s">
        <v>13</v>
      </c>
      <c r="J1267" s="2">
        <v>1884</v>
      </c>
      <c r="K1267" s="2"/>
      <c r="L1267" s="2">
        <v>1940</v>
      </c>
      <c r="M1267" s="2">
        <v>0.58199999999999996</v>
      </c>
      <c r="N1267" s="2">
        <v>10.586</v>
      </c>
      <c r="O1267" s="2">
        <v>10.43</v>
      </c>
      <c r="P1267" s="7"/>
    </row>
    <row r="1268" spans="1:16" ht="15.75" customHeight="1" thickBot="1" x14ac:dyDescent="0.3">
      <c r="A1268" s="8">
        <v>11.75</v>
      </c>
      <c r="B1268" s="1">
        <v>71</v>
      </c>
      <c r="C1268" s="1" t="s">
        <v>97</v>
      </c>
      <c r="D1268" s="1">
        <v>7280</v>
      </c>
      <c r="E1268" s="1">
        <v>9530</v>
      </c>
      <c r="F1268" s="1"/>
      <c r="G1268" s="1"/>
      <c r="H1268" s="1"/>
      <c r="I1268" s="4" t="s">
        <v>8</v>
      </c>
      <c r="J1268" s="1">
        <v>1506</v>
      </c>
      <c r="K1268" s="1"/>
      <c r="L1268" s="1">
        <v>2246</v>
      </c>
      <c r="M1268" s="1">
        <v>0.58199999999999996</v>
      </c>
      <c r="N1268" s="1">
        <v>10.586</v>
      </c>
      <c r="O1268" s="1">
        <v>10.43</v>
      </c>
      <c r="P1268" s="9"/>
    </row>
    <row r="1269" spans="1:16" x14ac:dyDescent="0.25">
      <c r="A1269" s="8">
        <v>11.75</v>
      </c>
      <c r="B1269" s="1">
        <v>71</v>
      </c>
      <c r="C1269" s="1" t="s">
        <v>97</v>
      </c>
      <c r="D1269" s="1">
        <v>7280</v>
      </c>
      <c r="E1269" s="1">
        <v>9530</v>
      </c>
      <c r="F1269" s="1"/>
      <c r="G1269" s="1"/>
      <c r="H1269" s="1"/>
      <c r="I1269" s="4" t="s">
        <v>13</v>
      </c>
      <c r="J1269" s="1">
        <v>2215</v>
      </c>
      <c r="K1269" s="1"/>
      <c r="L1269" s="1">
        <v>2246</v>
      </c>
      <c r="M1269" s="1">
        <v>0.58199999999999996</v>
      </c>
      <c r="N1269" s="1">
        <v>10.586</v>
      </c>
      <c r="O1269" s="1">
        <v>10.43</v>
      </c>
      <c r="P1269" s="9"/>
    </row>
    <row r="1270" spans="1:16" x14ac:dyDescent="0.25">
      <c r="A1270" s="6">
        <v>11.75</v>
      </c>
      <c r="B1270" s="2">
        <v>71</v>
      </c>
      <c r="C1270" s="2" t="s">
        <v>113</v>
      </c>
      <c r="D1270" s="2">
        <v>5470</v>
      </c>
      <c r="E1270" s="2">
        <v>9530</v>
      </c>
      <c r="F1270" s="2"/>
      <c r="G1270" s="2"/>
      <c r="H1270" s="2"/>
      <c r="I1270" s="2" t="s">
        <v>8</v>
      </c>
      <c r="J1270" s="2">
        <v>1506</v>
      </c>
      <c r="K1270" s="2"/>
      <c r="L1270" s="2">
        <v>2246</v>
      </c>
      <c r="M1270" s="2">
        <v>0.58199999999999996</v>
      </c>
      <c r="N1270" s="2">
        <v>10.586</v>
      </c>
      <c r="O1270" s="2">
        <v>10.43</v>
      </c>
      <c r="P1270" s="7"/>
    </row>
    <row r="1271" spans="1:16" ht="15.75" customHeight="1" thickBot="1" x14ac:dyDescent="0.3">
      <c r="A1271" s="6">
        <v>11.75</v>
      </c>
      <c r="B1271" s="2">
        <v>71</v>
      </c>
      <c r="C1271" s="2" t="s">
        <v>113</v>
      </c>
      <c r="D1271" s="2">
        <v>5470</v>
      </c>
      <c r="E1271" s="2">
        <v>9530</v>
      </c>
      <c r="F1271" s="2"/>
      <c r="G1271" s="2"/>
      <c r="H1271" s="2"/>
      <c r="I1271" s="2" t="s">
        <v>13</v>
      </c>
      <c r="J1271" s="2">
        <v>2215</v>
      </c>
      <c r="K1271" s="2"/>
      <c r="L1271" s="2">
        <v>2246</v>
      </c>
      <c r="M1271" s="2">
        <v>0.58199999999999996</v>
      </c>
      <c r="N1271" s="2">
        <v>10.586</v>
      </c>
      <c r="O1271" s="2">
        <v>10.43</v>
      </c>
      <c r="P1271" s="7"/>
    </row>
    <row r="1272" spans="1:16" ht="15.75" customHeight="1" thickBot="1" x14ac:dyDescent="0.3">
      <c r="A1272" s="8">
        <v>11.75</v>
      </c>
      <c r="B1272" s="1">
        <v>71</v>
      </c>
      <c r="C1272" s="1" t="s">
        <v>99</v>
      </c>
      <c r="D1272" s="1">
        <v>7280</v>
      </c>
      <c r="E1272" s="1">
        <v>10840</v>
      </c>
      <c r="F1272" s="1"/>
      <c r="G1272" s="1"/>
      <c r="H1272" s="1"/>
      <c r="I1272" s="4" t="s">
        <v>8</v>
      </c>
      <c r="J1272" s="1">
        <v>1693</v>
      </c>
      <c r="K1272" s="1"/>
      <c r="L1272" s="1">
        <v>2552</v>
      </c>
      <c r="M1272" s="1">
        <v>0.58199999999999996</v>
      </c>
      <c r="N1272" s="1">
        <v>10.586</v>
      </c>
      <c r="O1272" s="1">
        <v>10.43</v>
      </c>
      <c r="P1272" s="9"/>
    </row>
    <row r="1273" spans="1:16" x14ac:dyDescent="0.25">
      <c r="A1273" s="8">
        <v>11.75</v>
      </c>
      <c r="B1273" s="1">
        <v>71</v>
      </c>
      <c r="C1273" s="1" t="s">
        <v>99</v>
      </c>
      <c r="D1273" s="1">
        <v>7280</v>
      </c>
      <c r="E1273" s="1">
        <v>10840</v>
      </c>
      <c r="F1273" s="1"/>
      <c r="G1273" s="1"/>
      <c r="H1273" s="1"/>
      <c r="I1273" s="4" t="s">
        <v>13</v>
      </c>
      <c r="J1273" s="1">
        <v>2448</v>
      </c>
      <c r="K1273" s="1"/>
      <c r="L1273" s="1">
        <v>2552</v>
      </c>
      <c r="M1273" s="1">
        <v>0.58199999999999996</v>
      </c>
      <c r="N1273" s="1">
        <v>10.586</v>
      </c>
      <c r="O1273" s="1">
        <v>10.43</v>
      </c>
      <c r="P1273" s="9"/>
    </row>
    <row r="1274" spans="1:16" ht="15.75" customHeight="1" thickBot="1" x14ac:dyDescent="0.3">
      <c r="A1274" s="13">
        <v>11.75</v>
      </c>
      <c r="B1274" s="14">
        <v>71</v>
      </c>
      <c r="C1274" s="14" t="s">
        <v>114</v>
      </c>
      <c r="D1274" s="14">
        <v>5760</v>
      </c>
      <c r="E1274" s="14">
        <v>10840</v>
      </c>
      <c r="F1274" s="14"/>
      <c r="G1274" s="14"/>
      <c r="H1274" s="14"/>
      <c r="I1274" s="2" t="s">
        <v>8</v>
      </c>
      <c r="J1274" s="14">
        <v>1693</v>
      </c>
      <c r="K1274" s="14"/>
      <c r="L1274" s="14">
        <v>2552</v>
      </c>
      <c r="M1274" s="14">
        <v>0.58199999999999996</v>
      </c>
      <c r="N1274" s="14">
        <v>10.586</v>
      </c>
      <c r="O1274" s="14">
        <v>10.43</v>
      </c>
      <c r="P1274" s="15"/>
    </row>
    <row r="1275" spans="1:16" ht="15.75" customHeight="1" thickBot="1" x14ac:dyDescent="0.3">
      <c r="A1275" s="13">
        <v>11.75</v>
      </c>
      <c r="B1275" s="14">
        <v>71</v>
      </c>
      <c r="C1275" s="14" t="s">
        <v>114</v>
      </c>
      <c r="D1275" s="14">
        <v>5760</v>
      </c>
      <c r="E1275" s="14">
        <v>10840</v>
      </c>
      <c r="F1275" s="14"/>
      <c r="G1275" s="14"/>
      <c r="H1275" s="14"/>
      <c r="I1275" s="2" t="s">
        <v>13</v>
      </c>
      <c r="J1275" s="14">
        <v>2448</v>
      </c>
      <c r="K1275" s="14"/>
      <c r="L1275" s="14">
        <v>2552</v>
      </c>
      <c r="M1275" s="14">
        <v>0.58199999999999996</v>
      </c>
      <c r="N1275" s="14">
        <v>10.586</v>
      </c>
      <c r="O1275" s="14">
        <v>10.43</v>
      </c>
      <c r="P1275" s="15"/>
    </row>
    <row r="1276" spans="1:16" ht="15.75" customHeight="1" thickBot="1" x14ac:dyDescent="0.3">
      <c r="A1276" s="3">
        <v>11.875</v>
      </c>
      <c r="B1276" s="4">
        <v>71.8</v>
      </c>
      <c r="C1276" s="4" t="s">
        <v>75</v>
      </c>
      <c r="D1276" s="4">
        <v>7190</v>
      </c>
      <c r="E1276" s="4">
        <v>7270</v>
      </c>
      <c r="F1276" s="4"/>
      <c r="G1276" s="4"/>
      <c r="H1276" s="4"/>
      <c r="I1276" s="4" t="s">
        <v>8</v>
      </c>
      <c r="J1276" s="4">
        <v>1129</v>
      </c>
      <c r="K1276" s="4"/>
      <c r="L1276" s="4">
        <v>1858</v>
      </c>
      <c r="M1276" s="4">
        <v>0.58199999999999996</v>
      </c>
      <c r="N1276" s="4">
        <v>10.711</v>
      </c>
      <c r="O1276" s="4"/>
      <c r="P1276" s="5"/>
    </row>
    <row r="1277" spans="1:16" x14ac:dyDescent="0.25">
      <c r="A1277" s="3">
        <v>11.875</v>
      </c>
      <c r="B1277" s="4">
        <v>71.8</v>
      </c>
      <c r="C1277" s="4" t="s">
        <v>75</v>
      </c>
      <c r="D1277" s="4">
        <v>7190</v>
      </c>
      <c r="E1277" s="4">
        <v>7270</v>
      </c>
      <c r="F1277" s="4"/>
      <c r="G1277" s="4"/>
      <c r="H1277" s="4"/>
      <c r="I1277" s="4" t="s">
        <v>13</v>
      </c>
      <c r="J1277" s="4">
        <v>1647</v>
      </c>
      <c r="K1277" s="4"/>
      <c r="L1277" s="4">
        <v>1858</v>
      </c>
      <c r="M1277" s="4">
        <v>0.58199999999999996</v>
      </c>
      <c r="N1277" s="4">
        <v>10.711</v>
      </c>
      <c r="O1277" s="4"/>
      <c r="P1277" s="5"/>
    </row>
    <row r="1278" spans="1:16" x14ac:dyDescent="0.25">
      <c r="A1278" s="6">
        <v>11.875</v>
      </c>
      <c r="B1278" s="2">
        <v>71.8</v>
      </c>
      <c r="C1278" s="2" t="s">
        <v>115</v>
      </c>
      <c r="D1278" s="2">
        <v>7190</v>
      </c>
      <c r="E1278" s="2">
        <v>8150</v>
      </c>
      <c r="F1278" s="2"/>
      <c r="G1278" s="2"/>
      <c r="H1278" s="2"/>
      <c r="I1278" s="2" t="s">
        <v>8</v>
      </c>
      <c r="J1278" s="2">
        <v>1153</v>
      </c>
      <c r="K1278" s="2"/>
      <c r="L1278" s="2">
        <v>1962</v>
      </c>
      <c r="M1278" s="2">
        <v>0.58199999999999996</v>
      </c>
      <c r="N1278" s="2">
        <v>10.711</v>
      </c>
      <c r="O1278" s="2"/>
      <c r="P1278" s="7"/>
    </row>
    <row r="1279" spans="1:16" ht="15.75" customHeight="1" thickBot="1" x14ac:dyDescent="0.3">
      <c r="A1279" s="6">
        <v>11.875</v>
      </c>
      <c r="B1279" s="2">
        <v>71.8</v>
      </c>
      <c r="C1279" s="2" t="s">
        <v>115</v>
      </c>
      <c r="D1279" s="2">
        <v>7190</v>
      </c>
      <c r="E1279" s="2">
        <v>8150</v>
      </c>
      <c r="F1279" s="2"/>
      <c r="G1279" s="2"/>
      <c r="H1279" s="2"/>
      <c r="I1279" s="2" t="s">
        <v>13</v>
      </c>
      <c r="J1279" s="2">
        <v>1735</v>
      </c>
      <c r="K1279" s="2"/>
      <c r="L1279" s="2">
        <v>1962</v>
      </c>
      <c r="M1279" s="2">
        <v>0.58199999999999996</v>
      </c>
      <c r="N1279" s="2">
        <v>10.711</v>
      </c>
      <c r="O1279" s="2"/>
      <c r="P1279" s="7"/>
    </row>
    <row r="1280" spans="1:16" ht="15.75" customHeight="1" thickBot="1" x14ac:dyDescent="0.3">
      <c r="A1280" s="8">
        <v>11.875</v>
      </c>
      <c r="B1280" s="1">
        <v>71.8</v>
      </c>
      <c r="C1280" s="1" t="s">
        <v>80</v>
      </c>
      <c r="D1280" s="1">
        <v>7190</v>
      </c>
      <c r="E1280" s="1">
        <v>8150</v>
      </c>
      <c r="F1280" s="1"/>
      <c r="G1280" s="1"/>
      <c r="H1280" s="1"/>
      <c r="I1280" s="4" t="s">
        <v>8</v>
      </c>
      <c r="J1280" s="1">
        <v>1141</v>
      </c>
      <c r="K1280" s="1"/>
      <c r="L1280" s="1">
        <v>1962</v>
      </c>
      <c r="M1280" s="1">
        <v>0.58199999999999996</v>
      </c>
      <c r="N1280" s="1">
        <v>10.711</v>
      </c>
      <c r="O1280" s="1"/>
      <c r="P1280" s="9"/>
    </row>
    <row r="1281" spans="1:16" x14ac:dyDescent="0.25">
      <c r="A1281" s="8">
        <v>11.875</v>
      </c>
      <c r="B1281" s="1">
        <v>71.8</v>
      </c>
      <c r="C1281" s="1" t="s">
        <v>80</v>
      </c>
      <c r="D1281" s="1">
        <v>7190</v>
      </c>
      <c r="E1281" s="1">
        <v>8150</v>
      </c>
      <c r="F1281" s="1"/>
      <c r="G1281" s="1"/>
      <c r="H1281" s="1"/>
      <c r="I1281" s="4" t="s">
        <v>13</v>
      </c>
      <c r="J1281" s="1">
        <v>1691</v>
      </c>
      <c r="K1281" s="1"/>
      <c r="L1281" s="1">
        <v>1962</v>
      </c>
      <c r="M1281" s="1">
        <v>0.58199999999999996</v>
      </c>
      <c r="N1281" s="1">
        <v>10.711</v>
      </c>
      <c r="O1281" s="1"/>
      <c r="P1281" s="9"/>
    </row>
    <row r="1282" spans="1:16" x14ac:dyDescent="0.25">
      <c r="A1282" s="6">
        <v>11.875</v>
      </c>
      <c r="B1282" s="2">
        <v>71.8</v>
      </c>
      <c r="C1282" s="2" t="s">
        <v>97</v>
      </c>
      <c r="D1282" s="2">
        <v>7190</v>
      </c>
      <c r="E1282" s="2">
        <v>9430</v>
      </c>
      <c r="F1282" s="2"/>
      <c r="G1282" s="2"/>
      <c r="H1282" s="2"/>
      <c r="I1282" s="2" t="s">
        <v>8</v>
      </c>
      <c r="J1282" s="2">
        <v>1329</v>
      </c>
      <c r="K1282" s="2"/>
      <c r="L1282" s="2">
        <v>2271</v>
      </c>
      <c r="M1282" s="2">
        <v>0.58199999999999996</v>
      </c>
      <c r="N1282" s="2">
        <v>10.711</v>
      </c>
      <c r="O1282" s="2"/>
      <c r="P1282" s="7"/>
    </row>
    <row r="1283" spans="1:16" ht="15.75" customHeight="1" thickBot="1" x14ac:dyDescent="0.3">
      <c r="A1283" s="6">
        <v>11.875</v>
      </c>
      <c r="B1283" s="2">
        <v>71.8</v>
      </c>
      <c r="C1283" s="2" t="s">
        <v>97</v>
      </c>
      <c r="D1283" s="2">
        <v>7190</v>
      </c>
      <c r="E1283" s="2">
        <v>9430</v>
      </c>
      <c r="F1283" s="2"/>
      <c r="G1283" s="2"/>
      <c r="H1283" s="2"/>
      <c r="I1283" s="2" t="s">
        <v>13</v>
      </c>
      <c r="J1283" s="2">
        <v>1988</v>
      </c>
      <c r="K1283" s="2"/>
      <c r="L1283" s="2">
        <v>2271</v>
      </c>
      <c r="M1283" s="2">
        <v>0.58199999999999996</v>
      </c>
      <c r="N1283" s="2">
        <v>10.711</v>
      </c>
      <c r="O1283" s="2"/>
      <c r="P1283" s="7"/>
    </row>
    <row r="1284" spans="1:16" ht="15.75" customHeight="1" thickBot="1" x14ac:dyDescent="0.3">
      <c r="A1284" s="8">
        <v>11.875</v>
      </c>
      <c r="B1284" s="1">
        <v>71.8</v>
      </c>
      <c r="C1284" s="1" t="s">
        <v>113</v>
      </c>
      <c r="D1284" s="1">
        <v>5290</v>
      </c>
      <c r="E1284" s="1">
        <v>9430</v>
      </c>
      <c r="F1284" s="1"/>
      <c r="G1284" s="1"/>
      <c r="H1284" s="1"/>
      <c r="I1284" s="4" t="s">
        <v>8</v>
      </c>
      <c r="J1284" s="1">
        <v>1329</v>
      </c>
      <c r="K1284" s="1"/>
      <c r="L1284" s="1">
        <v>2271</v>
      </c>
      <c r="M1284" s="1">
        <v>0.58199999999999996</v>
      </c>
      <c r="N1284" s="1">
        <v>10.711</v>
      </c>
      <c r="O1284" s="1"/>
      <c r="P1284" s="9"/>
    </row>
    <row r="1285" spans="1:16" x14ac:dyDescent="0.25">
      <c r="A1285" s="8">
        <v>11.875</v>
      </c>
      <c r="B1285" s="1">
        <v>71.8</v>
      </c>
      <c r="C1285" s="1" t="s">
        <v>113</v>
      </c>
      <c r="D1285" s="1">
        <v>5290</v>
      </c>
      <c r="E1285" s="1">
        <v>9430</v>
      </c>
      <c r="F1285" s="1"/>
      <c r="G1285" s="1"/>
      <c r="H1285" s="1"/>
      <c r="I1285" s="4" t="s">
        <v>13</v>
      </c>
      <c r="J1285" s="1">
        <v>1988</v>
      </c>
      <c r="K1285" s="1"/>
      <c r="L1285" s="1">
        <v>2271</v>
      </c>
      <c r="M1285" s="1">
        <v>0.58199999999999996</v>
      </c>
      <c r="N1285" s="1">
        <v>10.711</v>
      </c>
      <c r="O1285" s="1"/>
      <c r="P1285" s="9"/>
    </row>
    <row r="1286" spans="1:16" x14ac:dyDescent="0.25">
      <c r="A1286" s="6">
        <v>11.875</v>
      </c>
      <c r="B1286" s="2">
        <v>71.8</v>
      </c>
      <c r="C1286" s="2" t="s">
        <v>99</v>
      </c>
      <c r="D1286" s="2">
        <v>7190</v>
      </c>
      <c r="E1286" s="2">
        <v>10720</v>
      </c>
      <c r="F1286" s="2"/>
      <c r="G1286" s="2"/>
      <c r="H1286" s="2"/>
      <c r="I1286" s="2" t="s">
        <v>8</v>
      </c>
      <c r="J1286" s="2">
        <v>1494</v>
      </c>
      <c r="K1286" s="2"/>
      <c r="L1286" s="2">
        <v>2581</v>
      </c>
      <c r="M1286" s="2">
        <v>0.58199999999999996</v>
      </c>
      <c r="N1286" s="2">
        <v>10.711</v>
      </c>
      <c r="O1286" s="2"/>
      <c r="P1286" s="7"/>
    </row>
    <row r="1287" spans="1:16" ht="15.75" customHeight="1" thickBot="1" x14ac:dyDescent="0.3">
      <c r="A1287" s="6">
        <v>11.875</v>
      </c>
      <c r="B1287" s="2">
        <v>71.8</v>
      </c>
      <c r="C1287" s="2" t="s">
        <v>99</v>
      </c>
      <c r="D1287" s="2">
        <v>7190</v>
      </c>
      <c r="E1287" s="2">
        <v>10720</v>
      </c>
      <c r="F1287" s="2"/>
      <c r="G1287" s="2"/>
      <c r="H1287" s="2"/>
      <c r="I1287" s="2" t="s">
        <v>13</v>
      </c>
      <c r="J1287" s="2">
        <v>2198</v>
      </c>
      <c r="K1287" s="2"/>
      <c r="L1287" s="2">
        <v>2581</v>
      </c>
      <c r="M1287" s="2">
        <v>0.58199999999999996</v>
      </c>
      <c r="N1287" s="2">
        <v>10.711</v>
      </c>
      <c r="O1287" s="2"/>
      <c r="P1287" s="7"/>
    </row>
    <row r="1288" spans="1:16" ht="15.75" customHeight="1" thickBot="1" x14ac:dyDescent="0.3">
      <c r="A1288" s="10">
        <v>11.875</v>
      </c>
      <c r="B1288" s="11">
        <v>71.8</v>
      </c>
      <c r="C1288" s="11" t="s">
        <v>114</v>
      </c>
      <c r="D1288" s="11">
        <v>5630</v>
      </c>
      <c r="E1288" s="11">
        <v>10720</v>
      </c>
      <c r="F1288" s="11"/>
      <c r="G1288" s="11"/>
      <c r="H1288" s="11"/>
      <c r="I1288" s="4" t="s">
        <v>8</v>
      </c>
      <c r="J1288" s="11">
        <v>1494</v>
      </c>
      <c r="K1288" s="11"/>
      <c r="L1288" s="11">
        <v>2581</v>
      </c>
      <c r="M1288" s="11">
        <v>0.58199999999999996</v>
      </c>
      <c r="N1288" s="11">
        <v>10.711</v>
      </c>
      <c r="O1288" s="11"/>
      <c r="P1288" s="12"/>
    </row>
    <row r="1289" spans="1:16" ht="15.75" customHeight="1" thickBot="1" x14ac:dyDescent="0.3">
      <c r="A1289" s="10">
        <v>11.875</v>
      </c>
      <c r="B1289" s="11">
        <v>71.8</v>
      </c>
      <c r="C1289" s="11" t="s">
        <v>114</v>
      </c>
      <c r="D1289" s="11">
        <v>5630</v>
      </c>
      <c r="E1289" s="11">
        <v>10720</v>
      </c>
      <c r="F1289" s="11"/>
      <c r="G1289" s="11"/>
      <c r="H1289" s="11"/>
      <c r="I1289" s="4" t="s">
        <v>13</v>
      </c>
      <c r="J1289" s="11">
        <v>2198</v>
      </c>
      <c r="K1289" s="11"/>
      <c r="L1289" s="11">
        <v>2581</v>
      </c>
      <c r="M1289" s="11">
        <v>0.58199999999999996</v>
      </c>
      <c r="N1289" s="11">
        <v>10.711</v>
      </c>
      <c r="O1289" s="11"/>
      <c r="P1289" s="12"/>
    </row>
    <row r="1290" spans="1:16" ht="15.75" customHeight="1" thickBot="1" x14ac:dyDescent="0.3">
      <c r="A1290" s="3">
        <v>13.375</v>
      </c>
      <c r="B1290" s="4">
        <v>48</v>
      </c>
      <c r="C1290" s="4" t="s">
        <v>81</v>
      </c>
      <c r="D1290" s="4">
        <v>740</v>
      </c>
      <c r="E1290" s="4">
        <v>1730</v>
      </c>
      <c r="F1290" s="4"/>
      <c r="G1290" s="4"/>
      <c r="H1290" s="4"/>
      <c r="I1290" s="4" t="s">
        <v>8</v>
      </c>
      <c r="J1290" s="4">
        <v>322</v>
      </c>
      <c r="K1290" s="4"/>
      <c r="L1290" s="4">
        <v>541</v>
      </c>
      <c r="M1290" s="4">
        <v>0.33</v>
      </c>
      <c r="N1290" s="4">
        <v>12.715</v>
      </c>
      <c r="O1290" s="4">
        <v>12.558999999999999</v>
      </c>
      <c r="P1290" s="5"/>
    </row>
    <row r="1291" spans="1:16" x14ac:dyDescent="0.25">
      <c r="A1291" s="3">
        <v>13.375</v>
      </c>
      <c r="B1291" s="4">
        <v>48</v>
      </c>
      <c r="C1291" s="4" t="s">
        <v>81</v>
      </c>
      <c r="D1291" s="4">
        <v>740</v>
      </c>
      <c r="E1291" s="4">
        <v>1730</v>
      </c>
      <c r="F1291" s="4"/>
      <c r="G1291" s="4"/>
      <c r="H1291" s="4"/>
      <c r="I1291" s="4" t="s">
        <v>13</v>
      </c>
      <c r="J1291" s="4">
        <v>607</v>
      </c>
      <c r="K1291" s="4"/>
      <c r="L1291" s="4">
        <v>541</v>
      </c>
      <c r="M1291" s="4">
        <v>0.33</v>
      </c>
      <c r="N1291" s="4">
        <v>12.715</v>
      </c>
      <c r="O1291" s="4">
        <v>12.558999999999999</v>
      </c>
      <c r="P1291" s="5"/>
    </row>
    <row r="1292" spans="1:16" x14ac:dyDescent="0.25">
      <c r="A1292" s="6">
        <v>13.375</v>
      </c>
      <c r="B1292" s="2">
        <v>54.5</v>
      </c>
      <c r="C1292" s="2" t="s">
        <v>66</v>
      </c>
      <c r="D1292" s="2">
        <v>1130</v>
      </c>
      <c r="E1292" s="2">
        <v>2730</v>
      </c>
      <c r="F1292" s="2"/>
      <c r="G1292" s="2"/>
      <c r="H1292" s="2"/>
      <c r="I1292" s="2" t="s">
        <v>8</v>
      </c>
      <c r="J1292" s="2">
        <v>514</v>
      </c>
      <c r="K1292" s="2"/>
      <c r="L1292" s="2">
        <v>853</v>
      </c>
      <c r="M1292" s="2">
        <v>0.38</v>
      </c>
      <c r="N1292" s="2">
        <v>12.615</v>
      </c>
      <c r="O1292" s="2">
        <v>12.459</v>
      </c>
      <c r="P1292" s="7"/>
    </row>
    <row r="1293" spans="1:16" x14ac:dyDescent="0.25">
      <c r="A1293" s="6">
        <v>13.375</v>
      </c>
      <c r="B1293" s="2">
        <v>54.5</v>
      </c>
      <c r="C1293" s="2" t="s">
        <v>66</v>
      </c>
      <c r="D1293" s="2">
        <v>1130</v>
      </c>
      <c r="E1293" s="2">
        <v>2730</v>
      </c>
      <c r="F1293" s="2"/>
      <c r="G1293" s="2"/>
      <c r="H1293" s="2"/>
      <c r="I1293" s="2" t="s">
        <v>13</v>
      </c>
      <c r="J1293" s="2">
        <v>909</v>
      </c>
      <c r="K1293" s="2"/>
      <c r="L1293" s="2">
        <v>853</v>
      </c>
      <c r="M1293" s="2">
        <v>0.38</v>
      </c>
      <c r="N1293" s="2">
        <v>12.615</v>
      </c>
      <c r="O1293" s="2">
        <v>12.459</v>
      </c>
      <c r="P1293" s="7"/>
    </row>
    <row r="1294" spans="1:16" x14ac:dyDescent="0.25">
      <c r="A1294" s="8">
        <v>13.375</v>
      </c>
      <c r="B1294" s="1">
        <v>54.5</v>
      </c>
      <c r="C1294" s="1" t="s">
        <v>110</v>
      </c>
      <c r="D1294" s="1">
        <v>1130</v>
      </c>
      <c r="E1294" s="1">
        <v>2730</v>
      </c>
      <c r="F1294" s="1"/>
      <c r="G1294" s="1"/>
      <c r="H1294" s="1"/>
      <c r="I1294" s="1" t="s">
        <v>8</v>
      </c>
      <c r="J1294" s="1">
        <v>547</v>
      </c>
      <c r="K1294" s="1"/>
      <c r="L1294" s="1">
        <v>853</v>
      </c>
      <c r="M1294" s="1">
        <v>0.38</v>
      </c>
      <c r="N1294" s="1">
        <v>12.615</v>
      </c>
      <c r="O1294" s="1">
        <v>12.459</v>
      </c>
      <c r="P1294" s="9"/>
    </row>
    <row r="1295" spans="1:16" x14ac:dyDescent="0.25">
      <c r="A1295" s="8">
        <v>13.375</v>
      </c>
      <c r="B1295" s="1">
        <v>54.5</v>
      </c>
      <c r="C1295" s="1" t="s">
        <v>110</v>
      </c>
      <c r="D1295" s="1">
        <v>1130</v>
      </c>
      <c r="E1295" s="1">
        <v>2730</v>
      </c>
      <c r="F1295" s="1"/>
      <c r="G1295" s="1"/>
      <c r="H1295" s="1"/>
      <c r="I1295" s="1" t="s">
        <v>13</v>
      </c>
      <c r="J1295" s="1">
        <v>1038</v>
      </c>
      <c r="K1295" s="1"/>
      <c r="L1295" s="1">
        <v>853</v>
      </c>
      <c r="M1295" s="1">
        <v>0.38</v>
      </c>
      <c r="N1295" s="1">
        <v>12.615</v>
      </c>
      <c r="O1295" s="1">
        <v>12.459</v>
      </c>
      <c r="P1295" s="9"/>
    </row>
    <row r="1296" spans="1:16" x14ac:dyDescent="0.25">
      <c r="A1296" s="6">
        <v>13.375</v>
      </c>
      <c r="B1296" s="2">
        <v>54.5</v>
      </c>
      <c r="C1296" s="2" t="s">
        <v>84</v>
      </c>
      <c r="D1296" s="2">
        <v>1400</v>
      </c>
      <c r="E1296" s="2">
        <v>2730</v>
      </c>
      <c r="F1296" s="2"/>
      <c r="G1296" s="2"/>
      <c r="H1296" s="2"/>
      <c r="I1296" s="2" t="s">
        <v>8</v>
      </c>
      <c r="J1296" s="2">
        <v>689</v>
      </c>
      <c r="K1296" s="2"/>
      <c r="L1296" s="2">
        <v>853</v>
      </c>
      <c r="M1296" s="2">
        <v>0.38</v>
      </c>
      <c r="N1296" s="2">
        <v>12.615</v>
      </c>
      <c r="O1296" s="2">
        <v>12.459</v>
      </c>
      <c r="P1296" s="7"/>
    </row>
    <row r="1297" spans="1:16" x14ac:dyDescent="0.25">
      <c r="A1297" s="6">
        <v>13.375</v>
      </c>
      <c r="B1297" s="2">
        <v>54.5</v>
      </c>
      <c r="C1297" s="2" t="s">
        <v>84</v>
      </c>
      <c r="D1297" s="2">
        <v>1400</v>
      </c>
      <c r="E1297" s="2">
        <v>2730</v>
      </c>
      <c r="F1297" s="2"/>
      <c r="G1297" s="2"/>
      <c r="H1297" s="2"/>
      <c r="I1297" s="2" t="s">
        <v>13</v>
      </c>
      <c r="J1297" s="2">
        <v>1194</v>
      </c>
      <c r="K1297" s="2"/>
      <c r="L1297" s="2">
        <v>853</v>
      </c>
      <c r="M1297" s="2">
        <v>0.38</v>
      </c>
      <c r="N1297" s="2">
        <v>12.615</v>
      </c>
      <c r="O1297" s="2">
        <v>12.459</v>
      </c>
      <c r="P1297" s="7"/>
    </row>
    <row r="1298" spans="1:16" x14ac:dyDescent="0.25">
      <c r="A1298" s="8">
        <v>13.375</v>
      </c>
      <c r="B1298" s="1">
        <v>61</v>
      </c>
      <c r="C1298" s="1" t="s">
        <v>66</v>
      </c>
      <c r="D1298" s="1">
        <v>1540</v>
      </c>
      <c r="E1298" s="1">
        <v>3090</v>
      </c>
      <c r="F1298" s="1"/>
      <c r="G1298" s="1"/>
      <c r="H1298" s="1"/>
      <c r="I1298" s="1" t="s">
        <v>8</v>
      </c>
      <c r="J1298" s="1">
        <v>595</v>
      </c>
      <c r="K1298" s="1"/>
      <c r="L1298" s="1">
        <v>962</v>
      </c>
      <c r="M1298" s="1">
        <v>0.43</v>
      </c>
      <c r="N1298" s="1">
        <v>12.515000000000001</v>
      </c>
      <c r="O1298" s="1">
        <v>12.359</v>
      </c>
      <c r="P1298" s="9"/>
    </row>
    <row r="1299" spans="1:16" x14ac:dyDescent="0.25">
      <c r="A1299" s="8">
        <v>13.375</v>
      </c>
      <c r="B1299" s="1">
        <v>61</v>
      </c>
      <c r="C1299" s="1" t="s">
        <v>66</v>
      </c>
      <c r="D1299" s="1">
        <v>1540</v>
      </c>
      <c r="E1299" s="1">
        <v>3090</v>
      </c>
      <c r="F1299" s="1"/>
      <c r="G1299" s="1"/>
      <c r="H1299" s="1"/>
      <c r="I1299" s="1" t="s">
        <v>13</v>
      </c>
      <c r="J1299" s="1">
        <v>1025</v>
      </c>
      <c r="K1299" s="1"/>
      <c r="L1299" s="1">
        <v>962</v>
      </c>
      <c r="M1299" s="1">
        <v>0.43</v>
      </c>
      <c r="N1299" s="1">
        <v>12.515000000000001</v>
      </c>
      <c r="O1299" s="1">
        <v>12.359</v>
      </c>
      <c r="P1299" s="9"/>
    </row>
    <row r="1300" spans="1:16" x14ac:dyDescent="0.25">
      <c r="A1300" s="6">
        <v>13.375</v>
      </c>
      <c r="B1300" s="2">
        <v>61</v>
      </c>
      <c r="C1300" s="2" t="s">
        <v>110</v>
      </c>
      <c r="D1300" s="2">
        <v>1540</v>
      </c>
      <c r="E1300" s="2">
        <v>3090</v>
      </c>
      <c r="F1300" s="2"/>
      <c r="G1300" s="2"/>
      <c r="H1300" s="2"/>
      <c r="I1300" s="2" t="s">
        <v>8</v>
      </c>
      <c r="J1300" s="2">
        <v>633</v>
      </c>
      <c r="K1300" s="2"/>
      <c r="L1300" s="2">
        <v>962</v>
      </c>
      <c r="M1300" s="2">
        <v>0.43</v>
      </c>
      <c r="N1300" s="2">
        <v>12.515000000000001</v>
      </c>
      <c r="O1300" s="2">
        <v>12.359</v>
      </c>
      <c r="P1300" s="7"/>
    </row>
    <row r="1301" spans="1:16" x14ac:dyDescent="0.25">
      <c r="A1301" s="6">
        <v>13.375</v>
      </c>
      <c r="B1301" s="2">
        <v>61</v>
      </c>
      <c r="C1301" s="2" t="s">
        <v>110</v>
      </c>
      <c r="D1301" s="2">
        <v>1540</v>
      </c>
      <c r="E1301" s="2">
        <v>3090</v>
      </c>
      <c r="F1301" s="2"/>
      <c r="G1301" s="2"/>
      <c r="H1301" s="2"/>
      <c r="I1301" s="2" t="s">
        <v>13</v>
      </c>
      <c r="J1301" s="2">
        <v>1169</v>
      </c>
      <c r="K1301" s="2"/>
      <c r="L1301" s="2">
        <v>962</v>
      </c>
      <c r="M1301" s="2">
        <v>0.43</v>
      </c>
      <c r="N1301" s="2">
        <v>12.515000000000001</v>
      </c>
      <c r="O1301" s="2">
        <v>12.359</v>
      </c>
      <c r="P1301" s="7"/>
    </row>
    <row r="1302" spans="1:16" x14ac:dyDescent="0.25">
      <c r="A1302" s="8">
        <v>13.375</v>
      </c>
      <c r="B1302" s="1">
        <v>61</v>
      </c>
      <c r="C1302" s="1" t="s">
        <v>84</v>
      </c>
      <c r="D1302" s="1">
        <v>2040</v>
      </c>
      <c r="E1302" s="1">
        <v>3090</v>
      </c>
      <c r="F1302" s="1"/>
      <c r="G1302" s="1"/>
      <c r="H1302" s="1"/>
      <c r="I1302" s="1" t="s">
        <v>8</v>
      </c>
      <c r="J1302" s="1">
        <v>798</v>
      </c>
      <c r="K1302" s="1"/>
      <c r="L1302" s="1">
        <v>962</v>
      </c>
      <c r="M1302" s="1">
        <v>0.43</v>
      </c>
      <c r="N1302" s="1">
        <v>12.515000000000001</v>
      </c>
      <c r="O1302" s="1">
        <v>12.359</v>
      </c>
      <c r="P1302" s="9"/>
    </row>
    <row r="1303" spans="1:16" x14ac:dyDescent="0.25">
      <c r="A1303" s="8">
        <v>13.375</v>
      </c>
      <c r="B1303" s="1">
        <v>61</v>
      </c>
      <c r="C1303" s="1" t="s">
        <v>84</v>
      </c>
      <c r="D1303" s="1">
        <v>2040</v>
      </c>
      <c r="E1303" s="1">
        <v>3090</v>
      </c>
      <c r="F1303" s="1"/>
      <c r="G1303" s="1"/>
      <c r="H1303" s="1"/>
      <c r="I1303" s="1" t="s">
        <v>13</v>
      </c>
      <c r="J1303" s="1">
        <v>1345</v>
      </c>
      <c r="K1303" s="1"/>
      <c r="L1303" s="1">
        <v>962</v>
      </c>
      <c r="M1303" s="1">
        <v>0.43</v>
      </c>
      <c r="N1303" s="1">
        <v>12.515000000000001</v>
      </c>
      <c r="O1303" s="1">
        <v>12.359</v>
      </c>
      <c r="P1303" s="9"/>
    </row>
    <row r="1304" spans="1:16" x14ac:dyDescent="0.25">
      <c r="A1304" s="6">
        <v>13.375</v>
      </c>
      <c r="B1304" s="2">
        <v>68</v>
      </c>
      <c r="C1304" s="2" t="s">
        <v>66</v>
      </c>
      <c r="D1304" s="2">
        <v>1950</v>
      </c>
      <c r="E1304" s="2">
        <v>3450</v>
      </c>
      <c r="F1304" s="2"/>
      <c r="G1304" s="2"/>
      <c r="H1304" s="2"/>
      <c r="I1304" s="2" t="s">
        <v>8</v>
      </c>
      <c r="J1304" s="2">
        <v>675</v>
      </c>
      <c r="K1304" s="2"/>
      <c r="L1304" s="2">
        <v>1069</v>
      </c>
      <c r="M1304" s="2">
        <v>0.48</v>
      </c>
      <c r="N1304" s="2">
        <v>12.414999999999999</v>
      </c>
      <c r="O1304" s="2">
        <v>12.259</v>
      </c>
      <c r="P1304" s="7"/>
    </row>
    <row r="1305" spans="1:16" x14ac:dyDescent="0.25">
      <c r="A1305" s="6">
        <v>13.375</v>
      </c>
      <c r="B1305" s="2">
        <v>68</v>
      </c>
      <c r="C1305" s="2" t="s">
        <v>66</v>
      </c>
      <c r="D1305" s="2">
        <v>1950</v>
      </c>
      <c r="E1305" s="2">
        <v>3450</v>
      </c>
      <c r="F1305" s="2"/>
      <c r="G1305" s="2"/>
      <c r="H1305" s="2"/>
      <c r="I1305" s="2" t="s">
        <v>13</v>
      </c>
      <c r="J1305" s="2">
        <v>1140</v>
      </c>
      <c r="K1305" s="2"/>
      <c r="L1305" s="2">
        <v>1069</v>
      </c>
      <c r="M1305" s="2">
        <v>0.48</v>
      </c>
      <c r="N1305" s="2">
        <v>12.414999999999999</v>
      </c>
      <c r="O1305" s="2">
        <v>12.259</v>
      </c>
      <c r="P1305" s="7"/>
    </row>
    <row r="1306" spans="1:16" x14ac:dyDescent="0.25">
      <c r="A1306" s="8">
        <v>13.375</v>
      </c>
      <c r="B1306" s="1">
        <v>68</v>
      </c>
      <c r="C1306" s="1" t="s">
        <v>110</v>
      </c>
      <c r="D1306" s="1">
        <v>1950</v>
      </c>
      <c r="E1306" s="1">
        <v>3450</v>
      </c>
      <c r="F1306" s="1"/>
      <c r="G1306" s="1"/>
      <c r="H1306" s="1"/>
      <c r="I1306" s="1" t="s">
        <v>8</v>
      </c>
      <c r="J1306" s="1">
        <v>718</v>
      </c>
      <c r="K1306" s="1"/>
      <c r="L1306" s="1">
        <v>1069</v>
      </c>
      <c r="M1306" s="1">
        <v>0.48</v>
      </c>
      <c r="N1306" s="1">
        <v>12.414999999999999</v>
      </c>
      <c r="O1306" s="1">
        <v>12.259</v>
      </c>
      <c r="P1306" s="9"/>
    </row>
    <row r="1307" spans="1:16" x14ac:dyDescent="0.25">
      <c r="A1307" s="8">
        <v>13.375</v>
      </c>
      <c r="B1307" s="1">
        <v>68</v>
      </c>
      <c r="C1307" s="1" t="s">
        <v>110</v>
      </c>
      <c r="D1307" s="1">
        <v>1950</v>
      </c>
      <c r="E1307" s="1">
        <v>3450</v>
      </c>
      <c r="F1307" s="1"/>
      <c r="G1307" s="1"/>
      <c r="H1307" s="1"/>
      <c r="I1307" s="1" t="s">
        <v>13</v>
      </c>
      <c r="J1307" s="1">
        <v>1300</v>
      </c>
      <c r="K1307" s="1"/>
      <c r="L1307" s="1">
        <v>1069</v>
      </c>
      <c r="M1307" s="1">
        <v>0.48</v>
      </c>
      <c r="N1307" s="1">
        <v>12.414999999999999</v>
      </c>
      <c r="O1307" s="1">
        <v>12.259</v>
      </c>
      <c r="P1307" s="9"/>
    </row>
    <row r="1308" spans="1:16" x14ac:dyDescent="0.25">
      <c r="A1308" s="6">
        <v>13.375</v>
      </c>
      <c r="B1308" s="2">
        <v>68</v>
      </c>
      <c r="C1308" s="2" t="s">
        <v>84</v>
      </c>
      <c r="D1308" s="2">
        <v>2850</v>
      </c>
      <c r="E1308" s="2">
        <v>3450</v>
      </c>
      <c r="F1308" s="2"/>
      <c r="G1308" s="2"/>
      <c r="H1308" s="2"/>
      <c r="I1308" s="2" t="s">
        <v>8</v>
      </c>
      <c r="J1308" s="2">
        <v>905</v>
      </c>
      <c r="K1308" s="2"/>
      <c r="L1308" s="2">
        <v>1069</v>
      </c>
      <c r="M1308" s="2">
        <v>0.48</v>
      </c>
      <c r="N1308" s="2">
        <v>12.414999999999999</v>
      </c>
      <c r="O1308" s="2">
        <v>12.259</v>
      </c>
      <c r="P1308" s="7"/>
    </row>
    <row r="1309" spans="1:16" x14ac:dyDescent="0.25">
      <c r="A1309" s="6">
        <v>13.375</v>
      </c>
      <c r="B1309" s="2">
        <v>68</v>
      </c>
      <c r="C1309" s="2" t="s">
        <v>84</v>
      </c>
      <c r="D1309" s="2">
        <v>2850</v>
      </c>
      <c r="E1309" s="2">
        <v>3450</v>
      </c>
      <c r="F1309" s="2"/>
      <c r="G1309" s="2"/>
      <c r="H1309" s="2"/>
      <c r="I1309" s="2" t="s">
        <v>13</v>
      </c>
      <c r="J1309" s="2">
        <v>1496</v>
      </c>
      <c r="K1309" s="2"/>
      <c r="L1309" s="2">
        <v>1069</v>
      </c>
      <c r="M1309" s="2">
        <v>0.48</v>
      </c>
      <c r="N1309" s="2">
        <v>12.414999999999999</v>
      </c>
      <c r="O1309" s="2">
        <v>12.259</v>
      </c>
      <c r="P1309" s="7"/>
    </row>
    <row r="1310" spans="1:16" x14ac:dyDescent="0.25">
      <c r="A1310" s="8">
        <v>13.375</v>
      </c>
      <c r="B1310" s="1">
        <v>68</v>
      </c>
      <c r="C1310" s="1" t="s">
        <v>111</v>
      </c>
      <c r="D1310" s="1">
        <v>2260</v>
      </c>
      <c r="E1310" s="1">
        <v>5020</v>
      </c>
      <c r="F1310" s="1"/>
      <c r="G1310" s="1"/>
      <c r="H1310" s="1"/>
      <c r="I1310" s="1" t="s">
        <v>8</v>
      </c>
      <c r="J1310" s="1">
        <v>952</v>
      </c>
      <c r="K1310" s="1"/>
      <c r="L1310" s="1">
        <v>1556</v>
      </c>
      <c r="M1310" s="1">
        <v>0.48</v>
      </c>
      <c r="N1310" s="1">
        <v>12.414999999999999</v>
      </c>
      <c r="O1310" s="1">
        <v>12.259</v>
      </c>
      <c r="P1310" s="9"/>
    </row>
    <row r="1311" spans="1:16" x14ac:dyDescent="0.25">
      <c r="A1311" s="8">
        <v>13.375</v>
      </c>
      <c r="B1311" s="1">
        <v>68</v>
      </c>
      <c r="C1311" s="1" t="s">
        <v>111</v>
      </c>
      <c r="D1311" s="1">
        <v>2260</v>
      </c>
      <c r="E1311" s="1">
        <v>5020</v>
      </c>
      <c r="F1311" s="1"/>
      <c r="G1311" s="1"/>
      <c r="H1311" s="1"/>
      <c r="I1311" s="1" t="s">
        <v>13</v>
      </c>
      <c r="J1311" s="1">
        <v>1545</v>
      </c>
      <c r="K1311" s="1"/>
      <c r="L1311" s="1">
        <v>1556</v>
      </c>
      <c r="M1311" s="1">
        <v>0.48</v>
      </c>
      <c r="N1311" s="1">
        <v>12.414999999999999</v>
      </c>
      <c r="O1311" s="1">
        <v>12.259</v>
      </c>
      <c r="P1311" s="9"/>
    </row>
    <row r="1312" spans="1:16" x14ac:dyDescent="0.25">
      <c r="A1312" s="6">
        <v>13.375</v>
      </c>
      <c r="B1312" s="2">
        <v>68</v>
      </c>
      <c r="C1312" s="2" t="s">
        <v>88</v>
      </c>
      <c r="D1312" s="2">
        <v>2910</v>
      </c>
      <c r="E1312" s="2">
        <v>5020</v>
      </c>
      <c r="F1312" s="2"/>
      <c r="G1312" s="2"/>
      <c r="H1312" s="2"/>
      <c r="I1312" s="2" t="s">
        <v>8</v>
      </c>
      <c r="J1312" s="2">
        <v>1093</v>
      </c>
      <c r="K1312" s="2"/>
      <c r="L1312" s="2">
        <v>1556</v>
      </c>
      <c r="M1312" s="2">
        <v>0.48</v>
      </c>
      <c r="N1312" s="2">
        <v>12.414999999999999</v>
      </c>
      <c r="O1312" s="2">
        <v>12.259</v>
      </c>
      <c r="P1312" s="7"/>
    </row>
    <row r="1313" spans="1:16" x14ac:dyDescent="0.25">
      <c r="A1313" s="6">
        <v>13.375</v>
      </c>
      <c r="B1313" s="2">
        <v>68</v>
      </c>
      <c r="C1313" s="2" t="s">
        <v>88</v>
      </c>
      <c r="D1313" s="2">
        <v>2910</v>
      </c>
      <c r="E1313" s="2">
        <v>5020</v>
      </c>
      <c r="F1313" s="2"/>
      <c r="G1313" s="2"/>
      <c r="H1313" s="2"/>
      <c r="I1313" s="2" t="s">
        <v>13</v>
      </c>
      <c r="J1313" s="2">
        <v>1732</v>
      </c>
      <c r="K1313" s="2"/>
      <c r="L1313" s="2">
        <v>1556</v>
      </c>
      <c r="M1313" s="2">
        <v>0.48</v>
      </c>
      <c r="N1313" s="2">
        <v>12.414999999999999</v>
      </c>
      <c r="O1313" s="2">
        <v>12.259</v>
      </c>
      <c r="P1313" s="7"/>
    </row>
    <row r="1314" spans="1:16" x14ac:dyDescent="0.25">
      <c r="A1314" s="8">
        <v>13.375</v>
      </c>
      <c r="B1314" s="1">
        <v>68</v>
      </c>
      <c r="C1314" s="1" t="s">
        <v>112</v>
      </c>
      <c r="D1314" s="1">
        <v>2260</v>
      </c>
      <c r="E1314" s="1">
        <v>5020</v>
      </c>
      <c r="F1314" s="1"/>
      <c r="G1314" s="1"/>
      <c r="H1314" s="1"/>
      <c r="I1314" s="1" t="s">
        <v>8</v>
      </c>
      <c r="J1314" s="1">
        <v>963</v>
      </c>
      <c r="K1314" s="1"/>
      <c r="L1314" s="1">
        <v>1556</v>
      </c>
      <c r="M1314" s="1">
        <v>0.48</v>
      </c>
      <c r="N1314" s="1">
        <v>12.414999999999999</v>
      </c>
      <c r="O1314" s="1">
        <v>12.259</v>
      </c>
      <c r="P1314" s="9"/>
    </row>
    <row r="1315" spans="1:16" x14ac:dyDescent="0.25">
      <c r="A1315" s="8">
        <v>13.375</v>
      </c>
      <c r="B1315" s="1">
        <v>68</v>
      </c>
      <c r="C1315" s="1" t="s">
        <v>112</v>
      </c>
      <c r="D1315" s="1">
        <v>2260</v>
      </c>
      <c r="E1315" s="1">
        <v>5020</v>
      </c>
      <c r="F1315" s="1"/>
      <c r="G1315" s="1"/>
      <c r="H1315" s="1"/>
      <c r="I1315" s="1" t="s">
        <v>13</v>
      </c>
      <c r="J1315" s="1">
        <v>1585</v>
      </c>
      <c r="K1315" s="1"/>
      <c r="L1315" s="1">
        <v>1556</v>
      </c>
      <c r="M1315" s="1">
        <v>0.48</v>
      </c>
      <c r="N1315" s="1">
        <v>12.414999999999999</v>
      </c>
      <c r="O1315" s="1">
        <v>12.259</v>
      </c>
      <c r="P1315" s="9"/>
    </row>
    <row r="1316" spans="1:16" x14ac:dyDescent="0.25">
      <c r="A1316" s="6">
        <v>13.375</v>
      </c>
      <c r="B1316" s="2">
        <v>68</v>
      </c>
      <c r="C1316" s="2" t="s">
        <v>93</v>
      </c>
      <c r="D1316" s="2">
        <v>2910</v>
      </c>
      <c r="E1316" s="2">
        <v>5020</v>
      </c>
      <c r="F1316" s="2"/>
      <c r="G1316" s="2"/>
      <c r="H1316" s="2"/>
      <c r="I1316" s="2" t="s">
        <v>8</v>
      </c>
      <c r="J1316" s="2">
        <v>1103</v>
      </c>
      <c r="K1316" s="2"/>
      <c r="L1316" s="2">
        <v>1556</v>
      </c>
      <c r="M1316" s="2">
        <v>0.48</v>
      </c>
      <c r="N1316" s="2">
        <v>12.414999999999999</v>
      </c>
      <c r="O1316" s="2">
        <v>12.259</v>
      </c>
      <c r="P1316" s="7"/>
    </row>
    <row r="1317" spans="1:16" x14ac:dyDescent="0.25">
      <c r="A1317" s="6">
        <v>13.375</v>
      </c>
      <c r="B1317" s="2">
        <v>68</v>
      </c>
      <c r="C1317" s="2" t="s">
        <v>93</v>
      </c>
      <c r="D1317" s="2">
        <v>2910</v>
      </c>
      <c r="E1317" s="2">
        <v>5020</v>
      </c>
      <c r="F1317" s="2"/>
      <c r="G1317" s="2"/>
      <c r="H1317" s="2"/>
      <c r="I1317" s="2" t="s">
        <v>13</v>
      </c>
      <c r="J1317" s="2">
        <v>1732</v>
      </c>
      <c r="K1317" s="2"/>
      <c r="L1317" s="2">
        <v>1556</v>
      </c>
      <c r="M1317" s="2">
        <v>0.48</v>
      </c>
      <c r="N1317" s="2">
        <v>12.414999999999999</v>
      </c>
      <c r="O1317" s="2">
        <v>12.259</v>
      </c>
      <c r="P1317" s="7"/>
    </row>
    <row r="1318" spans="1:16" x14ac:dyDescent="0.25">
      <c r="A1318" s="8">
        <v>13.375</v>
      </c>
      <c r="B1318" s="1">
        <v>68</v>
      </c>
      <c r="C1318" s="1" t="s">
        <v>68</v>
      </c>
      <c r="D1318" s="1">
        <v>2320</v>
      </c>
      <c r="E1318" s="1">
        <v>5650</v>
      </c>
      <c r="F1318" s="1"/>
      <c r="G1318" s="1"/>
      <c r="H1318" s="1"/>
      <c r="I1318" s="1" t="s">
        <v>8</v>
      </c>
      <c r="J1318" s="1">
        <v>1057</v>
      </c>
      <c r="K1318" s="1"/>
      <c r="L1318" s="1">
        <v>1750</v>
      </c>
      <c r="M1318" s="1">
        <v>0.48</v>
      </c>
      <c r="N1318" s="1">
        <v>12.414999999999999</v>
      </c>
      <c r="O1318" s="1">
        <v>12.259</v>
      </c>
      <c r="P1318" s="9"/>
    </row>
    <row r="1319" spans="1:16" x14ac:dyDescent="0.25">
      <c r="A1319" s="8">
        <v>13.375</v>
      </c>
      <c r="B1319" s="1">
        <v>68</v>
      </c>
      <c r="C1319" s="1" t="s">
        <v>68</v>
      </c>
      <c r="D1319" s="1">
        <v>2320</v>
      </c>
      <c r="E1319" s="1">
        <v>5650</v>
      </c>
      <c r="F1319" s="1"/>
      <c r="G1319" s="1"/>
      <c r="H1319" s="1"/>
      <c r="I1319" s="1" t="s">
        <v>13</v>
      </c>
      <c r="J1319" s="1">
        <v>1683</v>
      </c>
      <c r="K1319" s="1"/>
      <c r="L1319" s="1">
        <v>1750</v>
      </c>
      <c r="M1319" s="1">
        <v>0.48</v>
      </c>
      <c r="N1319" s="1">
        <v>12.414999999999999</v>
      </c>
      <c r="O1319" s="1">
        <v>12.259</v>
      </c>
      <c r="P1319" s="9"/>
    </row>
    <row r="1320" spans="1:16" x14ac:dyDescent="0.25">
      <c r="A1320" s="6">
        <v>13.375</v>
      </c>
      <c r="B1320" s="2">
        <v>68</v>
      </c>
      <c r="C1320" s="2" t="s">
        <v>115</v>
      </c>
      <c r="D1320" s="2">
        <v>2910</v>
      </c>
      <c r="E1320" s="2">
        <v>5970</v>
      </c>
      <c r="F1320" s="2"/>
      <c r="G1320" s="2"/>
      <c r="H1320" s="2"/>
      <c r="I1320" s="2" t="s">
        <v>8</v>
      </c>
      <c r="J1320" s="2">
        <v>1125</v>
      </c>
      <c r="K1320" s="2"/>
      <c r="L1320" s="2">
        <v>1847</v>
      </c>
      <c r="M1320" s="2">
        <v>0.48</v>
      </c>
      <c r="N1320" s="2">
        <v>12.414999999999999</v>
      </c>
      <c r="O1320" s="2">
        <v>12.259</v>
      </c>
      <c r="P1320" s="7"/>
    </row>
    <row r="1321" spans="1:16" x14ac:dyDescent="0.25">
      <c r="A1321" s="6">
        <v>13.375</v>
      </c>
      <c r="B1321" s="2">
        <v>68</v>
      </c>
      <c r="C1321" s="2" t="s">
        <v>115</v>
      </c>
      <c r="D1321" s="2">
        <v>2910</v>
      </c>
      <c r="E1321" s="2">
        <v>5970</v>
      </c>
      <c r="F1321" s="2"/>
      <c r="G1321" s="2"/>
      <c r="H1321" s="2"/>
      <c r="I1321" s="2" t="s">
        <v>13</v>
      </c>
      <c r="J1321" s="2">
        <v>1812</v>
      </c>
      <c r="K1321" s="2"/>
      <c r="L1321" s="2">
        <v>1847</v>
      </c>
      <c r="M1321" s="2">
        <v>0.48</v>
      </c>
      <c r="N1321" s="2">
        <v>12.414999999999999</v>
      </c>
      <c r="O1321" s="2">
        <v>12.259</v>
      </c>
      <c r="P1321" s="7"/>
    </row>
    <row r="1322" spans="1:16" x14ac:dyDescent="0.25">
      <c r="A1322" s="8">
        <v>13.375</v>
      </c>
      <c r="B1322" s="1">
        <v>68</v>
      </c>
      <c r="C1322" s="1" t="s">
        <v>116</v>
      </c>
      <c r="D1322" s="1">
        <v>2330</v>
      </c>
      <c r="E1322" s="1">
        <v>5970</v>
      </c>
      <c r="F1322" s="1"/>
      <c r="G1322" s="1"/>
      <c r="H1322" s="1"/>
      <c r="I1322" s="1" t="s">
        <v>8</v>
      </c>
      <c r="J1322" s="1">
        <v>1114</v>
      </c>
      <c r="K1322" s="1"/>
      <c r="L1322" s="1">
        <v>1847</v>
      </c>
      <c r="M1322" s="1">
        <v>0.48</v>
      </c>
      <c r="N1322" s="1">
        <v>12.414999999999999</v>
      </c>
      <c r="O1322" s="1">
        <v>12.259</v>
      </c>
      <c r="P1322" s="9"/>
    </row>
    <row r="1323" spans="1:16" x14ac:dyDescent="0.25">
      <c r="A1323" s="8">
        <v>13.375</v>
      </c>
      <c r="B1323" s="1">
        <v>68</v>
      </c>
      <c r="C1323" s="1" t="s">
        <v>116</v>
      </c>
      <c r="D1323" s="1">
        <v>2330</v>
      </c>
      <c r="E1323" s="1">
        <v>5970</v>
      </c>
      <c r="F1323" s="1"/>
      <c r="G1323" s="1"/>
      <c r="H1323" s="1"/>
      <c r="I1323" s="1" t="s">
        <v>13</v>
      </c>
      <c r="J1323" s="1">
        <v>1772</v>
      </c>
      <c r="K1323" s="1"/>
      <c r="L1323" s="1">
        <v>1847</v>
      </c>
      <c r="M1323" s="1">
        <v>0.48</v>
      </c>
      <c r="N1323" s="1">
        <v>12.414999999999999</v>
      </c>
      <c r="O1323" s="1">
        <v>12.259</v>
      </c>
      <c r="P1323" s="9"/>
    </row>
    <row r="1324" spans="1:16" x14ac:dyDescent="0.25">
      <c r="A1324" s="6">
        <v>13.375</v>
      </c>
      <c r="B1324" s="2">
        <v>68</v>
      </c>
      <c r="C1324" s="2" t="s">
        <v>74</v>
      </c>
      <c r="D1324" s="2">
        <v>2330</v>
      </c>
      <c r="E1324" s="2">
        <v>5970</v>
      </c>
      <c r="F1324" s="2"/>
      <c r="G1324" s="2"/>
      <c r="H1324" s="2"/>
      <c r="I1324" s="2" t="s">
        <v>8</v>
      </c>
      <c r="J1324" s="2">
        <v>1114</v>
      </c>
      <c r="K1324" s="2"/>
      <c r="L1324" s="2">
        <v>1847</v>
      </c>
      <c r="M1324" s="2">
        <v>0.48</v>
      </c>
      <c r="N1324" s="2">
        <v>12.414999999999999</v>
      </c>
      <c r="O1324" s="2">
        <v>12.259</v>
      </c>
      <c r="P1324" s="7"/>
    </row>
    <row r="1325" spans="1:16" x14ac:dyDescent="0.25">
      <c r="A1325" s="6">
        <v>13.375</v>
      </c>
      <c r="B1325" s="2">
        <v>68</v>
      </c>
      <c r="C1325" s="2" t="s">
        <v>74</v>
      </c>
      <c r="D1325" s="2">
        <v>2330</v>
      </c>
      <c r="E1325" s="2">
        <v>5970</v>
      </c>
      <c r="F1325" s="2"/>
      <c r="G1325" s="2"/>
      <c r="H1325" s="2"/>
      <c r="I1325" s="2" t="s">
        <v>13</v>
      </c>
      <c r="J1325" s="2">
        <v>1772</v>
      </c>
      <c r="K1325" s="2"/>
      <c r="L1325" s="2">
        <v>1847</v>
      </c>
      <c r="M1325" s="2">
        <v>0.48</v>
      </c>
      <c r="N1325" s="2">
        <v>12.414999999999999</v>
      </c>
      <c r="O1325" s="2">
        <v>12.259</v>
      </c>
      <c r="P1325" s="7"/>
    </row>
    <row r="1326" spans="1:16" x14ac:dyDescent="0.25">
      <c r="A1326" s="8">
        <v>13.375</v>
      </c>
      <c r="B1326" s="1">
        <v>68</v>
      </c>
      <c r="C1326" s="1" t="s">
        <v>97</v>
      </c>
      <c r="D1326" s="1">
        <v>2910</v>
      </c>
      <c r="E1326" s="1">
        <v>6910</v>
      </c>
      <c r="F1326" s="1"/>
      <c r="G1326" s="1"/>
      <c r="H1326" s="1"/>
      <c r="I1326" s="1" t="s">
        <v>8</v>
      </c>
      <c r="J1326" s="1">
        <v>1297</v>
      </c>
      <c r="K1326" s="1"/>
      <c r="L1326" s="1">
        <v>2139</v>
      </c>
      <c r="M1326" s="1">
        <v>0.48</v>
      </c>
      <c r="N1326" s="1">
        <v>12.414999999999999</v>
      </c>
      <c r="O1326" s="1">
        <v>12.259</v>
      </c>
      <c r="P1326" s="9"/>
    </row>
    <row r="1327" spans="1:16" x14ac:dyDescent="0.25">
      <c r="A1327" s="8">
        <v>13.375</v>
      </c>
      <c r="B1327" s="1">
        <v>68</v>
      </c>
      <c r="C1327" s="1" t="s">
        <v>97</v>
      </c>
      <c r="D1327" s="1">
        <v>2910</v>
      </c>
      <c r="E1327" s="1">
        <v>6910</v>
      </c>
      <c r="F1327" s="1"/>
      <c r="G1327" s="1"/>
      <c r="H1327" s="1"/>
      <c r="I1327" s="1" t="s">
        <v>13</v>
      </c>
      <c r="J1327" s="1">
        <v>2079</v>
      </c>
      <c r="K1327" s="1"/>
      <c r="L1327" s="1">
        <v>2139</v>
      </c>
      <c r="M1327" s="1">
        <v>0.48</v>
      </c>
      <c r="N1327" s="1">
        <v>12.414999999999999</v>
      </c>
      <c r="O1327" s="1">
        <v>12.259</v>
      </c>
      <c r="P1327" s="9"/>
    </row>
    <row r="1328" spans="1:16" x14ac:dyDescent="0.25">
      <c r="A1328" s="6">
        <v>13.375</v>
      </c>
      <c r="B1328" s="2">
        <v>68</v>
      </c>
      <c r="C1328" s="2" t="s">
        <v>113</v>
      </c>
      <c r="D1328" s="2">
        <v>2340</v>
      </c>
      <c r="E1328" s="2">
        <v>6910</v>
      </c>
      <c r="F1328" s="2"/>
      <c r="G1328" s="2"/>
      <c r="H1328" s="2"/>
      <c r="I1328" s="2" t="s">
        <v>8</v>
      </c>
      <c r="J1328" s="2">
        <v>1297</v>
      </c>
      <c r="K1328" s="2"/>
      <c r="L1328" s="2">
        <v>2139</v>
      </c>
      <c r="M1328" s="2">
        <v>0.48</v>
      </c>
      <c r="N1328" s="2">
        <v>12.414999999999999</v>
      </c>
      <c r="O1328" s="2">
        <v>12.259</v>
      </c>
      <c r="P1328" s="7"/>
    </row>
    <row r="1329" spans="1:16" x14ac:dyDescent="0.25">
      <c r="A1329" s="6">
        <v>13.375</v>
      </c>
      <c r="B1329" s="2">
        <v>68</v>
      </c>
      <c r="C1329" s="2" t="s">
        <v>113</v>
      </c>
      <c r="D1329" s="2">
        <v>2340</v>
      </c>
      <c r="E1329" s="2">
        <v>6910</v>
      </c>
      <c r="F1329" s="2"/>
      <c r="G1329" s="2"/>
      <c r="H1329" s="2"/>
      <c r="I1329" s="2" t="s">
        <v>13</v>
      </c>
      <c r="J1329" s="2">
        <v>2079</v>
      </c>
      <c r="K1329" s="2"/>
      <c r="L1329" s="2">
        <v>2139</v>
      </c>
      <c r="M1329" s="2">
        <v>0.48</v>
      </c>
      <c r="N1329" s="2">
        <v>12.414999999999999</v>
      </c>
      <c r="O1329" s="2">
        <v>12.259</v>
      </c>
      <c r="P1329" s="7"/>
    </row>
    <row r="1330" spans="1:16" x14ac:dyDescent="0.25">
      <c r="A1330" s="8">
        <v>13.375</v>
      </c>
      <c r="B1330" s="1">
        <v>72</v>
      </c>
      <c r="C1330" s="1" t="s">
        <v>111</v>
      </c>
      <c r="D1330" s="1">
        <v>2670</v>
      </c>
      <c r="E1330" s="1">
        <v>5380</v>
      </c>
      <c r="F1330" s="1"/>
      <c r="G1330" s="1"/>
      <c r="H1330" s="1"/>
      <c r="I1330" s="1" t="s">
        <v>8</v>
      </c>
      <c r="J1330" s="1">
        <v>1029</v>
      </c>
      <c r="K1330" s="1"/>
      <c r="L1330" s="1">
        <v>1661</v>
      </c>
      <c r="M1330" s="1">
        <v>0.51400000000000001</v>
      </c>
      <c r="N1330" s="1">
        <v>12.347</v>
      </c>
      <c r="O1330" s="1">
        <v>12.191000000000001</v>
      </c>
      <c r="P1330" s="9">
        <v>12.25</v>
      </c>
    </row>
    <row r="1331" spans="1:16" x14ac:dyDescent="0.25">
      <c r="A1331" s="8">
        <v>13.375</v>
      </c>
      <c r="B1331" s="1">
        <v>72</v>
      </c>
      <c r="C1331" s="1" t="s">
        <v>111</v>
      </c>
      <c r="D1331" s="1">
        <v>2670</v>
      </c>
      <c r="E1331" s="1">
        <v>5380</v>
      </c>
      <c r="F1331" s="1"/>
      <c r="G1331" s="1"/>
      <c r="H1331" s="1"/>
      <c r="I1331" s="1" t="s">
        <v>13</v>
      </c>
      <c r="J1331" s="1">
        <v>1650</v>
      </c>
      <c r="K1331" s="1"/>
      <c r="L1331" s="1">
        <v>1661</v>
      </c>
      <c r="M1331" s="1">
        <v>0.51400000000000001</v>
      </c>
      <c r="N1331" s="1">
        <v>12.347</v>
      </c>
      <c r="O1331" s="1">
        <v>12.191000000000001</v>
      </c>
      <c r="P1331" s="9">
        <v>12.25</v>
      </c>
    </row>
    <row r="1332" spans="1:16" x14ac:dyDescent="0.25">
      <c r="A1332" s="6">
        <v>13.375</v>
      </c>
      <c r="B1332" s="2">
        <v>72</v>
      </c>
      <c r="C1332" s="2" t="s">
        <v>88</v>
      </c>
      <c r="D1332" s="2">
        <v>3470</v>
      </c>
      <c r="E1332" s="2">
        <v>5380</v>
      </c>
      <c r="F1332" s="2"/>
      <c r="G1332" s="2"/>
      <c r="H1332" s="2"/>
      <c r="I1332" s="2" t="s">
        <v>8</v>
      </c>
      <c r="J1332" s="2">
        <v>1181</v>
      </c>
      <c r="K1332" s="2"/>
      <c r="L1332" s="2">
        <v>1661</v>
      </c>
      <c r="M1332" s="2">
        <v>0.51400000000000001</v>
      </c>
      <c r="N1332" s="2">
        <v>12.347</v>
      </c>
      <c r="O1332" s="2">
        <v>12.191000000000001</v>
      </c>
      <c r="P1332" s="7">
        <v>12.25</v>
      </c>
    </row>
    <row r="1333" spans="1:16" x14ac:dyDescent="0.25">
      <c r="A1333" s="6">
        <v>13.375</v>
      </c>
      <c r="B1333" s="2">
        <v>72</v>
      </c>
      <c r="C1333" s="2" t="s">
        <v>88</v>
      </c>
      <c r="D1333" s="2">
        <v>3470</v>
      </c>
      <c r="E1333" s="2">
        <v>5380</v>
      </c>
      <c r="F1333" s="2"/>
      <c r="G1333" s="2"/>
      <c r="H1333" s="2"/>
      <c r="I1333" s="2" t="s">
        <v>13</v>
      </c>
      <c r="J1333" s="2">
        <v>1850</v>
      </c>
      <c r="K1333" s="2"/>
      <c r="L1333" s="2">
        <v>1661</v>
      </c>
      <c r="M1333" s="2">
        <v>0.51400000000000001</v>
      </c>
      <c r="N1333" s="2">
        <v>12.347</v>
      </c>
      <c r="O1333" s="2">
        <v>12.191000000000001</v>
      </c>
      <c r="P1333" s="7">
        <v>12.25</v>
      </c>
    </row>
    <row r="1334" spans="1:16" x14ac:dyDescent="0.25">
      <c r="A1334" s="8">
        <v>13.375</v>
      </c>
      <c r="B1334" s="1">
        <v>72</v>
      </c>
      <c r="C1334" s="1" t="s">
        <v>112</v>
      </c>
      <c r="D1334" s="1">
        <v>2670</v>
      </c>
      <c r="E1334" s="1">
        <v>5380</v>
      </c>
      <c r="F1334" s="1"/>
      <c r="G1334" s="1"/>
      <c r="H1334" s="1"/>
      <c r="I1334" s="1" t="s">
        <v>8</v>
      </c>
      <c r="J1334" s="1">
        <v>1040</v>
      </c>
      <c r="K1334" s="1"/>
      <c r="L1334" s="1">
        <v>1661</v>
      </c>
      <c r="M1334" s="1">
        <v>0.51400000000000001</v>
      </c>
      <c r="N1334" s="1">
        <v>12.347</v>
      </c>
      <c r="O1334" s="1">
        <v>12.191000000000001</v>
      </c>
      <c r="P1334" s="9">
        <v>12.25</v>
      </c>
    </row>
    <row r="1335" spans="1:16" x14ac:dyDescent="0.25">
      <c r="A1335" s="8">
        <v>13.375</v>
      </c>
      <c r="B1335" s="1">
        <v>72</v>
      </c>
      <c r="C1335" s="1" t="s">
        <v>112</v>
      </c>
      <c r="D1335" s="1">
        <v>2670</v>
      </c>
      <c r="E1335" s="1">
        <v>5380</v>
      </c>
      <c r="F1335" s="1"/>
      <c r="G1335" s="1"/>
      <c r="H1335" s="1"/>
      <c r="I1335" s="1" t="s">
        <v>13</v>
      </c>
      <c r="J1335" s="1">
        <v>1693</v>
      </c>
      <c r="K1335" s="1"/>
      <c r="L1335" s="1">
        <v>1661</v>
      </c>
      <c r="M1335" s="1">
        <v>0.51400000000000001</v>
      </c>
      <c r="N1335" s="1">
        <v>12.347</v>
      </c>
      <c r="O1335" s="1">
        <v>12.191000000000001</v>
      </c>
      <c r="P1335" s="9">
        <v>12.25</v>
      </c>
    </row>
    <row r="1336" spans="1:16" x14ac:dyDescent="0.25">
      <c r="A1336" s="6">
        <v>13.375</v>
      </c>
      <c r="B1336" s="2">
        <v>72</v>
      </c>
      <c r="C1336" s="2" t="s">
        <v>93</v>
      </c>
      <c r="D1336" s="2">
        <v>3470</v>
      </c>
      <c r="E1336" s="2">
        <v>5380</v>
      </c>
      <c r="F1336" s="2"/>
      <c r="G1336" s="2"/>
      <c r="H1336" s="2"/>
      <c r="I1336" s="2" t="s">
        <v>8</v>
      </c>
      <c r="J1336" s="2">
        <v>1192</v>
      </c>
      <c r="K1336" s="2"/>
      <c r="L1336" s="2">
        <v>1661</v>
      </c>
      <c r="M1336" s="2">
        <v>0.51400000000000001</v>
      </c>
      <c r="N1336" s="2">
        <v>12.347</v>
      </c>
      <c r="O1336" s="2">
        <v>12.191000000000001</v>
      </c>
      <c r="P1336" s="7">
        <v>12.25</v>
      </c>
    </row>
    <row r="1337" spans="1:16" x14ac:dyDescent="0.25">
      <c r="A1337" s="6">
        <v>13.375</v>
      </c>
      <c r="B1337" s="2">
        <v>72</v>
      </c>
      <c r="C1337" s="2" t="s">
        <v>93</v>
      </c>
      <c r="D1337" s="2">
        <v>3470</v>
      </c>
      <c r="E1337" s="2">
        <v>5380</v>
      </c>
      <c r="F1337" s="2"/>
      <c r="G1337" s="2"/>
      <c r="H1337" s="2"/>
      <c r="I1337" s="2" t="s">
        <v>13</v>
      </c>
      <c r="J1337" s="2">
        <v>1850</v>
      </c>
      <c r="K1337" s="2"/>
      <c r="L1337" s="2">
        <v>1661</v>
      </c>
      <c r="M1337" s="2">
        <v>0.51400000000000001</v>
      </c>
      <c r="N1337" s="2">
        <v>12.347</v>
      </c>
      <c r="O1337" s="2">
        <v>12.191000000000001</v>
      </c>
      <c r="P1337" s="7">
        <v>12.25</v>
      </c>
    </row>
    <row r="1338" spans="1:16" x14ac:dyDescent="0.25">
      <c r="A1338" s="8">
        <v>13.375</v>
      </c>
      <c r="B1338" s="1">
        <v>72</v>
      </c>
      <c r="C1338" s="1" t="s">
        <v>68</v>
      </c>
      <c r="D1338" s="1">
        <v>2780</v>
      </c>
      <c r="E1338" s="1">
        <v>6050</v>
      </c>
      <c r="F1338" s="1"/>
      <c r="G1338" s="1"/>
      <c r="H1338" s="1"/>
      <c r="I1338" s="1" t="s">
        <v>8</v>
      </c>
      <c r="J1338" s="1">
        <v>1142</v>
      </c>
      <c r="K1338" s="1"/>
      <c r="L1338" s="1">
        <v>1869</v>
      </c>
      <c r="M1338" s="1">
        <v>0.51400000000000001</v>
      </c>
      <c r="N1338" s="1">
        <v>12.347</v>
      </c>
      <c r="O1338" s="1">
        <v>12.191000000000001</v>
      </c>
      <c r="P1338" s="9">
        <v>12.25</v>
      </c>
    </row>
    <row r="1339" spans="1:16" x14ac:dyDescent="0.25">
      <c r="A1339" s="8">
        <v>13.375</v>
      </c>
      <c r="B1339" s="1">
        <v>72</v>
      </c>
      <c r="C1339" s="1" t="s">
        <v>68</v>
      </c>
      <c r="D1339" s="1">
        <v>2780</v>
      </c>
      <c r="E1339" s="1">
        <v>6050</v>
      </c>
      <c r="F1339" s="1"/>
      <c r="G1339" s="1"/>
      <c r="H1339" s="1"/>
      <c r="I1339" s="1" t="s">
        <v>13</v>
      </c>
      <c r="J1339" s="1">
        <v>1798</v>
      </c>
      <c r="K1339" s="1"/>
      <c r="L1339" s="1">
        <v>1869</v>
      </c>
      <c r="M1339" s="1">
        <v>0.51400000000000001</v>
      </c>
      <c r="N1339" s="1">
        <v>12.347</v>
      </c>
      <c r="O1339" s="1">
        <v>12.191000000000001</v>
      </c>
      <c r="P1339" s="9">
        <v>12.25</v>
      </c>
    </row>
    <row r="1340" spans="1:16" x14ac:dyDescent="0.25">
      <c r="A1340" s="6">
        <v>13.375</v>
      </c>
      <c r="B1340" s="2">
        <v>72</v>
      </c>
      <c r="C1340" s="2" t="s">
        <v>75</v>
      </c>
      <c r="D1340" s="2">
        <v>3470</v>
      </c>
      <c r="E1340" s="2">
        <v>6050</v>
      </c>
      <c r="F1340" s="2"/>
      <c r="G1340" s="2"/>
      <c r="H1340" s="2"/>
      <c r="I1340" s="2" t="s">
        <v>8</v>
      </c>
      <c r="J1340" s="2">
        <v>1192</v>
      </c>
      <c r="K1340" s="2"/>
      <c r="L1340" s="2">
        <v>1869</v>
      </c>
      <c r="M1340" s="2">
        <v>0.51400000000000001</v>
      </c>
      <c r="N1340" s="2">
        <v>12.347</v>
      </c>
      <c r="O1340" s="2">
        <v>12.191000000000001</v>
      </c>
      <c r="P1340" s="7">
        <v>12.25</v>
      </c>
    </row>
    <row r="1341" spans="1:16" x14ac:dyDescent="0.25">
      <c r="A1341" s="6">
        <v>13.375</v>
      </c>
      <c r="B1341" s="2">
        <v>72</v>
      </c>
      <c r="C1341" s="2" t="s">
        <v>75</v>
      </c>
      <c r="D1341" s="2">
        <v>3470</v>
      </c>
      <c r="E1341" s="2">
        <v>6050</v>
      </c>
      <c r="F1341" s="2"/>
      <c r="G1341" s="2"/>
      <c r="H1341" s="2"/>
      <c r="I1341" s="2" t="s">
        <v>13</v>
      </c>
      <c r="J1341" s="2">
        <v>1850</v>
      </c>
      <c r="K1341" s="2"/>
      <c r="L1341" s="2">
        <v>1869</v>
      </c>
      <c r="M1341" s="2">
        <v>0.51400000000000001</v>
      </c>
      <c r="N1341" s="2">
        <v>12.347</v>
      </c>
      <c r="O1341" s="2">
        <v>12.191000000000001</v>
      </c>
      <c r="P1341" s="7">
        <v>12.25</v>
      </c>
    </row>
    <row r="1342" spans="1:16" x14ac:dyDescent="0.25">
      <c r="A1342" s="8">
        <v>13.375</v>
      </c>
      <c r="B1342" s="1">
        <v>72</v>
      </c>
      <c r="C1342" s="1" t="s">
        <v>115</v>
      </c>
      <c r="D1342" s="1">
        <v>3470</v>
      </c>
      <c r="E1342" s="1">
        <v>6390</v>
      </c>
      <c r="F1342" s="1"/>
      <c r="G1342" s="1"/>
      <c r="H1342" s="1"/>
      <c r="I1342" s="1" t="s">
        <v>8</v>
      </c>
      <c r="J1342" s="1">
        <v>1215</v>
      </c>
      <c r="K1342" s="1"/>
      <c r="L1342" s="1">
        <v>1973</v>
      </c>
      <c r="M1342" s="1">
        <v>0.51400000000000001</v>
      </c>
      <c r="N1342" s="1">
        <v>12.347</v>
      </c>
      <c r="O1342" s="1">
        <v>12.191000000000001</v>
      </c>
      <c r="P1342" s="9">
        <v>12.25</v>
      </c>
    </row>
    <row r="1343" spans="1:16" x14ac:dyDescent="0.25">
      <c r="A1343" s="8">
        <v>13.375</v>
      </c>
      <c r="B1343" s="1">
        <v>72</v>
      </c>
      <c r="C1343" s="1" t="s">
        <v>115</v>
      </c>
      <c r="D1343" s="1">
        <v>3470</v>
      </c>
      <c r="E1343" s="1">
        <v>6390</v>
      </c>
      <c r="F1343" s="1"/>
      <c r="G1343" s="1"/>
      <c r="H1343" s="1"/>
      <c r="I1343" s="1" t="s">
        <v>13</v>
      </c>
      <c r="J1343" s="1">
        <v>1935</v>
      </c>
      <c r="K1343" s="1"/>
      <c r="L1343" s="1">
        <v>1973</v>
      </c>
      <c r="M1343" s="1">
        <v>0.51400000000000001</v>
      </c>
      <c r="N1343" s="1">
        <v>12.347</v>
      </c>
      <c r="O1343" s="1">
        <v>12.191000000000001</v>
      </c>
      <c r="P1343" s="9">
        <v>12.25</v>
      </c>
    </row>
    <row r="1344" spans="1:16" x14ac:dyDescent="0.25">
      <c r="A1344" s="6">
        <v>13.375</v>
      </c>
      <c r="B1344" s="2">
        <v>72</v>
      </c>
      <c r="C1344" s="2" t="s">
        <v>116</v>
      </c>
      <c r="D1344" s="2">
        <v>2820</v>
      </c>
      <c r="E1344" s="2">
        <v>6390</v>
      </c>
      <c r="F1344" s="2"/>
      <c r="G1344" s="2"/>
      <c r="H1344" s="2"/>
      <c r="I1344" s="2" t="s">
        <v>8</v>
      </c>
      <c r="J1344" s="2">
        <v>1204</v>
      </c>
      <c r="K1344" s="2"/>
      <c r="L1344" s="2">
        <v>1973</v>
      </c>
      <c r="M1344" s="2">
        <v>0.51400000000000001</v>
      </c>
      <c r="N1344" s="2">
        <v>12.347</v>
      </c>
      <c r="O1344" s="2">
        <v>12.191000000000001</v>
      </c>
      <c r="P1344" s="7">
        <v>12.25</v>
      </c>
    </row>
    <row r="1345" spans="1:16" x14ac:dyDescent="0.25">
      <c r="A1345" s="6">
        <v>13.375</v>
      </c>
      <c r="B1345" s="2">
        <v>72</v>
      </c>
      <c r="C1345" s="2" t="s">
        <v>116</v>
      </c>
      <c r="D1345" s="2">
        <v>2820</v>
      </c>
      <c r="E1345" s="2">
        <v>6390</v>
      </c>
      <c r="F1345" s="2"/>
      <c r="G1345" s="2"/>
      <c r="H1345" s="2"/>
      <c r="I1345" s="2" t="s">
        <v>13</v>
      </c>
      <c r="J1345" s="2">
        <v>1893</v>
      </c>
      <c r="K1345" s="2"/>
      <c r="L1345" s="2">
        <v>1973</v>
      </c>
      <c r="M1345" s="2">
        <v>0.51400000000000001</v>
      </c>
      <c r="N1345" s="2">
        <v>12.347</v>
      </c>
      <c r="O1345" s="2">
        <v>12.191000000000001</v>
      </c>
      <c r="P1345" s="7">
        <v>12.25</v>
      </c>
    </row>
    <row r="1346" spans="1:16" x14ac:dyDescent="0.25">
      <c r="A1346" s="8">
        <v>13.375</v>
      </c>
      <c r="B1346" s="1">
        <v>72</v>
      </c>
      <c r="C1346" s="1" t="s">
        <v>80</v>
      </c>
      <c r="D1346" s="1">
        <v>3470</v>
      </c>
      <c r="E1346" s="1">
        <v>6390</v>
      </c>
      <c r="F1346" s="1"/>
      <c r="G1346" s="1"/>
      <c r="H1346" s="1"/>
      <c r="I1346" s="1" t="s">
        <v>8</v>
      </c>
      <c r="J1346" s="1">
        <v>1204</v>
      </c>
      <c r="K1346" s="1"/>
      <c r="L1346" s="1">
        <v>1973</v>
      </c>
      <c r="M1346" s="1">
        <v>0.51400000000000001</v>
      </c>
      <c r="N1346" s="1">
        <v>12.347</v>
      </c>
      <c r="O1346" s="1">
        <v>12.191000000000001</v>
      </c>
      <c r="P1346" s="9">
        <v>12.25</v>
      </c>
    </row>
    <row r="1347" spans="1:16" x14ac:dyDescent="0.25">
      <c r="A1347" s="8">
        <v>13.375</v>
      </c>
      <c r="B1347" s="1">
        <v>72</v>
      </c>
      <c r="C1347" s="1" t="s">
        <v>80</v>
      </c>
      <c r="D1347" s="1">
        <v>3470</v>
      </c>
      <c r="E1347" s="1">
        <v>6390</v>
      </c>
      <c r="F1347" s="1"/>
      <c r="G1347" s="1"/>
      <c r="H1347" s="1"/>
      <c r="I1347" s="1" t="s">
        <v>13</v>
      </c>
      <c r="J1347" s="1">
        <v>1893</v>
      </c>
      <c r="K1347" s="1"/>
      <c r="L1347" s="1">
        <v>1973</v>
      </c>
      <c r="M1347" s="1">
        <v>0.51400000000000001</v>
      </c>
      <c r="N1347" s="1">
        <v>12.347</v>
      </c>
      <c r="O1347" s="1">
        <v>12.191000000000001</v>
      </c>
      <c r="P1347" s="9">
        <v>12.25</v>
      </c>
    </row>
    <row r="1348" spans="1:16" x14ac:dyDescent="0.25">
      <c r="A1348" s="6">
        <v>13.375</v>
      </c>
      <c r="B1348" s="2">
        <v>72</v>
      </c>
      <c r="C1348" s="2" t="s">
        <v>74</v>
      </c>
      <c r="D1348" s="2">
        <v>2820</v>
      </c>
      <c r="E1348" s="2">
        <v>6390</v>
      </c>
      <c r="F1348" s="2"/>
      <c r="G1348" s="2"/>
      <c r="H1348" s="2"/>
      <c r="I1348" s="2" t="s">
        <v>8</v>
      </c>
      <c r="J1348" s="2">
        <v>1204</v>
      </c>
      <c r="K1348" s="2"/>
      <c r="L1348" s="2">
        <v>1973</v>
      </c>
      <c r="M1348" s="2">
        <v>0.51400000000000001</v>
      </c>
      <c r="N1348" s="2">
        <v>12.347</v>
      </c>
      <c r="O1348" s="2">
        <v>12.191000000000001</v>
      </c>
      <c r="P1348" s="7">
        <v>12.25</v>
      </c>
    </row>
    <row r="1349" spans="1:16" x14ac:dyDescent="0.25">
      <c r="A1349" s="6">
        <v>13.375</v>
      </c>
      <c r="B1349" s="2">
        <v>72</v>
      </c>
      <c r="C1349" s="2" t="s">
        <v>74</v>
      </c>
      <c r="D1349" s="2">
        <v>2820</v>
      </c>
      <c r="E1349" s="2">
        <v>6390</v>
      </c>
      <c r="F1349" s="2"/>
      <c r="G1349" s="2"/>
      <c r="H1349" s="2"/>
      <c r="I1349" s="2" t="s">
        <v>13</v>
      </c>
      <c r="J1349" s="2">
        <v>1893</v>
      </c>
      <c r="K1349" s="2"/>
      <c r="L1349" s="2">
        <v>1973</v>
      </c>
      <c r="M1349" s="2">
        <v>0.51400000000000001</v>
      </c>
      <c r="N1349" s="2">
        <v>12.347</v>
      </c>
      <c r="O1349" s="2">
        <v>12.191000000000001</v>
      </c>
      <c r="P1349" s="7">
        <v>12.25</v>
      </c>
    </row>
    <row r="1350" spans="1:16" x14ac:dyDescent="0.25">
      <c r="A1350" s="8">
        <v>13.375</v>
      </c>
      <c r="B1350" s="1">
        <v>72</v>
      </c>
      <c r="C1350" s="1" t="s">
        <v>97</v>
      </c>
      <c r="D1350" s="1">
        <v>3470</v>
      </c>
      <c r="E1350" s="1">
        <v>7400</v>
      </c>
      <c r="F1350" s="1"/>
      <c r="G1350" s="1"/>
      <c r="H1350" s="1"/>
      <c r="I1350" s="1" t="s">
        <v>8</v>
      </c>
      <c r="J1350" s="1">
        <v>1402</v>
      </c>
      <c r="K1350" s="1"/>
      <c r="L1350" s="1">
        <v>2284</v>
      </c>
      <c r="M1350" s="1">
        <v>0.51400000000000001</v>
      </c>
      <c r="N1350" s="1">
        <v>12.347</v>
      </c>
      <c r="O1350" s="1">
        <v>12.191000000000001</v>
      </c>
      <c r="P1350" s="9">
        <v>12.25</v>
      </c>
    </row>
    <row r="1351" spans="1:16" x14ac:dyDescent="0.25">
      <c r="A1351" s="8">
        <v>13.375</v>
      </c>
      <c r="B1351" s="1">
        <v>72</v>
      </c>
      <c r="C1351" s="1" t="s">
        <v>97</v>
      </c>
      <c r="D1351" s="1">
        <v>3470</v>
      </c>
      <c r="E1351" s="1">
        <v>7400</v>
      </c>
      <c r="F1351" s="1"/>
      <c r="G1351" s="1"/>
      <c r="H1351" s="1"/>
      <c r="I1351" s="1" t="s">
        <v>13</v>
      </c>
      <c r="J1351" s="1">
        <v>2221</v>
      </c>
      <c r="K1351" s="1"/>
      <c r="L1351" s="1">
        <v>2284</v>
      </c>
      <c r="M1351" s="1">
        <v>0.51400000000000001</v>
      </c>
      <c r="N1351" s="1">
        <v>12.347</v>
      </c>
      <c r="O1351" s="1">
        <v>12.191000000000001</v>
      </c>
      <c r="P1351" s="9">
        <v>12.25</v>
      </c>
    </row>
    <row r="1352" spans="1:16" x14ac:dyDescent="0.25">
      <c r="A1352" s="6">
        <v>13.375</v>
      </c>
      <c r="B1352" s="2">
        <v>72</v>
      </c>
      <c r="C1352" s="2" t="s">
        <v>113</v>
      </c>
      <c r="D1352" s="2">
        <v>2890</v>
      </c>
      <c r="E1352" s="2">
        <v>7400</v>
      </c>
      <c r="F1352" s="2"/>
      <c r="G1352" s="2"/>
      <c r="H1352" s="2"/>
      <c r="I1352" s="2" t="s">
        <v>8</v>
      </c>
      <c r="J1352" s="2">
        <v>1402</v>
      </c>
      <c r="K1352" s="2"/>
      <c r="L1352" s="2">
        <v>2284</v>
      </c>
      <c r="M1352" s="2">
        <v>0.51400000000000001</v>
      </c>
      <c r="N1352" s="2">
        <v>12.347</v>
      </c>
      <c r="O1352" s="2">
        <v>12.191000000000001</v>
      </c>
      <c r="P1352" s="7">
        <v>12.25</v>
      </c>
    </row>
    <row r="1353" spans="1:16" x14ac:dyDescent="0.25">
      <c r="A1353" s="6">
        <v>13.375</v>
      </c>
      <c r="B1353" s="2">
        <v>72</v>
      </c>
      <c r="C1353" s="2" t="s">
        <v>113</v>
      </c>
      <c r="D1353" s="2">
        <v>2890</v>
      </c>
      <c r="E1353" s="2">
        <v>7400</v>
      </c>
      <c r="F1353" s="2"/>
      <c r="G1353" s="2"/>
      <c r="H1353" s="2"/>
      <c r="I1353" s="2" t="s">
        <v>13</v>
      </c>
      <c r="J1353" s="2">
        <v>2221</v>
      </c>
      <c r="K1353" s="2"/>
      <c r="L1353" s="2">
        <v>2284</v>
      </c>
      <c r="M1353" s="2">
        <v>0.51400000000000001</v>
      </c>
      <c r="N1353" s="2">
        <v>12.347</v>
      </c>
      <c r="O1353" s="2">
        <v>12.191000000000001</v>
      </c>
      <c r="P1353" s="7">
        <v>12.25</v>
      </c>
    </row>
    <row r="1354" spans="1:16" x14ac:dyDescent="0.25">
      <c r="A1354" s="8">
        <v>13.375</v>
      </c>
      <c r="B1354" s="1">
        <v>72</v>
      </c>
      <c r="C1354" s="1" t="s">
        <v>99</v>
      </c>
      <c r="D1354" s="1">
        <v>3470</v>
      </c>
      <c r="E1354" s="1">
        <v>8410</v>
      </c>
      <c r="F1354" s="1"/>
      <c r="G1354" s="1"/>
      <c r="H1354" s="1"/>
      <c r="I1354" s="1" t="s">
        <v>8</v>
      </c>
      <c r="J1354" s="1">
        <v>1577</v>
      </c>
      <c r="K1354" s="1"/>
      <c r="L1354" s="1">
        <v>2596</v>
      </c>
      <c r="M1354" s="1">
        <v>0.51400000000000001</v>
      </c>
      <c r="N1354" s="1">
        <v>12.347</v>
      </c>
      <c r="O1354" s="1">
        <v>12.191000000000001</v>
      </c>
      <c r="P1354" s="9">
        <v>12.25</v>
      </c>
    </row>
    <row r="1355" spans="1:16" x14ac:dyDescent="0.25">
      <c r="A1355" s="8">
        <v>13.375</v>
      </c>
      <c r="B1355" s="1">
        <v>72</v>
      </c>
      <c r="C1355" s="1" t="s">
        <v>99</v>
      </c>
      <c r="D1355" s="1">
        <v>3470</v>
      </c>
      <c r="E1355" s="1">
        <v>8410</v>
      </c>
      <c r="F1355" s="1"/>
      <c r="G1355" s="1"/>
      <c r="H1355" s="1"/>
      <c r="I1355" s="1" t="s">
        <v>13</v>
      </c>
      <c r="J1355" s="1">
        <v>2463</v>
      </c>
      <c r="K1355" s="1"/>
      <c r="L1355" s="1">
        <v>2596</v>
      </c>
      <c r="M1355" s="1">
        <v>0.51400000000000001</v>
      </c>
      <c r="N1355" s="1">
        <v>12.347</v>
      </c>
      <c r="O1355" s="1">
        <v>12.191000000000001</v>
      </c>
      <c r="P1355" s="9">
        <v>12.25</v>
      </c>
    </row>
    <row r="1356" spans="1:16" x14ac:dyDescent="0.25">
      <c r="A1356" s="6">
        <v>13.375</v>
      </c>
      <c r="B1356" s="2">
        <v>72</v>
      </c>
      <c r="C1356" s="2" t="s">
        <v>114</v>
      </c>
      <c r="D1356" s="2">
        <v>2880</v>
      </c>
      <c r="E1356" s="2">
        <v>8410</v>
      </c>
      <c r="F1356" s="2"/>
      <c r="G1356" s="2"/>
      <c r="H1356" s="2"/>
      <c r="I1356" s="2" t="s">
        <v>8</v>
      </c>
      <c r="J1356" s="2">
        <v>1577</v>
      </c>
      <c r="K1356" s="2"/>
      <c r="L1356" s="2">
        <v>2596</v>
      </c>
      <c r="M1356" s="2">
        <v>0.51400000000000001</v>
      </c>
      <c r="N1356" s="2">
        <v>12.347</v>
      </c>
      <c r="O1356" s="2">
        <v>12.191000000000001</v>
      </c>
      <c r="P1356" s="7">
        <v>12.25</v>
      </c>
    </row>
    <row r="1357" spans="1:16" x14ac:dyDescent="0.25">
      <c r="A1357" s="6">
        <v>13.375</v>
      </c>
      <c r="B1357" s="2">
        <v>72</v>
      </c>
      <c r="C1357" s="2" t="s">
        <v>114</v>
      </c>
      <c r="D1357" s="2">
        <v>2880</v>
      </c>
      <c r="E1357" s="2">
        <v>8410</v>
      </c>
      <c r="F1357" s="2"/>
      <c r="G1357" s="2"/>
      <c r="H1357" s="2"/>
      <c r="I1357" s="2" t="s">
        <v>13</v>
      </c>
      <c r="J1357" s="2">
        <v>2463</v>
      </c>
      <c r="K1357" s="2"/>
      <c r="L1357" s="2">
        <v>2596</v>
      </c>
      <c r="M1357" s="2">
        <v>0.51400000000000001</v>
      </c>
      <c r="N1357" s="2">
        <v>12.347</v>
      </c>
      <c r="O1357" s="2">
        <v>12.191000000000001</v>
      </c>
      <c r="P1357" s="7">
        <v>12.25</v>
      </c>
    </row>
    <row r="1358" spans="1:16" x14ac:dyDescent="0.25">
      <c r="A1358" s="8">
        <v>13.375</v>
      </c>
      <c r="B1358" s="1">
        <v>72</v>
      </c>
      <c r="C1358" s="1" t="s">
        <v>117</v>
      </c>
      <c r="D1358" s="1">
        <v>2880</v>
      </c>
      <c r="E1358" s="1">
        <v>10090</v>
      </c>
      <c r="F1358" s="1"/>
      <c r="G1358" s="1"/>
      <c r="H1358" s="1"/>
      <c r="I1358" s="1" t="s">
        <v>8</v>
      </c>
      <c r="J1358" s="1">
        <v>1887</v>
      </c>
      <c r="K1358" s="1"/>
      <c r="L1358" s="1">
        <v>3115</v>
      </c>
      <c r="M1358" s="1">
        <v>0.51400000000000001</v>
      </c>
      <c r="N1358" s="1">
        <v>12.347</v>
      </c>
      <c r="O1358" s="1">
        <v>12.191000000000001</v>
      </c>
      <c r="P1358" s="9">
        <v>12.25</v>
      </c>
    </row>
    <row r="1359" spans="1:16" x14ac:dyDescent="0.25">
      <c r="A1359" s="8">
        <v>13.375</v>
      </c>
      <c r="B1359" s="1">
        <v>72</v>
      </c>
      <c r="C1359" s="1" t="s">
        <v>117</v>
      </c>
      <c r="D1359" s="1">
        <v>2880</v>
      </c>
      <c r="E1359" s="1">
        <v>10090</v>
      </c>
      <c r="F1359" s="1"/>
      <c r="G1359" s="1"/>
      <c r="H1359" s="1"/>
      <c r="I1359" s="1" t="s">
        <v>13</v>
      </c>
      <c r="J1359" s="1">
        <v>2939</v>
      </c>
      <c r="K1359" s="1"/>
      <c r="L1359" s="1">
        <v>3115</v>
      </c>
      <c r="M1359" s="1">
        <v>0.51400000000000001</v>
      </c>
      <c r="N1359" s="1">
        <v>12.347</v>
      </c>
      <c r="O1359" s="1">
        <v>12.191000000000001</v>
      </c>
      <c r="P1359" s="9">
        <v>12.25</v>
      </c>
    </row>
    <row r="1360" spans="1:16" x14ac:dyDescent="0.25">
      <c r="A1360" s="6">
        <v>13.375</v>
      </c>
      <c r="B1360" s="2">
        <v>80.7</v>
      </c>
      <c r="C1360" s="2" t="s">
        <v>75</v>
      </c>
      <c r="D1360" s="2">
        <v>4990</v>
      </c>
      <c r="E1360" s="2">
        <v>7340</v>
      </c>
      <c r="F1360" s="2"/>
      <c r="G1360" s="2"/>
      <c r="H1360" s="2"/>
      <c r="I1360" s="2" t="s">
        <v>13</v>
      </c>
      <c r="J1360" s="2">
        <v>2077</v>
      </c>
      <c r="K1360" s="2"/>
      <c r="L1360" s="2">
        <v>2098</v>
      </c>
      <c r="M1360" s="2">
        <v>0.57999999999999996</v>
      </c>
      <c r="N1360" s="2">
        <v>12.215</v>
      </c>
      <c r="O1360" s="2">
        <v>12.058999999999999</v>
      </c>
      <c r="P1360" s="7"/>
    </row>
    <row r="1361" spans="1:16" x14ac:dyDescent="0.25">
      <c r="A1361" s="8">
        <v>13.375</v>
      </c>
      <c r="B1361" s="1">
        <v>80.7</v>
      </c>
      <c r="C1361" s="1" t="s">
        <v>115</v>
      </c>
      <c r="D1361" s="1">
        <v>4990</v>
      </c>
      <c r="E1361" s="1">
        <v>7210</v>
      </c>
      <c r="F1361" s="1"/>
      <c r="G1361" s="1"/>
      <c r="H1361" s="1"/>
      <c r="I1361" s="1" t="s">
        <v>13</v>
      </c>
      <c r="J1361" s="1">
        <v>2173</v>
      </c>
      <c r="K1361" s="1"/>
      <c r="L1361" s="1">
        <v>2215</v>
      </c>
      <c r="M1361" s="1">
        <v>0.57999999999999996</v>
      </c>
      <c r="N1361" s="1">
        <v>12.215</v>
      </c>
      <c r="O1361" s="1">
        <v>12.058999999999999</v>
      </c>
      <c r="P1361" s="9"/>
    </row>
    <row r="1362" spans="1:16" x14ac:dyDescent="0.25">
      <c r="A1362" s="6">
        <v>13.375</v>
      </c>
      <c r="B1362" s="2">
        <v>80.7</v>
      </c>
      <c r="C1362" s="2" t="s">
        <v>80</v>
      </c>
      <c r="D1362" s="2">
        <v>4990</v>
      </c>
      <c r="E1362" s="2">
        <v>7210</v>
      </c>
      <c r="F1362" s="2"/>
      <c r="G1362" s="2"/>
      <c r="H1362" s="2"/>
      <c r="I1362" s="2" t="s">
        <v>13</v>
      </c>
      <c r="J1362" s="2">
        <v>2125</v>
      </c>
      <c r="K1362" s="2"/>
      <c r="L1362" s="2">
        <v>2215</v>
      </c>
      <c r="M1362" s="2">
        <v>0.57999999999999996</v>
      </c>
      <c r="N1362" s="2">
        <v>12.215</v>
      </c>
      <c r="O1362" s="2">
        <v>12.058999999999999</v>
      </c>
      <c r="P1362" s="7"/>
    </row>
    <row r="1363" spans="1:16" x14ac:dyDescent="0.25">
      <c r="A1363" s="8">
        <v>13.375</v>
      </c>
      <c r="B1363" s="1">
        <v>80.7</v>
      </c>
      <c r="C1363" s="1" t="s">
        <v>97</v>
      </c>
      <c r="D1363" s="1">
        <v>4990</v>
      </c>
      <c r="E1363" s="1">
        <v>8350</v>
      </c>
      <c r="F1363" s="1"/>
      <c r="G1363" s="1"/>
      <c r="H1363" s="1"/>
      <c r="I1363" s="1" t="s">
        <v>13</v>
      </c>
      <c r="J1363" s="1">
        <v>2493</v>
      </c>
      <c r="K1363" s="1"/>
      <c r="L1363" s="1">
        <v>2565</v>
      </c>
      <c r="M1363" s="1">
        <v>0.57999999999999996</v>
      </c>
      <c r="N1363" s="1">
        <v>12.215</v>
      </c>
      <c r="O1363" s="1">
        <v>12.058999999999999</v>
      </c>
      <c r="P1363" s="9"/>
    </row>
    <row r="1364" spans="1:16" x14ac:dyDescent="0.25">
      <c r="A1364" s="6">
        <v>13.375</v>
      </c>
      <c r="B1364" s="2">
        <v>80.7</v>
      </c>
      <c r="C1364" s="2" t="s">
        <v>113</v>
      </c>
      <c r="D1364" s="2">
        <v>4000</v>
      </c>
      <c r="E1364" s="2">
        <v>8350</v>
      </c>
      <c r="F1364" s="2"/>
      <c r="G1364" s="2"/>
      <c r="H1364" s="2"/>
      <c r="I1364" s="2" t="s">
        <v>13</v>
      </c>
      <c r="J1364" s="2">
        <v>2493</v>
      </c>
      <c r="K1364" s="2"/>
      <c r="L1364" s="2">
        <v>2565</v>
      </c>
      <c r="M1364" s="2">
        <v>0.57999999999999996</v>
      </c>
      <c r="N1364" s="2">
        <v>12.215</v>
      </c>
      <c r="O1364" s="2">
        <v>12.058999999999999</v>
      </c>
      <c r="P1364" s="7"/>
    </row>
    <row r="1365" spans="1:16" x14ac:dyDescent="0.25">
      <c r="A1365" s="8">
        <v>13.375</v>
      </c>
      <c r="B1365" s="1">
        <v>80.7</v>
      </c>
      <c r="C1365" s="1" t="s">
        <v>99</v>
      </c>
      <c r="D1365" s="1">
        <v>4990</v>
      </c>
      <c r="E1365" s="1">
        <v>9490</v>
      </c>
      <c r="F1365" s="1"/>
      <c r="G1365" s="1"/>
      <c r="H1365" s="1"/>
      <c r="I1365" s="1" t="s">
        <v>13</v>
      </c>
      <c r="J1365" s="1">
        <v>2765</v>
      </c>
      <c r="K1365" s="1"/>
      <c r="L1365" s="1">
        <v>2914</v>
      </c>
      <c r="M1365" s="1">
        <v>0.57999999999999996</v>
      </c>
      <c r="N1365" s="1">
        <v>12.215</v>
      </c>
      <c r="O1365" s="1">
        <v>12.058999999999999</v>
      </c>
      <c r="P1365" s="9"/>
    </row>
    <row r="1366" spans="1:16" x14ac:dyDescent="0.25">
      <c r="A1366" s="6">
        <v>13.375</v>
      </c>
      <c r="B1366" s="2">
        <v>80.7</v>
      </c>
      <c r="C1366" s="2" t="s">
        <v>114</v>
      </c>
      <c r="D1366" s="2">
        <v>4140</v>
      </c>
      <c r="E1366" s="2">
        <v>9490</v>
      </c>
      <c r="F1366" s="2"/>
      <c r="G1366" s="2"/>
      <c r="H1366" s="2"/>
      <c r="I1366" s="2" t="s">
        <v>13</v>
      </c>
      <c r="J1366" s="2">
        <v>2765</v>
      </c>
      <c r="K1366" s="2"/>
      <c r="L1366" s="2">
        <v>2914</v>
      </c>
      <c r="M1366" s="2">
        <v>0.57999999999999996</v>
      </c>
      <c r="N1366" s="2">
        <v>12.215</v>
      </c>
      <c r="O1366" s="2">
        <v>12.058999999999999</v>
      </c>
      <c r="P1366" s="7"/>
    </row>
    <row r="1367" spans="1:16" x14ac:dyDescent="0.25">
      <c r="A1367" s="8">
        <v>13.375</v>
      </c>
      <c r="B1367" s="1">
        <v>86</v>
      </c>
      <c r="C1367" s="1" t="s">
        <v>115</v>
      </c>
      <c r="D1367" s="1">
        <v>6240</v>
      </c>
      <c r="E1367" s="1">
        <v>7750</v>
      </c>
      <c r="F1367" s="1"/>
      <c r="G1367" s="1"/>
      <c r="H1367" s="1"/>
      <c r="I1367" s="1" t="s">
        <v>13</v>
      </c>
      <c r="J1367" s="1">
        <v>2333</v>
      </c>
      <c r="K1367" s="1"/>
      <c r="L1367" s="1">
        <v>2378</v>
      </c>
      <c r="M1367" s="1">
        <v>0.625</v>
      </c>
      <c r="N1367" s="1">
        <v>12.125</v>
      </c>
      <c r="O1367" s="1">
        <v>11.968999999999999</v>
      </c>
      <c r="P1367" s="9"/>
    </row>
    <row r="1368" spans="1:16" x14ac:dyDescent="0.25">
      <c r="A1368" s="6">
        <v>13.375</v>
      </c>
      <c r="B1368" s="2">
        <v>86</v>
      </c>
      <c r="C1368" s="2" t="s">
        <v>97</v>
      </c>
      <c r="D1368" s="2">
        <v>6240</v>
      </c>
      <c r="E1368" s="2">
        <v>8980</v>
      </c>
      <c r="F1368" s="2"/>
      <c r="G1368" s="2"/>
      <c r="H1368" s="2"/>
      <c r="I1368" s="2" t="s">
        <v>13</v>
      </c>
      <c r="J1368" s="2">
        <v>2677</v>
      </c>
      <c r="K1368" s="2"/>
      <c r="L1368" s="2">
        <v>2754</v>
      </c>
      <c r="M1368" s="2">
        <v>0.625</v>
      </c>
      <c r="N1368" s="2">
        <v>12.125</v>
      </c>
      <c r="O1368" s="2">
        <v>11.968999999999999</v>
      </c>
      <c r="P1368" s="7"/>
    </row>
    <row r="1369" spans="1:16" x14ac:dyDescent="0.25">
      <c r="A1369" s="8">
        <v>13.375</v>
      </c>
      <c r="B1369" s="1">
        <v>86</v>
      </c>
      <c r="C1369" s="1" t="s">
        <v>113</v>
      </c>
      <c r="D1369" s="1">
        <v>4780</v>
      </c>
      <c r="E1369" s="1">
        <v>8980</v>
      </c>
      <c r="F1369" s="1"/>
      <c r="G1369" s="1"/>
      <c r="H1369" s="1"/>
      <c r="I1369" s="1" t="s">
        <v>13</v>
      </c>
      <c r="J1369" s="1">
        <v>2677</v>
      </c>
      <c r="K1369" s="1"/>
      <c r="L1369" s="1">
        <v>2754</v>
      </c>
      <c r="M1369" s="1">
        <v>0.625</v>
      </c>
      <c r="N1369" s="1">
        <v>12.125</v>
      </c>
      <c r="O1369" s="1">
        <v>11.968999999999999</v>
      </c>
      <c r="P1369" s="9"/>
    </row>
    <row r="1370" spans="1:16" x14ac:dyDescent="0.25">
      <c r="A1370" s="6">
        <v>13.375</v>
      </c>
      <c r="B1370" s="2">
        <v>86</v>
      </c>
      <c r="C1370" s="2" t="s">
        <v>99</v>
      </c>
      <c r="D1370" s="2">
        <v>6240</v>
      </c>
      <c r="E1370" s="2">
        <v>10200</v>
      </c>
      <c r="F1370" s="2"/>
      <c r="G1370" s="2"/>
      <c r="H1370" s="2"/>
      <c r="I1370" s="2" t="s">
        <v>13</v>
      </c>
      <c r="J1370" s="2">
        <v>2969</v>
      </c>
      <c r="K1370" s="2"/>
      <c r="L1370" s="2">
        <v>3129</v>
      </c>
      <c r="M1370" s="2">
        <v>0.625</v>
      </c>
      <c r="N1370" s="2">
        <v>12.125</v>
      </c>
      <c r="O1370" s="2">
        <v>11.968999999999999</v>
      </c>
      <c r="P1370" s="7"/>
    </row>
    <row r="1371" spans="1:16" ht="15.75" customHeight="1" thickBot="1" x14ac:dyDescent="0.3">
      <c r="A1371" s="10">
        <v>13.375</v>
      </c>
      <c r="B1371" s="11">
        <v>86</v>
      </c>
      <c r="C1371" s="11" t="s">
        <v>114</v>
      </c>
      <c r="D1371" s="11">
        <v>5030</v>
      </c>
      <c r="E1371" s="11">
        <v>10200</v>
      </c>
      <c r="F1371" s="11"/>
      <c r="G1371" s="11"/>
      <c r="H1371" s="11"/>
      <c r="I1371" s="11" t="s">
        <v>13</v>
      </c>
      <c r="J1371" s="11">
        <v>2969</v>
      </c>
      <c r="K1371" s="11"/>
      <c r="L1371" s="11">
        <v>3129</v>
      </c>
      <c r="M1371" s="11">
        <v>0.625</v>
      </c>
      <c r="N1371" s="11">
        <v>12.125</v>
      </c>
      <c r="O1371" s="11">
        <v>11.968999999999999</v>
      </c>
      <c r="P1371" s="12"/>
    </row>
    <row r="1372" spans="1:16" x14ac:dyDescent="0.25">
      <c r="A1372" s="3">
        <v>13.625</v>
      </c>
      <c r="B1372" s="4">
        <v>88.2</v>
      </c>
      <c r="C1372" s="4" t="s">
        <v>75</v>
      </c>
      <c r="D1372" s="4">
        <v>5930</v>
      </c>
      <c r="E1372" s="4">
        <v>7220</v>
      </c>
      <c r="F1372" s="4"/>
      <c r="G1372" s="4"/>
      <c r="H1372" s="4"/>
      <c r="I1372" s="4" t="s">
        <v>13</v>
      </c>
      <c r="J1372" s="4">
        <v>1801</v>
      </c>
      <c r="K1372" s="4"/>
      <c r="L1372" s="4">
        <v>2297</v>
      </c>
      <c r="M1372" s="4">
        <v>0.625</v>
      </c>
      <c r="N1372" s="4">
        <v>12.375</v>
      </c>
      <c r="O1372" s="4"/>
      <c r="P1372" s="5">
        <v>12.25</v>
      </c>
    </row>
    <row r="1373" spans="1:16" x14ac:dyDescent="0.25">
      <c r="A1373" s="6">
        <v>13.625</v>
      </c>
      <c r="B1373" s="2">
        <v>88.2</v>
      </c>
      <c r="C1373" s="2" t="s">
        <v>115</v>
      </c>
      <c r="D1373" s="2">
        <v>5930</v>
      </c>
      <c r="E1373" s="2">
        <v>7630</v>
      </c>
      <c r="F1373" s="2"/>
      <c r="G1373" s="2"/>
      <c r="H1373" s="2"/>
      <c r="I1373" s="2" t="s">
        <v>13</v>
      </c>
      <c r="J1373" s="2">
        <v>1885</v>
      </c>
      <c r="K1373" s="2"/>
      <c r="L1373" s="2">
        <v>2425</v>
      </c>
      <c r="M1373" s="2">
        <v>0.625</v>
      </c>
      <c r="N1373" s="2">
        <v>12.375</v>
      </c>
      <c r="O1373" s="2"/>
      <c r="P1373" s="7">
        <v>12.25</v>
      </c>
    </row>
    <row r="1374" spans="1:16" x14ac:dyDescent="0.25">
      <c r="A1374" s="8">
        <v>13.625</v>
      </c>
      <c r="B1374" s="1">
        <v>88.2</v>
      </c>
      <c r="C1374" s="1" t="s">
        <v>80</v>
      </c>
      <c r="D1374" s="1">
        <v>5930</v>
      </c>
      <c r="E1374" s="1">
        <v>7630</v>
      </c>
      <c r="F1374" s="1"/>
      <c r="G1374" s="1"/>
      <c r="H1374" s="1"/>
      <c r="I1374" s="1" t="s">
        <v>13</v>
      </c>
      <c r="J1374" s="1">
        <v>1843</v>
      </c>
      <c r="K1374" s="1"/>
      <c r="L1374" s="1">
        <v>2425</v>
      </c>
      <c r="M1374" s="1">
        <v>0.625</v>
      </c>
      <c r="N1374" s="1">
        <v>12.375</v>
      </c>
      <c r="O1374" s="1"/>
      <c r="P1374" s="9">
        <v>12.25</v>
      </c>
    </row>
    <row r="1375" spans="1:16" x14ac:dyDescent="0.25">
      <c r="A1375" s="6">
        <v>13.625</v>
      </c>
      <c r="B1375" s="2">
        <v>88.2</v>
      </c>
      <c r="C1375" s="2" t="s">
        <v>97</v>
      </c>
      <c r="D1375" s="2">
        <v>5930</v>
      </c>
      <c r="E1375" s="2">
        <v>8830</v>
      </c>
      <c r="F1375" s="2"/>
      <c r="G1375" s="2"/>
      <c r="H1375" s="2"/>
      <c r="I1375" s="2" t="s">
        <v>13</v>
      </c>
      <c r="J1375" s="2">
        <v>2163</v>
      </c>
      <c r="K1375" s="2"/>
      <c r="L1375" s="2">
        <v>2808</v>
      </c>
      <c r="M1375" s="2">
        <v>0.625</v>
      </c>
      <c r="N1375" s="2">
        <v>12.375</v>
      </c>
      <c r="O1375" s="2"/>
      <c r="P1375" s="7">
        <v>12.25</v>
      </c>
    </row>
    <row r="1376" spans="1:16" x14ac:dyDescent="0.25">
      <c r="A1376" s="8">
        <v>13.625</v>
      </c>
      <c r="B1376" s="1">
        <v>88.2</v>
      </c>
      <c r="C1376" s="1" t="s">
        <v>113</v>
      </c>
      <c r="D1376" s="1">
        <v>4570</v>
      </c>
      <c r="E1376" s="1">
        <v>8830</v>
      </c>
      <c r="F1376" s="1"/>
      <c r="G1376" s="1"/>
      <c r="H1376" s="1"/>
      <c r="I1376" s="1" t="s">
        <v>13</v>
      </c>
      <c r="J1376" s="1">
        <v>2163</v>
      </c>
      <c r="K1376" s="1"/>
      <c r="L1376" s="1">
        <v>2808</v>
      </c>
      <c r="M1376" s="1">
        <v>0.625</v>
      </c>
      <c r="N1376" s="1">
        <v>12.375</v>
      </c>
      <c r="O1376" s="1"/>
      <c r="P1376" s="9">
        <v>12.25</v>
      </c>
    </row>
    <row r="1377" spans="1:16" x14ac:dyDescent="0.25">
      <c r="A1377" s="6">
        <v>13.625</v>
      </c>
      <c r="B1377" s="2">
        <v>88.2</v>
      </c>
      <c r="C1377" s="2" t="s">
        <v>99</v>
      </c>
      <c r="D1377" s="2">
        <v>5930</v>
      </c>
      <c r="E1377" s="2">
        <v>10030</v>
      </c>
      <c r="F1377" s="2"/>
      <c r="G1377" s="2"/>
      <c r="H1377" s="2"/>
      <c r="I1377" s="2" t="s">
        <v>13</v>
      </c>
      <c r="J1377" s="2">
        <v>2399</v>
      </c>
      <c r="K1377" s="2"/>
      <c r="L1377" s="2">
        <v>3191</v>
      </c>
      <c r="M1377" s="2">
        <v>0.625</v>
      </c>
      <c r="N1377" s="2">
        <v>12.375</v>
      </c>
      <c r="O1377" s="2"/>
      <c r="P1377" s="7">
        <v>12.25</v>
      </c>
    </row>
    <row r="1378" spans="1:16" ht="15.75" customHeight="1" thickBot="1" x14ac:dyDescent="0.3">
      <c r="A1378" s="10">
        <v>13.625</v>
      </c>
      <c r="B1378" s="11">
        <v>88.2</v>
      </c>
      <c r="C1378" s="11" t="s">
        <v>114</v>
      </c>
      <c r="D1378" s="11">
        <v>4800</v>
      </c>
      <c r="E1378" s="11">
        <v>10030</v>
      </c>
      <c r="F1378" s="11"/>
      <c r="G1378" s="11"/>
      <c r="H1378" s="11"/>
      <c r="I1378" s="11" t="s">
        <v>13</v>
      </c>
      <c r="J1378" s="11">
        <v>2399</v>
      </c>
      <c r="K1378" s="11"/>
      <c r="L1378" s="11">
        <v>3191</v>
      </c>
      <c r="M1378" s="11">
        <v>0.625</v>
      </c>
      <c r="N1378" s="11">
        <v>12.375</v>
      </c>
      <c r="O1378" s="11"/>
      <c r="P1378" s="12">
        <v>12.25</v>
      </c>
    </row>
    <row r="1379" spans="1:16" ht="15.75" customHeight="1" thickBot="1" x14ac:dyDescent="0.3">
      <c r="A1379" s="3">
        <v>16</v>
      </c>
      <c r="B1379" s="4">
        <v>65</v>
      </c>
      <c r="C1379" s="4" t="s">
        <v>81</v>
      </c>
      <c r="D1379" s="4">
        <v>630</v>
      </c>
      <c r="E1379" s="4">
        <v>1640</v>
      </c>
      <c r="F1379" s="4"/>
      <c r="G1379" s="4"/>
      <c r="H1379" s="4"/>
      <c r="I1379" s="4" t="s">
        <v>8</v>
      </c>
      <c r="J1379" s="4">
        <v>439</v>
      </c>
      <c r="K1379" s="4"/>
      <c r="L1379" s="4">
        <v>736</v>
      </c>
      <c r="M1379" s="4">
        <v>0.375</v>
      </c>
      <c r="N1379" s="4">
        <v>15.25</v>
      </c>
      <c r="O1379" s="4">
        <v>15.061999999999999</v>
      </c>
      <c r="P1379" s="5"/>
    </row>
    <row r="1380" spans="1:16" x14ac:dyDescent="0.25">
      <c r="A1380" s="3">
        <v>16</v>
      </c>
      <c r="B1380" s="4">
        <v>65</v>
      </c>
      <c r="C1380" s="4" t="s">
        <v>81</v>
      </c>
      <c r="D1380" s="4">
        <v>630</v>
      </c>
      <c r="E1380" s="4">
        <v>1640</v>
      </c>
      <c r="F1380" s="4"/>
      <c r="G1380" s="4"/>
      <c r="H1380" s="4"/>
      <c r="I1380" s="4" t="s">
        <v>13</v>
      </c>
      <c r="J1380" s="4">
        <v>781</v>
      </c>
      <c r="K1380" s="4"/>
      <c r="L1380" s="4">
        <v>736</v>
      </c>
      <c r="M1380" s="4">
        <v>0.375</v>
      </c>
      <c r="N1380" s="4">
        <v>15.25</v>
      </c>
      <c r="O1380" s="4">
        <v>15.061999999999999</v>
      </c>
      <c r="P1380" s="5"/>
    </row>
    <row r="1381" spans="1:16" x14ac:dyDescent="0.25">
      <c r="A1381" s="6">
        <v>16</v>
      </c>
      <c r="B1381" s="2">
        <v>75</v>
      </c>
      <c r="C1381" s="2" t="s">
        <v>66</v>
      </c>
      <c r="D1381" s="2">
        <v>1020</v>
      </c>
      <c r="E1381" s="2">
        <v>2630</v>
      </c>
      <c r="F1381" s="2"/>
      <c r="G1381" s="2"/>
      <c r="H1381" s="2"/>
      <c r="I1381" s="2" t="s">
        <v>8</v>
      </c>
      <c r="J1381" s="2">
        <v>710</v>
      </c>
      <c r="K1381" s="2"/>
      <c r="L1381" s="2">
        <v>1178</v>
      </c>
      <c r="M1381" s="2">
        <v>0.438</v>
      </c>
      <c r="N1381" s="2">
        <v>15.124000000000001</v>
      </c>
      <c r="O1381" s="2">
        <v>14.936</v>
      </c>
      <c r="P1381" s="7"/>
    </row>
    <row r="1382" spans="1:16" x14ac:dyDescent="0.25">
      <c r="A1382" s="6">
        <v>16</v>
      </c>
      <c r="B1382" s="2">
        <v>75</v>
      </c>
      <c r="C1382" s="2" t="s">
        <v>66</v>
      </c>
      <c r="D1382" s="2">
        <v>1020</v>
      </c>
      <c r="E1382" s="2">
        <v>2630</v>
      </c>
      <c r="F1382" s="2"/>
      <c r="G1382" s="2"/>
      <c r="H1382" s="2"/>
      <c r="I1382" s="2" t="s">
        <v>13</v>
      </c>
      <c r="J1382" s="2">
        <v>1200</v>
      </c>
      <c r="K1382" s="2"/>
      <c r="L1382" s="2">
        <v>1178</v>
      </c>
      <c r="M1382" s="2">
        <v>0.438</v>
      </c>
      <c r="N1382" s="2">
        <v>15.124000000000001</v>
      </c>
      <c r="O1382" s="2">
        <v>14.936</v>
      </c>
      <c r="P1382" s="7"/>
    </row>
    <row r="1383" spans="1:16" x14ac:dyDescent="0.25">
      <c r="A1383" s="8">
        <v>16</v>
      </c>
      <c r="B1383" s="1">
        <v>75</v>
      </c>
      <c r="C1383" s="1" t="s">
        <v>110</v>
      </c>
      <c r="D1383" s="1">
        <v>1020</v>
      </c>
      <c r="E1383" s="1">
        <v>2630</v>
      </c>
      <c r="F1383" s="1"/>
      <c r="G1383" s="1"/>
      <c r="H1383" s="1"/>
      <c r="I1383" s="1" t="s">
        <v>8</v>
      </c>
      <c r="J1383" s="1">
        <v>752</v>
      </c>
      <c r="K1383" s="1"/>
      <c r="L1383" s="1">
        <v>1178</v>
      </c>
      <c r="M1383" s="1">
        <v>0.438</v>
      </c>
      <c r="N1383" s="1">
        <v>15.124000000000001</v>
      </c>
      <c r="O1383" s="1">
        <v>14.936</v>
      </c>
      <c r="P1383" s="9"/>
    </row>
    <row r="1384" spans="1:16" x14ac:dyDescent="0.25">
      <c r="A1384" s="8">
        <v>16</v>
      </c>
      <c r="B1384" s="1">
        <v>75</v>
      </c>
      <c r="C1384" s="1" t="s">
        <v>110</v>
      </c>
      <c r="D1384" s="1">
        <v>1020</v>
      </c>
      <c r="E1384" s="1">
        <v>2630</v>
      </c>
      <c r="F1384" s="1"/>
      <c r="G1384" s="1"/>
      <c r="H1384" s="1"/>
      <c r="I1384" s="1" t="s">
        <v>13</v>
      </c>
      <c r="J1384" s="1">
        <v>1331</v>
      </c>
      <c r="K1384" s="1"/>
      <c r="L1384" s="1">
        <v>1178</v>
      </c>
      <c r="M1384" s="1">
        <v>0.438</v>
      </c>
      <c r="N1384" s="1">
        <v>15.124000000000001</v>
      </c>
      <c r="O1384" s="1">
        <v>14.936</v>
      </c>
      <c r="P1384" s="9"/>
    </row>
    <row r="1385" spans="1:16" x14ac:dyDescent="0.25">
      <c r="A1385" s="6">
        <v>16</v>
      </c>
      <c r="B1385" s="2">
        <v>84</v>
      </c>
      <c r="C1385" s="2" t="s">
        <v>66</v>
      </c>
      <c r="D1385" s="2">
        <v>1410</v>
      </c>
      <c r="E1385" s="2">
        <v>2980</v>
      </c>
      <c r="F1385" s="2"/>
      <c r="G1385" s="2"/>
      <c r="H1385" s="2"/>
      <c r="I1385" s="2" t="s">
        <v>8</v>
      </c>
      <c r="J1385" s="2">
        <v>817</v>
      </c>
      <c r="K1385" s="2"/>
      <c r="L1385" s="2">
        <v>1326</v>
      </c>
      <c r="M1385" s="2">
        <v>0.495</v>
      </c>
      <c r="N1385" s="2">
        <v>15.01</v>
      </c>
      <c r="O1385" s="2">
        <v>14.821999999999999</v>
      </c>
      <c r="P1385" s="7"/>
    </row>
    <row r="1386" spans="1:16" x14ac:dyDescent="0.25">
      <c r="A1386" s="6">
        <v>16</v>
      </c>
      <c r="B1386" s="2">
        <v>84</v>
      </c>
      <c r="C1386" s="2" t="s">
        <v>66</v>
      </c>
      <c r="D1386" s="2">
        <v>1410</v>
      </c>
      <c r="E1386" s="2">
        <v>2980</v>
      </c>
      <c r="F1386" s="2"/>
      <c r="G1386" s="2"/>
      <c r="H1386" s="2"/>
      <c r="I1386" s="2" t="s">
        <v>13</v>
      </c>
      <c r="J1386" s="2">
        <v>1351</v>
      </c>
      <c r="K1386" s="2"/>
      <c r="L1386" s="2">
        <v>1326</v>
      </c>
      <c r="M1386" s="2">
        <v>0.495</v>
      </c>
      <c r="N1386" s="2">
        <v>15.01</v>
      </c>
      <c r="O1386" s="2">
        <v>14.821999999999999</v>
      </c>
      <c r="P1386" s="7"/>
    </row>
    <row r="1387" spans="1:16" x14ac:dyDescent="0.25">
      <c r="A1387" s="8">
        <v>16</v>
      </c>
      <c r="B1387" s="1">
        <v>84</v>
      </c>
      <c r="C1387" s="1" t="s">
        <v>110</v>
      </c>
      <c r="D1387" s="1">
        <v>1410</v>
      </c>
      <c r="E1387" s="1">
        <v>2980</v>
      </c>
      <c r="F1387" s="1"/>
      <c r="G1387" s="1"/>
      <c r="H1387" s="1"/>
      <c r="I1387" s="1" t="s">
        <v>8</v>
      </c>
      <c r="J1387" s="1">
        <v>865</v>
      </c>
      <c r="K1387" s="1"/>
      <c r="L1387" s="1">
        <v>1326</v>
      </c>
      <c r="M1387" s="1">
        <v>0.495</v>
      </c>
      <c r="N1387" s="1">
        <v>15.01</v>
      </c>
      <c r="O1387" s="1">
        <v>14.821999999999999</v>
      </c>
      <c r="P1387" s="9"/>
    </row>
    <row r="1388" spans="1:16" x14ac:dyDescent="0.25">
      <c r="A1388" s="8">
        <v>16</v>
      </c>
      <c r="B1388" s="1">
        <v>84</v>
      </c>
      <c r="C1388" s="1" t="s">
        <v>110</v>
      </c>
      <c r="D1388" s="1">
        <v>1410</v>
      </c>
      <c r="E1388" s="1">
        <v>2980</v>
      </c>
      <c r="F1388" s="1"/>
      <c r="G1388" s="1"/>
      <c r="H1388" s="1"/>
      <c r="I1388" s="1" t="s">
        <v>13</v>
      </c>
      <c r="J1388" s="1">
        <v>1499</v>
      </c>
      <c r="K1388" s="1"/>
      <c r="L1388" s="1">
        <v>1326</v>
      </c>
      <c r="M1388" s="1">
        <v>0.495</v>
      </c>
      <c r="N1388" s="1">
        <v>15.01</v>
      </c>
      <c r="O1388" s="1">
        <v>14.821999999999999</v>
      </c>
      <c r="P1388" s="9"/>
    </row>
    <row r="1389" spans="1:16" x14ac:dyDescent="0.25">
      <c r="A1389" s="6">
        <v>16</v>
      </c>
      <c r="B1389" s="2">
        <v>84</v>
      </c>
      <c r="C1389" s="2" t="s">
        <v>112</v>
      </c>
      <c r="D1389" s="2">
        <v>1480</v>
      </c>
      <c r="E1389" s="2">
        <v>4330</v>
      </c>
      <c r="F1389" s="2"/>
      <c r="G1389" s="2"/>
      <c r="H1389" s="2"/>
      <c r="I1389" s="2" t="s">
        <v>8</v>
      </c>
      <c r="J1389" s="2">
        <v>1167</v>
      </c>
      <c r="K1389" s="2"/>
      <c r="L1389" s="2">
        <v>1929</v>
      </c>
      <c r="M1389" s="2">
        <v>0.495</v>
      </c>
      <c r="N1389" s="2">
        <v>15.01</v>
      </c>
      <c r="O1389" s="2">
        <v>14.821999999999999</v>
      </c>
      <c r="P1389" s="7"/>
    </row>
    <row r="1390" spans="1:16" x14ac:dyDescent="0.25">
      <c r="A1390" s="6">
        <v>16</v>
      </c>
      <c r="B1390" s="2">
        <v>84</v>
      </c>
      <c r="C1390" s="2" t="s">
        <v>112</v>
      </c>
      <c r="D1390" s="2">
        <v>1480</v>
      </c>
      <c r="E1390" s="2">
        <v>4330</v>
      </c>
      <c r="F1390" s="2"/>
      <c r="G1390" s="2"/>
      <c r="H1390" s="2"/>
      <c r="I1390" s="2" t="s">
        <v>13</v>
      </c>
      <c r="J1390" s="2">
        <v>1898</v>
      </c>
      <c r="K1390" s="2"/>
      <c r="L1390" s="2">
        <v>1929</v>
      </c>
      <c r="M1390" s="2">
        <v>0.495</v>
      </c>
      <c r="N1390" s="2">
        <v>15.01</v>
      </c>
      <c r="O1390" s="2">
        <v>14.821999999999999</v>
      </c>
      <c r="P1390" s="7"/>
    </row>
    <row r="1391" spans="1:16" x14ac:dyDescent="0.25">
      <c r="A1391" s="8">
        <v>16</v>
      </c>
      <c r="B1391" s="1">
        <v>84</v>
      </c>
      <c r="C1391" s="1" t="s">
        <v>93</v>
      </c>
      <c r="D1391" s="1">
        <v>1910</v>
      </c>
      <c r="E1391" s="1">
        <v>4330</v>
      </c>
      <c r="F1391" s="1"/>
      <c r="G1391" s="1"/>
      <c r="H1391" s="1"/>
      <c r="I1391" s="1" t="s">
        <v>8</v>
      </c>
      <c r="J1391" s="1">
        <v>1342</v>
      </c>
      <c r="K1391" s="1"/>
      <c r="L1391" s="1">
        <v>1929</v>
      </c>
      <c r="M1391" s="1">
        <v>0.495</v>
      </c>
      <c r="N1391" s="1">
        <v>15.01</v>
      </c>
      <c r="O1391" s="1">
        <v>14.821999999999999</v>
      </c>
      <c r="P1391" s="9"/>
    </row>
    <row r="1392" spans="1:16" x14ac:dyDescent="0.25">
      <c r="A1392" s="8">
        <v>16</v>
      </c>
      <c r="B1392" s="1">
        <v>84</v>
      </c>
      <c r="C1392" s="1" t="s">
        <v>93</v>
      </c>
      <c r="D1392" s="1">
        <v>1910</v>
      </c>
      <c r="E1392" s="1">
        <v>4330</v>
      </c>
      <c r="F1392" s="1"/>
      <c r="G1392" s="1"/>
      <c r="H1392" s="1"/>
      <c r="I1392" s="1" t="s">
        <v>13</v>
      </c>
      <c r="J1392" s="1">
        <v>1898</v>
      </c>
      <c r="K1392" s="1"/>
      <c r="L1392" s="1">
        <v>1929</v>
      </c>
      <c r="M1392" s="1">
        <v>0.495</v>
      </c>
      <c r="N1392" s="1">
        <v>15.01</v>
      </c>
      <c r="O1392" s="1">
        <v>14.821999999999999</v>
      </c>
      <c r="P1392" s="9"/>
    </row>
    <row r="1393" spans="1:16" x14ac:dyDescent="0.25">
      <c r="A1393" s="6">
        <v>16</v>
      </c>
      <c r="B1393" s="2">
        <v>84</v>
      </c>
      <c r="C1393" s="2" t="s">
        <v>97</v>
      </c>
      <c r="D1393" s="2">
        <v>1910</v>
      </c>
      <c r="E1393" s="2">
        <v>5960</v>
      </c>
      <c r="F1393" s="2"/>
      <c r="G1393" s="2"/>
      <c r="H1393" s="2"/>
      <c r="I1393" s="2" t="s">
        <v>8</v>
      </c>
      <c r="J1393" s="2">
        <v>1575</v>
      </c>
      <c r="K1393" s="2"/>
      <c r="L1393" s="2">
        <v>2652</v>
      </c>
      <c r="M1393" s="2">
        <v>0.495</v>
      </c>
      <c r="N1393" s="2">
        <v>15.01</v>
      </c>
      <c r="O1393" s="2">
        <v>14.821999999999999</v>
      </c>
      <c r="P1393" s="7"/>
    </row>
    <row r="1394" spans="1:16" x14ac:dyDescent="0.25">
      <c r="A1394" s="6">
        <v>16</v>
      </c>
      <c r="B1394" s="2">
        <v>84</v>
      </c>
      <c r="C1394" s="2" t="s">
        <v>97</v>
      </c>
      <c r="D1394" s="2">
        <v>1910</v>
      </c>
      <c r="E1394" s="2">
        <v>5960</v>
      </c>
      <c r="F1394" s="2"/>
      <c r="G1394" s="2"/>
      <c r="H1394" s="2"/>
      <c r="I1394" s="2" t="s">
        <v>13</v>
      </c>
      <c r="J1394" s="2">
        <v>2518</v>
      </c>
      <c r="K1394" s="2"/>
      <c r="L1394" s="2">
        <v>2652</v>
      </c>
      <c r="M1394" s="2">
        <v>0.495</v>
      </c>
      <c r="N1394" s="2">
        <v>15.01</v>
      </c>
      <c r="O1394" s="2">
        <v>14.821999999999999</v>
      </c>
      <c r="P1394" s="7"/>
    </row>
    <row r="1395" spans="1:16" x14ac:dyDescent="0.25">
      <c r="A1395" s="8">
        <v>16</v>
      </c>
      <c r="B1395" s="1">
        <v>84</v>
      </c>
      <c r="C1395" s="1" t="s">
        <v>113</v>
      </c>
      <c r="D1395" s="1">
        <v>1480</v>
      </c>
      <c r="E1395" s="1">
        <v>5960</v>
      </c>
      <c r="F1395" s="1"/>
      <c r="G1395" s="1"/>
      <c r="H1395" s="1"/>
      <c r="I1395" s="1" t="s">
        <v>8</v>
      </c>
      <c r="J1395" s="1">
        <v>1575</v>
      </c>
      <c r="K1395" s="1"/>
      <c r="L1395" s="1">
        <v>2652</v>
      </c>
      <c r="M1395" s="1">
        <v>0.495</v>
      </c>
      <c r="N1395" s="1">
        <v>15.01</v>
      </c>
      <c r="O1395" s="1">
        <v>14.821999999999999</v>
      </c>
      <c r="P1395" s="9"/>
    </row>
    <row r="1396" spans="1:16" x14ac:dyDescent="0.25">
      <c r="A1396" s="8">
        <v>16</v>
      </c>
      <c r="B1396" s="1">
        <v>84</v>
      </c>
      <c r="C1396" s="1" t="s">
        <v>113</v>
      </c>
      <c r="D1396" s="1">
        <v>1480</v>
      </c>
      <c r="E1396" s="1">
        <v>5960</v>
      </c>
      <c r="F1396" s="1"/>
      <c r="G1396" s="1"/>
      <c r="H1396" s="1"/>
      <c r="I1396" s="1" t="s">
        <v>13</v>
      </c>
      <c r="J1396" s="1">
        <v>2518</v>
      </c>
      <c r="K1396" s="1"/>
      <c r="L1396" s="1">
        <v>2652</v>
      </c>
      <c r="M1396" s="1">
        <v>0.495</v>
      </c>
      <c r="N1396" s="1">
        <v>15.01</v>
      </c>
      <c r="O1396" s="1">
        <v>14.821999999999999</v>
      </c>
      <c r="P1396" s="9"/>
    </row>
    <row r="1397" spans="1:16" x14ac:dyDescent="0.25">
      <c r="A1397" s="6">
        <v>16</v>
      </c>
      <c r="B1397" s="2">
        <v>84</v>
      </c>
      <c r="C1397" s="2" t="s">
        <v>99</v>
      </c>
      <c r="D1397" s="2">
        <v>1910</v>
      </c>
      <c r="E1397" s="2">
        <v>6770</v>
      </c>
      <c r="F1397" s="2"/>
      <c r="G1397" s="2"/>
      <c r="H1397" s="2"/>
      <c r="I1397" s="2" t="s">
        <v>8</v>
      </c>
      <c r="J1397" s="2">
        <v>1773</v>
      </c>
      <c r="K1397" s="2"/>
      <c r="L1397" s="2">
        <v>3014</v>
      </c>
      <c r="M1397" s="2">
        <v>0.495</v>
      </c>
      <c r="N1397" s="2">
        <v>15.01</v>
      </c>
      <c r="O1397" s="2">
        <v>14.821999999999999</v>
      </c>
      <c r="P1397" s="7"/>
    </row>
    <row r="1398" spans="1:16" x14ac:dyDescent="0.25">
      <c r="A1398" s="6">
        <v>16</v>
      </c>
      <c r="B1398" s="2">
        <v>84</v>
      </c>
      <c r="C1398" s="2" t="s">
        <v>99</v>
      </c>
      <c r="D1398" s="2">
        <v>1910</v>
      </c>
      <c r="E1398" s="2">
        <v>6770</v>
      </c>
      <c r="F1398" s="2"/>
      <c r="G1398" s="2"/>
      <c r="H1398" s="2"/>
      <c r="I1398" s="2" t="s">
        <v>13</v>
      </c>
      <c r="J1398" s="2">
        <v>2809</v>
      </c>
      <c r="K1398" s="2"/>
      <c r="L1398" s="2">
        <v>3014</v>
      </c>
      <c r="M1398" s="2">
        <v>0.495</v>
      </c>
      <c r="N1398" s="2">
        <v>15.01</v>
      </c>
      <c r="O1398" s="2">
        <v>14.821999999999999</v>
      </c>
      <c r="P1398" s="7"/>
    </row>
    <row r="1399" spans="1:16" x14ac:dyDescent="0.25">
      <c r="A1399" s="8">
        <v>16</v>
      </c>
      <c r="B1399" s="1">
        <v>84</v>
      </c>
      <c r="C1399" s="1" t="s">
        <v>114</v>
      </c>
      <c r="D1399" s="1">
        <v>1480</v>
      </c>
      <c r="E1399" s="1">
        <v>6770</v>
      </c>
      <c r="F1399" s="1"/>
      <c r="G1399" s="1"/>
      <c r="H1399" s="1"/>
      <c r="I1399" s="1" t="s">
        <v>8</v>
      </c>
      <c r="J1399" s="1">
        <v>1773</v>
      </c>
      <c r="K1399" s="1"/>
      <c r="L1399" s="1">
        <v>3014</v>
      </c>
      <c r="M1399" s="1">
        <v>0.495</v>
      </c>
      <c r="N1399" s="1">
        <v>15.01</v>
      </c>
      <c r="O1399" s="1">
        <v>14.821999999999999</v>
      </c>
      <c r="P1399" s="9"/>
    </row>
    <row r="1400" spans="1:16" x14ac:dyDescent="0.25">
      <c r="A1400" s="8">
        <v>16</v>
      </c>
      <c r="B1400" s="1">
        <v>84</v>
      </c>
      <c r="C1400" s="1" t="s">
        <v>114</v>
      </c>
      <c r="D1400" s="1">
        <v>1480</v>
      </c>
      <c r="E1400" s="1">
        <v>6770</v>
      </c>
      <c r="F1400" s="1"/>
      <c r="G1400" s="1"/>
      <c r="H1400" s="1"/>
      <c r="I1400" s="1" t="s">
        <v>13</v>
      </c>
      <c r="J1400" s="1">
        <v>2809</v>
      </c>
      <c r="K1400" s="1"/>
      <c r="L1400" s="1">
        <v>3014</v>
      </c>
      <c r="M1400" s="1">
        <v>0.495</v>
      </c>
      <c r="N1400" s="1">
        <v>15.01</v>
      </c>
      <c r="O1400" s="1">
        <v>14.821999999999999</v>
      </c>
      <c r="P1400" s="9"/>
    </row>
    <row r="1401" spans="1:16" x14ac:dyDescent="0.25">
      <c r="A1401" s="6">
        <v>16</v>
      </c>
      <c r="B1401" s="2">
        <v>95</v>
      </c>
      <c r="C1401" s="2" t="s">
        <v>112</v>
      </c>
      <c r="D1401" s="2">
        <v>2180</v>
      </c>
      <c r="E1401" s="2">
        <v>4950</v>
      </c>
      <c r="F1401" s="2"/>
      <c r="G1401" s="2"/>
      <c r="H1401" s="2"/>
      <c r="I1401" s="2" t="s">
        <v>13</v>
      </c>
      <c r="J1401" s="2">
        <v>2161</v>
      </c>
      <c r="K1401" s="2"/>
      <c r="L1401" s="2">
        <v>2196</v>
      </c>
      <c r="M1401" s="2">
        <v>0.56599999999999995</v>
      </c>
      <c r="N1401" s="2">
        <v>14.868</v>
      </c>
      <c r="O1401" s="2"/>
      <c r="P1401" s="7">
        <v>14.75</v>
      </c>
    </row>
    <row r="1402" spans="1:16" x14ac:dyDescent="0.25">
      <c r="A1402" s="8">
        <v>16</v>
      </c>
      <c r="B1402" s="1">
        <v>95</v>
      </c>
      <c r="C1402" s="1" t="s">
        <v>93</v>
      </c>
      <c r="D1402" s="1">
        <v>2580</v>
      </c>
      <c r="E1402" s="1">
        <v>4950</v>
      </c>
      <c r="F1402" s="1"/>
      <c r="G1402" s="1"/>
      <c r="H1402" s="1"/>
      <c r="I1402" s="1" t="s">
        <v>13</v>
      </c>
      <c r="J1402" s="1">
        <v>2161</v>
      </c>
      <c r="K1402" s="1"/>
      <c r="L1402" s="1">
        <v>2196</v>
      </c>
      <c r="M1402" s="1">
        <v>0.56599999999999995</v>
      </c>
      <c r="N1402" s="1">
        <v>14.868</v>
      </c>
      <c r="O1402" s="1"/>
      <c r="P1402" s="9">
        <v>14.75</v>
      </c>
    </row>
    <row r="1403" spans="1:16" x14ac:dyDescent="0.25">
      <c r="A1403" s="6">
        <v>16</v>
      </c>
      <c r="B1403" s="2">
        <v>95</v>
      </c>
      <c r="C1403" s="2" t="s">
        <v>97</v>
      </c>
      <c r="D1403" s="2">
        <v>2580</v>
      </c>
      <c r="E1403" s="2">
        <v>6810</v>
      </c>
      <c r="F1403" s="2"/>
      <c r="G1403" s="2"/>
      <c r="H1403" s="2"/>
      <c r="I1403" s="2" t="s">
        <v>13</v>
      </c>
      <c r="J1403" s="2">
        <v>2866</v>
      </c>
      <c r="K1403" s="2"/>
      <c r="L1403" s="2">
        <v>3019</v>
      </c>
      <c r="M1403" s="2">
        <v>0.56599999999999995</v>
      </c>
      <c r="N1403" s="2">
        <v>14.868</v>
      </c>
      <c r="O1403" s="2"/>
      <c r="P1403" s="7">
        <v>14.75</v>
      </c>
    </row>
    <row r="1404" spans="1:16" x14ac:dyDescent="0.25">
      <c r="A1404" s="8">
        <v>16</v>
      </c>
      <c r="B1404" s="1">
        <v>95</v>
      </c>
      <c r="C1404" s="1" t="s">
        <v>113</v>
      </c>
      <c r="D1404" s="1">
        <v>2230</v>
      </c>
      <c r="E1404" s="1">
        <v>6810</v>
      </c>
      <c r="F1404" s="1"/>
      <c r="G1404" s="1"/>
      <c r="H1404" s="1"/>
      <c r="I1404" s="1" t="s">
        <v>13</v>
      </c>
      <c r="J1404" s="1">
        <v>2866</v>
      </c>
      <c r="K1404" s="1"/>
      <c r="L1404" s="1">
        <v>3019</v>
      </c>
      <c r="M1404" s="1">
        <v>0.56599999999999995</v>
      </c>
      <c r="N1404" s="1">
        <v>14.868</v>
      </c>
      <c r="O1404" s="1"/>
      <c r="P1404" s="9">
        <v>14.75</v>
      </c>
    </row>
    <row r="1405" spans="1:16" x14ac:dyDescent="0.25">
      <c r="A1405" s="6">
        <v>16</v>
      </c>
      <c r="B1405" s="2">
        <v>95</v>
      </c>
      <c r="C1405" s="2" t="s">
        <v>99</v>
      </c>
      <c r="D1405" s="2">
        <v>2580</v>
      </c>
      <c r="E1405" s="2">
        <v>7740</v>
      </c>
      <c r="F1405" s="2"/>
      <c r="G1405" s="2"/>
      <c r="H1405" s="2"/>
      <c r="I1405" s="2" t="s">
        <v>13</v>
      </c>
      <c r="J1405" s="2">
        <v>3198</v>
      </c>
      <c r="K1405" s="2"/>
      <c r="L1405" s="2">
        <v>3431</v>
      </c>
      <c r="M1405" s="2">
        <v>0.56599999999999995</v>
      </c>
      <c r="N1405" s="2">
        <v>14.868</v>
      </c>
      <c r="O1405" s="2"/>
      <c r="P1405" s="7">
        <v>14.75</v>
      </c>
    </row>
    <row r="1406" spans="1:16" x14ac:dyDescent="0.25">
      <c r="A1406" s="8">
        <v>16</v>
      </c>
      <c r="B1406" s="1">
        <v>95</v>
      </c>
      <c r="C1406" s="1" t="s">
        <v>114</v>
      </c>
      <c r="D1406" s="1">
        <v>2230</v>
      </c>
      <c r="E1406" s="1">
        <v>7740</v>
      </c>
      <c r="F1406" s="1"/>
      <c r="G1406" s="1"/>
      <c r="H1406" s="1"/>
      <c r="I1406" s="1" t="s">
        <v>13</v>
      </c>
      <c r="J1406" s="1">
        <v>3198</v>
      </c>
      <c r="K1406" s="1"/>
      <c r="L1406" s="1">
        <v>3431</v>
      </c>
      <c r="M1406" s="1">
        <v>0.56599999999999995</v>
      </c>
      <c r="N1406" s="1">
        <v>14.868</v>
      </c>
      <c r="O1406" s="1"/>
      <c r="P1406" s="9">
        <v>14.75</v>
      </c>
    </row>
    <row r="1407" spans="1:16" x14ac:dyDescent="0.25">
      <c r="A1407" s="6">
        <v>16</v>
      </c>
      <c r="B1407" s="2">
        <v>97</v>
      </c>
      <c r="C1407" s="2" t="s">
        <v>112</v>
      </c>
      <c r="D1407" s="2">
        <v>2270</v>
      </c>
      <c r="E1407" s="2">
        <v>5030</v>
      </c>
      <c r="F1407" s="2"/>
      <c r="G1407" s="2"/>
      <c r="H1407" s="2"/>
      <c r="I1407" s="2" t="s">
        <v>13</v>
      </c>
      <c r="J1407" s="2">
        <v>2194</v>
      </c>
      <c r="K1407" s="2"/>
      <c r="L1407" s="2">
        <v>2230</v>
      </c>
      <c r="M1407" s="2">
        <v>0.57499999999999996</v>
      </c>
      <c r="N1407" s="2">
        <v>14.85</v>
      </c>
      <c r="O1407" s="2"/>
      <c r="P1407" s="7">
        <v>14.75</v>
      </c>
    </row>
    <row r="1408" spans="1:16" x14ac:dyDescent="0.25">
      <c r="A1408" s="8">
        <v>16</v>
      </c>
      <c r="B1408" s="1">
        <v>97</v>
      </c>
      <c r="C1408" s="1" t="s">
        <v>93</v>
      </c>
      <c r="D1408" s="1">
        <v>2990</v>
      </c>
      <c r="E1408" s="1">
        <v>5030</v>
      </c>
      <c r="F1408" s="1"/>
      <c r="G1408" s="1"/>
      <c r="H1408" s="1"/>
      <c r="I1408" s="1" t="s">
        <v>13</v>
      </c>
      <c r="J1408" s="1">
        <v>2194</v>
      </c>
      <c r="K1408" s="1"/>
      <c r="L1408" s="1">
        <v>2230</v>
      </c>
      <c r="M1408" s="1">
        <v>0.57499999999999996</v>
      </c>
      <c r="N1408" s="1">
        <v>14.85</v>
      </c>
      <c r="O1408" s="1"/>
      <c r="P1408" s="9">
        <v>14.75</v>
      </c>
    </row>
    <row r="1409" spans="1:16" x14ac:dyDescent="0.25">
      <c r="A1409" s="6">
        <v>16</v>
      </c>
      <c r="B1409" s="2">
        <v>97</v>
      </c>
      <c r="C1409" s="2" t="s">
        <v>97</v>
      </c>
      <c r="D1409" s="2">
        <v>2990</v>
      </c>
      <c r="E1409" s="2">
        <v>6920</v>
      </c>
      <c r="F1409" s="2"/>
      <c r="G1409" s="2"/>
      <c r="H1409" s="2"/>
      <c r="I1409" s="2" t="s">
        <v>13</v>
      </c>
      <c r="J1409" s="2">
        <v>2910</v>
      </c>
      <c r="K1409" s="2"/>
      <c r="L1409" s="2">
        <v>3067</v>
      </c>
      <c r="M1409" s="2">
        <v>0.57499999999999996</v>
      </c>
      <c r="N1409" s="2">
        <v>14.85</v>
      </c>
      <c r="O1409" s="2"/>
      <c r="P1409" s="7">
        <v>14.75</v>
      </c>
    </row>
    <row r="1410" spans="1:16" x14ac:dyDescent="0.25">
      <c r="A1410" s="8">
        <v>16</v>
      </c>
      <c r="B1410" s="1">
        <v>97</v>
      </c>
      <c r="C1410" s="1" t="s">
        <v>113</v>
      </c>
      <c r="D1410" s="1">
        <v>2340</v>
      </c>
      <c r="E1410" s="1">
        <v>6920</v>
      </c>
      <c r="F1410" s="1"/>
      <c r="G1410" s="1"/>
      <c r="H1410" s="1"/>
      <c r="I1410" s="1" t="s">
        <v>13</v>
      </c>
      <c r="J1410" s="1">
        <v>2910</v>
      </c>
      <c r="K1410" s="1"/>
      <c r="L1410" s="1">
        <v>3067</v>
      </c>
      <c r="M1410" s="1">
        <v>0.57499999999999996</v>
      </c>
      <c r="N1410" s="1">
        <v>14.85</v>
      </c>
      <c r="O1410" s="1"/>
      <c r="P1410" s="9">
        <v>14.75</v>
      </c>
    </row>
    <row r="1411" spans="1:16" x14ac:dyDescent="0.25">
      <c r="A1411" s="6">
        <v>16</v>
      </c>
      <c r="B1411" s="2">
        <v>97</v>
      </c>
      <c r="C1411" s="2" t="s">
        <v>99</v>
      </c>
      <c r="D1411" s="2">
        <v>2990</v>
      </c>
      <c r="E1411" s="2">
        <v>7860</v>
      </c>
      <c r="F1411" s="2"/>
      <c r="G1411" s="2"/>
      <c r="H1411" s="2"/>
      <c r="I1411" s="2" t="s">
        <v>13</v>
      </c>
      <c r="J1411" s="2">
        <v>3246</v>
      </c>
      <c r="K1411" s="2"/>
      <c r="L1411" s="2">
        <v>3485</v>
      </c>
      <c r="M1411" s="2">
        <v>0.57499999999999996</v>
      </c>
      <c r="N1411" s="2">
        <v>14.85</v>
      </c>
      <c r="O1411" s="2"/>
      <c r="P1411" s="7">
        <v>14.75</v>
      </c>
    </row>
    <row r="1412" spans="1:16" x14ac:dyDescent="0.25">
      <c r="A1412" s="8">
        <v>16</v>
      </c>
      <c r="B1412" s="1">
        <v>97</v>
      </c>
      <c r="C1412" s="1" t="s">
        <v>114</v>
      </c>
      <c r="D1412" s="1">
        <v>2340</v>
      </c>
      <c r="E1412" s="1">
        <v>7860</v>
      </c>
      <c r="F1412" s="1"/>
      <c r="G1412" s="1"/>
      <c r="H1412" s="1"/>
      <c r="I1412" s="1" t="s">
        <v>13</v>
      </c>
      <c r="J1412" s="1">
        <v>3246</v>
      </c>
      <c r="K1412" s="1"/>
      <c r="L1412" s="1">
        <v>3485</v>
      </c>
      <c r="M1412" s="1">
        <v>0.57499999999999996</v>
      </c>
      <c r="N1412" s="1">
        <v>14.85</v>
      </c>
      <c r="O1412" s="1"/>
      <c r="P1412" s="9">
        <v>14.75</v>
      </c>
    </row>
    <row r="1413" spans="1:16" x14ac:dyDescent="0.25">
      <c r="A1413" s="6">
        <v>16</v>
      </c>
      <c r="B1413" s="2">
        <v>109</v>
      </c>
      <c r="C1413" s="2" t="s">
        <v>66</v>
      </c>
      <c r="D1413" s="2">
        <v>2560</v>
      </c>
      <c r="E1413" s="2">
        <v>3950</v>
      </c>
      <c r="F1413" s="2"/>
      <c r="G1413" s="2"/>
      <c r="H1413" s="2"/>
      <c r="I1413" s="2" t="s">
        <v>8</v>
      </c>
      <c r="J1413" s="2">
        <v>1116</v>
      </c>
      <c r="K1413" s="2"/>
      <c r="L1413" s="2">
        <v>1739</v>
      </c>
      <c r="M1413" s="2">
        <v>0.65600000000000003</v>
      </c>
      <c r="N1413" s="2">
        <v>14.688000000000001</v>
      </c>
      <c r="O1413" s="2">
        <v>14.5</v>
      </c>
      <c r="P1413" s="7"/>
    </row>
    <row r="1414" spans="1:16" x14ac:dyDescent="0.25">
      <c r="A1414" s="6">
        <v>16</v>
      </c>
      <c r="B1414" s="2">
        <v>109</v>
      </c>
      <c r="C1414" s="2" t="s">
        <v>66</v>
      </c>
      <c r="D1414" s="2">
        <v>2560</v>
      </c>
      <c r="E1414" s="2">
        <v>3950</v>
      </c>
      <c r="F1414" s="2"/>
      <c r="G1414" s="2"/>
      <c r="H1414" s="2"/>
      <c r="I1414" s="2" t="s">
        <v>13</v>
      </c>
      <c r="J1414" s="2">
        <v>1772</v>
      </c>
      <c r="K1414" s="2"/>
      <c r="L1414" s="2">
        <v>1739</v>
      </c>
      <c r="M1414" s="2">
        <v>0.65600000000000003</v>
      </c>
      <c r="N1414" s="2">
        <v>14.688000000000001</v>
      </c>
      <c r="O1414" s="2">
        <v>14.5</v>
      </c>
      <c r="P1414" s="7"/>
    </row>
    <row r="1415" spans="1:16" x14ac:dyDescent="0.25">
      <c r="A1415" s="8">
        <v>16</v>
      </c>
      <c r="B1415" s="1">
        <v>109</v>
      </c>
      <c r="C1415" s="1" t="s">
        <v>110</v>
      </c>
      <c r="D1415" s="1">
        <v>2560</v>
      </c>
      <c r="E1415" s="1">
        <v>3950</v>
      </c>
      <c r="F1415" s="1"/>
      <c r="G1415" s="1"/>
      <c r="H1415" s="1"/>
      <c r="I1415" s="1" t="s">
        <v>8</v>
      </c>
      <c r="J1415" s="1">
        <v>1181</v>
      </c>
      <c r="K1415" s="1"/>
      <c r="L1415" s="1">
        <v>1739</v>
      </c>
      <c r="M1415" s="1">
        <v>0.65600000000000003</v>
      </c>
      <c r="N1415" s="1">
        <v>14.688000000000001</v>
      </c>
      <c r="O1415" s="1">
        <v>14.5</v>
      </c>
      <c r="P1415" s="9"/>
    </row>
    <row r="1416" spans="1:16" x14ac:dyDescent="0.25">
      <c r="A1416" s="8">
        <v>16</v>
      </c>
      <c r="B1416" s="1">
        <v>109</v>
      </c>
      <c r="C1416" s="1" t="s">
        <v>110</v>
      </c>
      <c r="D1416" s="1">
        <v>2560</v>
      </c>
      <c r="E1416" s="1">
        <v>3950</v>
      </c>
      <c r="F1416" s="1"/>
      <c r="G1416" s="1"/>
      <c r="H1416" s="1"/>
      <c r="I1416" s="1" t="s">
        <v>13</v>
      </c>
      <c r="J1416" s="1">
        <v>1965</v>
      </c>
      <c r="K1416" s="1"/>
      <c r="L1416" s="1">
        <v>1739</v>
      </c>
      <c r="M1416" s="1">
        <v>0.65600000000000003</v>
      </c>
      <c r="N1416" s="1">
        <v>14.688000000000001</v>
      </c>
      <c r="O1416" s="1">
        <v>14.5</v>
      </c>
      <c r="P1416" s="9"/>
    </row>
    <row r="1417" spans="1:16" x14ac:dyDescent="0.25">
      <c r="A1417" s="6">
        <v>16</v>
      </c>
      <c r="B1417" s="2">
        <v>109</v>
      </c>
      <c r="C1417" s="2" t="s">
        <v>112</v>
      </c>
      <c r="D1417" s="2">
        <v>3080</v>
      </c>
      <c r="E1417" s="2">
        <v>5740</v>
      </c>
      <c r="F1417" s="2"/>
      <c r="G1417" s="2"/>
      <c r="H1417" s="2"/>
      <c r="I1417" s="2" t="s">
        <v>8</v>
      </c>
      <c r="J1417" s="2">
        <v>1594</v>
      </c>
      <c r="K1417" s="2"/>
      <c r="L1417" s="2">
        <v>1739</v>
      </c>
      <c r="M1417" s="2">
        <v>0.65600000000000003</v>
      </c>
      <c r="N1417" s="2">
        <v>14.688000000000001</v>
      </c>
      <c r="O1417" s="2">
        <v>14.5</v>
      </c>
      <c r="P1417" s="7"/>
    </row>
    <row r="1418" spans="1:16" x14ac:dyDescent="0.25">
      <c r="A1418" s="6">
        <v>16</v>
      </c>
      <c r="B1418" s="2">
        <v>109</v>
      </c>
      <c r="C1418" s="2" t="s">
        <v>112</v>
      </c>
      <c r="D1418" s="2">
        <v>3080</v>
      </c>
      <c r="E1418" s="2">
        <v>5740</v>
      </c>
      <c r="F1418" s="2"/>
      <c r="G1418" s="2"/>
      <c r="H1418" s="2"/>
      <c r="I1418" s="2" t="s">
        <v>13</v>
      </c>
      <c r="J1418" s="2">
        <v>2489</v>
      </c>
      <c r="K1418" s="2"/>
      <c r="L1418" s="2">
        <v>1739</v>
      </c>
      <c r="M1418" s="2">
        <v>0.65600000000000003</v>
      </c>
      <c r="N1418" s="2">
        <v>14.688000000000001</v>
      </c>
      <c r="O1418" s="2">
        <v>14.5</v>
      </c>
      <c r="P1418" s="7"/>
    </row>
    <row r="1419" spans="1:16" x14ac:dyDescent="0.25">
      <c r="A1419" s="8">
        <v>16</v>
      </c>
      <c r="B1419" s="1">
        <v>118</v>
      </c>
      <c r="C1419" s="1" t="s">
        <v>66</v>
      </c>
      <c r="D1419" s="1">
        <v>3170</v>
      </c>
      <c r="E1419" s="1">
        <v>4300</v>
      </c>
      <c r="F1419" s="1"/>
      <c r="G1419" s="1"/>
      <c r="H1419" s="1"/>
      <c r="I1419" s="1" t="s">
        <v>8</v>
      </c>
      <c r="J1419" s="1">
        <v>1224</v>
      </c>
      <c r="K1419" s="1"/>
      <c r="L1419" s="1">
        <v>1889</v>
      </c>
      <c r="M1419" s="1">
        <v>0.71499999999999997</v>
      </c>
      <c r="N1419" s="1">
        <v>14.57</v>
      </c>
      <c r="O1419" s="1">
        <v>14.382</v>
      </c>
      <c r="P1419" s="9"/>
    </row>
    <row r="1420" spans="1:16" x14ac:dyDescent="0.25">
      <c r="A1420" s="8">
        <v>16</v>
      </c>
      <c r="B1420" s="1">
        <v>118</v>
      </c>
      <c r="C1420" s="1" t="s">
        <v>66</v>
      </c>
      <c r="D1420" s="1">
        <v>3170</v>
      </c>
      <c r="E1420" s="1">
        <v>4300</v>
      </c>
      <c r="F1420" s="1"/>
      <c r="G1420" s="1"/>
      <c r="H1420" s="1"/>
      <c r="I1420" s="1" t="s">
        <v>13</v>
      </c>
      <c r="J1420" s="1">
        <v>1924</v>
      </c>
      <c r="K1420" s="1"/>
      <c r="L1420" s="1">
        <v>1889</v>
      </c>
      <c r="M1420" s="1">
        <v>0.71499999999999997</v>
      </c>
      <c r="N1420" s="1">
        <v>14.57</v>
      </c>
      <c r="O1420" s="1">
        <v>14.382</v>
      </c>
      <c r="P1420" s="9"/>
    </row>
    <row r="1421" spans="1:16" x14ac:dyDescent="0.25">
      <c r="A1421" s="6">
        <v>16</v>
      </c>
      <c r="B1421" s="2">
        <v>118</v>
      </c>
      <c r="C1421" s="2" t="s">
        <v>110</v>
      </c>
      <c r="D1421" s="2">
        <v>3170</v>
      </c>
      <c r="E1421" s="2">
        <v>4300</v>
      </c>
      <c r="F1421" s="2"/>
      <c r="G1421" s="2"/>
      <c r="H1421" s="2"/>
      <c r="I1421" s="2" t="s">
        <v>8</v>
      </c>
      <c r="J1421" s="2">
        <v>1296</v>
      </c>
      <c r="K1421" s="2"/>
      <c r="L1421" s="2">
        <v>1889</v>
      </c>
      <c r="M1421" s="2">
        <v>0.71499999999999997</v>
      </c>
      <c r="N1421" s="2">
        <v>14.57</v>
      </c>
      <c r="O1421" s="2">
        <v>14.382</v>
      </c>
      <c r="P1421" s="7"/>
    </row>
    <row r="1422" spans="1:16" x14ac:dyDescent="0.25">
      <c r="A1422" s="6">
        <v>16</v>
      </c>
      <c r="B1422" s="2">
        <v>118</v>
      </c>
      <c r="C1422" s="2" t="s">
        <v>110</v>
      </c>
      <c r="D1422" s="2">
        <v>3170</v>
      </c>
      <c r="E1422" s="2">
        <v>4300</v>
      </c>
      <c r="F1422" s="2"/>
      <c r="G1422" s="2"/>
      <c r="H1422" s="2"/>
      <c r="I1422" s="2" t="s">
        <v>13</v>
      </c>
      <c r="J1422" s="2">
        <v>2131</v>
      </c>
      <c r="K1422" s="2"/>
      <c r="L1422" s="2">
        <v>1889</v>
      </c>
      <c r="M1422" s="2">
        <v>0.71499999999999997</v>
      </c>
      <c r="N1422" s="2">
        <v>14.57</v>
      </c>
      <c r="O1422" s="2">
        <v>14.382</v>
      </c>
      <c r="P1422" s="7"/>
    </row>
    <row r="1423" spans="1:16" ht="15.75" customHeight="1" thickBot="1" x14ac:dyDescent="0.3">
      <c r="A1423" s="10">
        <v>16</v>
      </c>
      <c r="B1423" s="11">
        <v>118</v>
      </c>
      <c r="C1423" s="11" t="s">
        <v>112</v>
      </c>
      <c r="D1423" s="11">
        <v>3680</v>
      </c>
      <c r="E1423" s="11">
        <v>6260</v>
      </c>
      <c r="F1423" s="11"/>
      <c r="G1423" s="11"/>
      <c r="H1423" s="11"/>
      <c r="I1423" s="1" t="s">
        <v>8</v>
      </c>
      <c r="J1423" s="11">
        <v>1741</v>
      </c>
      <c r="K1423" s="11"/>
      <c r="L1423" s="11">
        <v>2747</v>
      </c>
      <c r="M1423" s="11">
        <v>0.71499999999999997</v>
      </c>
      <c r="N1423" s="11">
        <v>14.57</v>
      </c>
      <c r="O1423" s="11">
        <v>14.382</v>
      </c>
      <c r="P1423" s="12"/>
    </row>
    <row r="1424" spans="1:16" ht="15.75" customHeight="1" thickBot="1" x14ac:dyDescent="0.3">
      <c r="A1424" s="10">
        <v>16</v>
      </c>
      <c r="B1424" s="11">
        <v>118</v>
      </c>
      <c r="C1424" s="11" t="s">
        <v>112</v>
      </c>
      <c r="D1424" s="11">
        <v>3680</v>
      </c>
      <c r="E1424" s="11">
        <v>6260</v>
      </c>
      <c r="F1424" s="11"/>
      <c r="G1424" s="11"/>
      <c r="H1424" s="11"/>
      <c r="I1424" s="1" t="s">
        <v>13</v>
      </c>
      <c r="J1424" s="11">
        <v>2703</v>
      </c>
      <c r="K1424" s="11"/>
      <c r="L1424" s="11">
        <v>2747</v>
      </c>
      <c r="M1424" s="11">
        <v>0.71499999999999997</v>
      </c>
      <c r="N1424" s="11">
        <v>14.57</v>
      </c>
      <c r="O1424" s="11">
        <v>14.382</v>
      </c>
      <c r="P1424" s="12"/>
    </row>
    <row r="1425" spans="1:16" ht="15.75" customHeight="1" thickBot="1" x14ac:dyDescent="0.3">
      <c r="A1425" s="3">
        <v>18.625</v>
      </c>
      <c r="B1425" s="4">
        <v>87.5</v>
      </c>
      <c r="C1425" s="4" t="s">
        <v>81</v>
      </c>
      <c r="D1425" s="4">
        <v>630</v>
      </c>
      <c r="E1425" s="4">
        <v>1630</v>
      </c>
      <c r="F1425" s="4"/>
      <c r="G1425" s="4"/>
      <c r="H1425" s="4"/>
      <c r="I1425" s="4" t="s">
        <v>8</v>
      </c>
      <c r="J1425" s="4">
        <v>559</v>
      </c>
      <c r="K1425" s="4"/>
      <c r="L1425" s="4">
        <v>995</v>
      </c>
      <c r="M1425" s="4">
        <v>0.435</v>
      </c>
      <c r="N1425" s="4">
        <v>17.754999999999999</v>
      </c>
      <c r="O1425" s="4">
        <v>17.567</v>
      </c>
      <c r="P1425" s="5"/>
    </row>
    <row r="1426" spans="1:16" x14ac:dyDescent="0.25">
      <c r="A1426" s="3">
        <v>18.625</v>
      </c>
      <c r="B1426" s="4">
        <v>87.5</v>
      </c>
      <c r="C1426" s="4" t="s">
        <v>81</v>
      </c>
      <c r="D1426" s="4">
        <v>630</v>
      </c>
      <c r="E1426" s="4">
        <v>1630</v>
      </c>
      <c r="F1426" s="4"/>
      <c r="G1426" s="4"/>
      <c r="H1426" s="4"/>
      <c r="I1426" s="4" t="s">
        <v>13</v>
      </c>
      <c r="J1426" s="4">
        <v>993</v>
      </c>
      <c r="K1426" s="4"/>
      <c r="L1426" s="4">
        <v>995</v>
      </c>
      <c r="M1426" s="4">
        <v>0.435</v>
      </c>
      <c r="N1426" s="4">
        <v>17.754999999999999</v>
      </c>
      <c r="O1426" s="4">
        <v>17.567</v>
      </c>
      <c r="P1426" s="5"/>
    </row>
    <row r="1427" spans="1:16" x14ac:dyDescent="0.25">
      <c r="A1427" s="6">
        <v>18.625</v>
      </c>
      <c r="B1427" s="2">
        <v>87.5</v>
      </c>
      <c r="C1427" s="2" t="s">
        <v>66</v>
      </c>
      <c r="D1427" s="2">
        <v>630</v>
      </c>
      <c r="E1427" s="2">
        <v>2250</v>
      </c>
      <c r="F1427" s="2"/>
      <c r="G1427" s="2"/>
      <c r="H1427" s="2"/>
      <c r="I1427" s="2" t="s">
        <v>8</v>
      </c>
      <c r="J1427" s="2">
        <v>754</v>
      </c>
      <c r="K1427" s="2"/>
      <c r="L1427" s="2">
        <v>1368</v>
      </c>
      <c r="M1427" s="2">
        <v>0.435</v>
      </c>
      <c r="N1427" s="2">
        <v>17.754999999999999</v>
      </c>
      <c r="O1427" s="2">
        <v>17.567</v>
      </c>
      <c r="P1427" s="7"/>
    </row>
    <row r="1428" spans="1:16" x14ac:dyDescent="0.25">
      <c r="A1428" s="6">
        <v>18.625</v>
      </c>
      <c r="B1428" s="2">
        <v>87.5</v>
      </c>
      <c r="C1428" s="2" t="s">
        <v>66</v>
      </c>
      <c r="D1428" s="2">
        <v>630</v>
      </c>
      <c r="E1428" s="2">
        <v>2250</v>
      </c>
      <c r="F1428" s="2"/>
      <c r="G1428" s="2"/>
      <c r="H1428" s="2"/>
      <c r="I1428" s="2" t="s">
        <v>13</v>
      </c>
      <c r="J1428" s="2">
        <v>1329</v>
      </c>
      <c r="K1428" s="2"/>
      <c r="L1428" s="2">
        <v>1368</v>
      </c>
      <c r="M1428" s="2">
        <v>0.435</v>
      </c>
      <c r="N1428" s="2">
        <v>17.754999999999999</v>
      </c>
      <c r="O1428" s="2">
        <v>17.567</v>
      </c>
      <c r="P1428" s="7"/>
    </row>
    <row r="1429" spans="1:16" x14ac:dyDescent="0.25">
      <c r="A1429" s="8">
        <v>18.625</v>
      </c>
      <c r="B1429" s="1">
        <v>87.5</v>
      </c>
      <c r="C1429" s="1" t="s">
        <v>110</v>
      </c>
      <c r="D1429" s="1">
        <v>630</v>
      </c>
      <c r="E1429" s="1">
        <v>2250</v>
      </c>
      <c r="F1429" s="1"/>
      <c r="G1429" s="1"/>
      <c r="H1429" s="1"/>
      <c r="I1429" s="1" t="s">
        <v>8</v>
      </c>
      <c r="J1429" s="1">
        <v>794</v>
      </c>
      <c r="K1429" s="1"/>
      <c r="L1429" s="1">
        <v>1368</v>
      </c>
      <c r="M1429" s="1">
        <v>0.435</v>
      </c>
      <c r="N1429" s="1">
        <v>17.754999999999999</v>
      </c>
      <c r="O1429" s="1">
        <v>17.567</v>
      </c>
      <c r="P1429" s="9"/>
    </row>
    <row r="1430" spans="1:16" x14ac:dyDescent="0.25">
      <c r="A1430" s="8">
        <v>18.625</v>
      </c>
      <c r="B1430" s="1">
        <v>87.5</v>
      </c>
      <c r="C1430" s="1" t="s">
        <v>110</v>
      </c>
      <c r="D1430" s="1">
        <v>630</v>
      </c>
      <c r="E1430" s="1">
        <v>2250</v>
      </c>
      <c r="F1430" s="1"/>
      <c r="G1430" s="1"/>
      <c r="H1430" s="1"/>
      <c r="I1430" s="1" t="s">
        <v>13</v>
      </c>
      <c r="J1430" s="1">
        <v>1427</v>
      </c>
      <c r="K1430" s="1"/>
      <c r="L1430" s="1">
        <v>1368</v>
      </c>
      <c r="M1430" s="1">
        <v>0.435</v>
      </c>
      <c r="N1430" s="1">
        <v>17.754999999999999</v>
      </c>
      <c r="O1430" s="1">
        <v>17.567</v>
      </c>
      <c r="P1430" s="9"/>
    </row>
    <row r="1431" spans="1:16" x14ac:dyDescent="0.25">
      <c r="A1431" s="6">
        <v>18.625</v>
      </c>
      <c r="B1431" s="2">
        <v>87.5</v>
      </c>
      <c r="C1431" s="2" t="s">
        <v>112</v>
      </c>
      <c r="D1431" s="2">
        <v>630</v>
      </c>
      <c r="E1431" s="2">
        <v>3270</v>
      </c>
      <c r="F1431" s="2"/>
      <c r="G1431" s="2"/>
      <c r="H1431" s="2"/>
      <c r="I1431" s="2" t="s">
        <v>8</v>
      </c>
      <c r="J1431" s="2">
        <v>1079</v>
      </c>
      <c r="K1431" s="2"/>
      <c r="L1431" s="2">
        <v>1990</v>
      </c>
      <c r="M1431" s="2">
        <v>0.435</v>
      </c>
      <c r="N1431" s="2">
        <v>17.754999999999999</v>
      </c>
      <c r="O1431" s="2">
        <v>17.567</v>
      </c>
      <c r="P1431" s="7"/>
    </row>
    <row r="1432" spans="1:16" x14ac:dyDescent="0.25">
      <c r="A1432" s="6">
        <v>18.625</v>
      </c>
      <c r="B1432" s="2">
        <v>87.5</v>
      </c>
      <c r="C1432" s="2" t="s">
        <v>112</v>
      </c>
      <c r="D1432" s="2">
        <v>630</v>
      </c>
      <c r="E1432" s="2">
        <v>3270</v>
      </c>
      <c r="F1432" s="2"/>
      <c r="G1432" s="2"/>
      <c r="H1432" s="2"/>
      <c r="I1432" s="2" t="s">
        <v>13</v>
      </c>
      <c r="J1432" s="2">
        <v>1887</v>
      </c>
      <c r="K1432" s="2"/>
      <c r="L1432" s="2">
        <v>1990</v>
      </c>
      <c r="M1432" s="2">
        <v>0.435</v>
      </c>
      <c r="N1432" s="2">
        <v>17.754999999999999</v>
      </c>
      <c r="O1432" s="2">
        <v>17.567</v>
      </c>
      <c r="P1432" s="7"/>
    </row>
    <row r="1433" spans="1:16" x14ac:dyDescent="0.25">
      <c r="A1433" s="8">
        <v>18.625</v>
      </c>
      <c r="B1433" s="1">
        <v>94.5</v>
      </c>
      <c r="C1433" s="1" t="s">
        <v>81</v>
      </c>
      <c r="D1433" s="1">
        <v>780</v>
      </c>
      <c r="E1433" s="1">
        <v>1760</v>
      </c>
      <c r="F1433" s="1"/>
      <c r="G1433" s="1"/>
      <c r="H1433" s="1"/>
      <c r="I1433" s="1" t="s">
        <v>8</v>
      </c>
      <c r="J1433" s="1">
        <v>609</v>
      </c>
      <c r="K1433" s="1"/>
      <c r="L1433" s="1">
        <v>1068</v>
      </c>
      <c r="M1433" s="1">
        <v>0.46800000000000003</v>
      </c>
      <c r="N1433" s="1">
        <v>17.689</v>
      </c>
      <c r="O1433" s="1">
        <v>17.501000000000001</v>
      </c>
      <c r="P1433" s="9"/>
    </row>
    <row r="1434" spans="1:16" x14ac:dyDescent="0.25">
      <c r="A1434" s="8">
        <v>18.625</v>
      </c>
      <c r="B1434" s="1">
        <v>94.5</v>
      </c>
      <c r="C1434" s="1" t="s">
        <v>81</v>
      </c>
      <c r="D1434" s="1">
        <v>780</v>
      </c>
      <c r="E1434" s="1">
        <v>1760</v>
      </c>
      <c r="F1434" s="1"/>
      <c r="G1434" s="1"/>
      <c r="H1434" s="1"/>
      <c r="I1434" s="1" t="s">
        <v>13</v>
      </c>
      <c r="J1434" s="1">
        <v>1067</v>
      </c>
      <c r="K1434" s="1"/>
      <c r="L1434" s="1">
        <v>1068</v>
      </c>
      <c r="M1434" s="1">
        <v>0.46800000000000003</v>
      </c>
      <c r="N1434" s="1">
        <v>17.689</v>
      </c>
      <c r="O1434" s="1">
        <v>17.501000000000001</v>
      </c>
      <c r="P1434" s="9"/>
    </row>
    <row r="1435" spans="1:16" x14ac:dyDescent="0.25">
      <c r="A1435" s="6">
        <v>18.625</v>
      </c>
      <c r="B1435" s="2">
        <v>94.5</v>
      </c>
      <c r="C1435" s="2" t="s">
        <v>66</v>
      </c>
      <c r="D1435" s="2">
        <v>780</v>
      </c>
      <c r="E1435" s="2">
        <v>2420</v>
      </c>
      <c r="F1435" s="2"/>
      <c r="G1435" s="2"/>
      <c r="H1435" s="2"/>
      <c r="I1435" s="2" t="s">
        <v>8</v>
      </c>
      <c r="J1435" s="2">
        <v>821</v>
      </c>
      <c r="K1435" s="2"/>
      <c r="L1435" s="2">
        <v>1469</v>
      </c>
      <c r="M1435" s="2">
        <v>0.46800000000000003</v>
      </c>
      <c r="N1435" s="2">
        <v>17.689</v>
      </c>
      <c r="O1435" s="2">
        <v>17.501000000000001</v>
      </c>
      <c r="P1435" s="7"/>
    </row>
    <row r="1436" spans="1:16" x14ac:dyDescent="0.25">
      <c r="A1436" s="6">
        <v>18.625</v>
      </c>
      <c r="B1436" s="2">
        <v>94.5</v>
      </c>
      <c r="C1436" s="2" t="s">
        <v>66</v>
      </c>
      <c r="D1436" s="2">
        <v>780</v>
      </c>
      <c r="E1436" s="2">
        <v>2420</v>
      </c>
      <c r="F1436" s="2"/>
      <c r="G1436" s="2"/>
      <c r="H1436" s="2"/>
      <c r="I1436" s="2" t="s">
        <v>13</v>
      </c>
      <c r="J1436" s="2">
        <v>1427</v>
      </c>
      <c r="K1436" s="2"/>
      <c r="L1436" s="2">
        <v>1469</v>
      </c>
      <c r="M1436" s="2">
        <v>0.46800000000000003</v>
      </c>
      <c r="N1436" s="2">
        <v>17.689</v>
      </c>
      <c r="O1436" s="2">
        <v>17.501000000000001</v>
      </c>
      <c r="P1436" s="7"/>
    </row>
    <row r="1437" spans="1:16" x14ac:dyDescent="0.25">
      <c r="A1437" s="8">
        <v>18.625</v>
      </c>
      <c r="B1437" s="1">
        <v>94.5</v>
      </c>
      <c r="C1437" s="1" t="s">
        <v>110</v>
      </c>
      <c r="D1437" s="1">
        <v>780</v>
      </c>
      <c r="E1437" s="1">
        <v>2420</v>
      </c>
      <c r="F1437" s="1"/>
      <c r="G1437" s="1"/>
      <c r="H1437" s="1"/>
      <c r="I1437" s="1" t="s">
        <v>8</v>
      </c>
      <c r="J1437" s="1">
        <v>865</v>
      </c>
      <c r="K1437" s="1"/>
      <c r="L1437" s="1">
        <v>1469</v>
      </c>
      <c r="M1437" s="1">
        <v>0.46800000000000003</v>
      </c>
      <c r="N1437" s="1">
        <v>17.689</v>
      </c>
      <c r="O1437" s="1">
        <v>17.501000000000001</v>
      </c>
      <c r="P1437" s="9"/>
    </row>
    <row r="1438" spans="1:16" x14ac:dyDescent="0.25">
      <c r="A1438" s="8">
        <v>18.625</v>
      </c>
      <c r="B1438" s="1">
        <v>94.5</v>
      </c>
      <c r="C1438" s="1" t="s">
        <v>110</v>
      </c>
      <c r="D1438" s="1">
        <v>780</v>
      </c>
      <c r="E1438" s="1">
        <v>2420</v>
      </c>
      <c r="F1438" s="1"/>
      <c r="G1438" s="1"/>
      <c r="H1438" s="1"/>
      <c r="I1438" s="1" t="s">
        <v>13</v>
      </c>
      <c r="J1438" s="1">
        <v>1533</v>
      </c>
      <c r="K1438" s="1"/>
      <c r="L1438" s="1">
        <v>1469</v>
      </c>
      <c r="M1438" s="1">
        <v>0.46800000000000003</v>
      </c>
      <c r="N1438" s="1">
        <v>17.689</v>
      </c>
      <c r="O1438" s="1">
        <v>17.501000000000001</v>
      </c>
      <c r="P1438" s="9"/>
    </row>
    <row r="1439" spans="1:16" x14ac:dyDescent="0.25">
      <c r="A1439" s="6">
        <v>18.625</v>
      </c>
      <c r="B1439" s="2">
        <v>94.5</v>
      </c>
      <c r="C1439" s="2" t="s">
        <v>112</v>
      </c>
      <c r="D1439" s="2">
        <v>780</v>
      </c>
      <c r="E1439" s="2">
        <v>3520</v>
      </c>
      <c r="F1439" s="2"/>
      <c r="G1439" s="2"/>
      <c r="H1439" s="2"/>
      <c r="I1439" s="2" t="s">
        <v>8</v>
      </c>
      <c r="J1439" s="2">
        <v>1174</v>
      </c>
      <c r="K1439" s="2"/>
      <c r="L1439" s="2">
        <v>2137</v>
      </c>
      <c r="M1439" s="2">
        <v>0.46800000000000003</v>
      </c>
      <c r="N1439" s="2">
        <v>17.689</v>
      </c>
      <c r="O1439" s="2">
        <v>17.501000000000001</v>
      </c>
      <c r="P1439" s="7"/>
    </row>
    <row r="1440" spans="1:16" x14ac:dyDescent="0.25">
      <c r="A1440" s="6">
        <v>18.625</v>
      </c>
      <c r="B1440" s="2">
        <v>94.5</v>
      </c>
      <c r="C1440" s="2" t="s">
        <v>112</v>
      </c>
      <c r="D1440" s="2">
        <v>780</v>
      </c>
      <c r="E1440" s="2">
        <v>3520</v>
      </c>
      <c r="F1440" s="2"/>
      <c r="G1440" s="2"/>
      <c r="H1440" s="2"/>
      <c r="I1440" s="2" t="s">
        <v>13</v>
      </c>
      <c r="J1440" s="2">
        <v>2027</v>
      </c>
      <c r="K1440" s="2"/>
      <c r="L1440" s="2">
        <v>2137</v>
      </c>
      <c r="M1440" s="2">
        <v>0.46800000000000003</v>
      </c>
      <c r="N1440" s="2">
        <v>17.689</v>
      </c>
      <c r="O1440" s="2">
        <v>17.501000000000001</v>
      </c>
      <c r="P1440" s="7"/>
    </row>
    <row r="1441" spans="1:16" x14ac:dyDescent="0.25">
      <c r="A1441" s="8">
        <v>18.625</v>
      </c>
      <c r="B1441" s="1">
        <v>106</v>
      </c>
      <c r="C1441" s="1" t="s">
        <v>81</v>
      </c>
      <c r="D1441" s="1">
        <v>1140</v>
      </c>
      <c r="E1441" s="1">
        <v>2000</v>
      </c>
      <c r="F1441" s="1"/>
      <c r="G1441" s="1"/>
      <c r="H1441" s="1"/>
      <c r="I1441" s="1" t="s">
        <v>8</v>
      </c>
      <c r="J1441" s="1">
        <v>703</v>
      </c>
      <c r="K1441" s="1"/>
      <c r="L1441" s="1">
        <v>1208</v>
      </c>
      <c r="M1441" s="1">
        <v>0.53100000000000003</v>
      </c>
      <c r="N1441" s="1">
        <v>17.562999999999999</v>
      </c>
      <c r="O1441" s="1">
        <v>17.375</v>
      </c>
      <c r="P1441" s="9"/>
    </row>
    <row r="1442" spans="1:16" x14ac:dyDescent="0.25">
      <c r="A1442" s="8">
        <v>18.625</v>
      </c>
      <c r="B1442" s="1">
        <v>106</v>
      </c>
      <c r="C1442" s="1" t="s">
        <v>81</v>
      </c>
      <c r="D1442" s="1">
        <v>1140</v>
      </c>
      <c r="E1442" s="1">
        <v>2000</v>
      </c>
      <c r="F1442" s="1"/>
      <c r="G1442" s="1"/>
      <c r="H1442" s="1"/>
      <c r="I1442" s="1" t="s">
        <v>13</v>
      </c>
      <c r="J1442" s="1">
        <v>1206</v>
      </c>
      <c r="K1442" s="1"/>
      <c r="L1442" s="1">
        <v>1208</v>
      </c>
      <c r="M1442" s="1">
        <v>0.53100000000000003</v>
      </c>
      <c r="N1442" s="1">
        <v>17.562999999999999</v>
      </c>
      <c r="O1442" s="1">
        <v>17.375</v>
      </c>
      <c r="P1442" s="9"/>
    </row>
    <row r="1443" spans="1:16" x14ac:dyDescent="0.25">
      <c r="A1443" s="6">
        <v>18.625</v>
      </c>
      <c r="B1443" s="2">
        <v>106</v>
      </c>
      <c r="C1443" s="2" t="s">
        <v>66</v>
      </c>
      <c r="D1443" s="2">
        <v>1140</v>
      </c>
      <c r="E1443" s="2">
        <v>2740</v>
      </c>
      <c r="F1443" s="2"/>
      <c r="G1443" s="2"/>
      <c r="H1443" s="2"/>
      <c r="I1443" s="2" t="s">
        <v>8</v>
      </c>
      <c r="J1443" s="2">
        <v>948</v>
      </c>
      <c r="K1443" s="2"/>
      <c r="L1443" s="2">
        <v>1661</v>
      </c>
      <c r="M1443" s="2">
        <v>0.53100000000000003</v>
      </c>
      <c r="N1443" s="2">
        <v>17.562999999999999</v>
      </c>
      <c r="O1443" s="2">
        <v>17.375</v>
      </c>
      <c r="P1443" s="7"/>
    </row>
    <row r="1444" spans="1:16" x14ac:dyDescent="0.25">
      <c r="A1444" s="6">
        <v>18.625</v>
      </c>
      <c r="B1444" s="2">
        <v>106</v>
      </c>
      <c r="C1444" s="2" t="s">
        <v>66</v>
      </c>
      <c r="D1444" s="2">
        <v>1140</v>
      </c>
      <c r="E1444" s="2">
        <v>2740</v>
      </c>
      <c r="F1444" s="2"/>
      <c r="G1444" s="2"/>
      <c r="H1444" s="2"/>
      <c r="I1444" s="2" t="s">
        <v>13</v>
      </c>
      <c r="J1444" s="2">
        <v>1613</v>
      </c>
      <c r="K1444" s="2"/>
      <c r="L1444" s="2">
        <v>1661</v>
      </c>
      <c r="M1444" s="2">
        <v>0.53100000000000003</v>
      </c>
      <c r="N1444" s="2">
        <v>17.562999999999999</v>
      </c>
      <c r="O1444" s="2">
        <v>17.375</v>
      </c>
      <c r="P1444" s="7"/>
    </row>
    <row r="1445" spans="1:16" x14ac:dyDescent="0.25">
      <c r="A1445" s="8">
        <v>18.625</v>
      </c>
      <c r="B1445" s="1">
        <v>106</v>
      </c>
      <c r="C1445" s="1" t="s">
        <v>110</v>
      </c>
      <c r="D1445" s="1">
        <v>1140</v>
      </c>
      <c r="E1445" s="1">
        <v>2740</v>
      </c>
      <c r="F1445" s="1"/>
      <c r="G1445" s="1"/>
      <c r="H1445" s="1"/>
      <c r="I1445" s="1" t="s">
        <v>8</v>
      </c>
      <c r="J1445" s="1">
        <v>998</v>
      </c>
      <c r="K1445" s="1"/>
      <c r="L1445" s="1">
        <v>1661</v>
      </c>
      <c r="M1445" s="1">
        <v>0.53100000000000003</v>
      </c>
      <c r="N1445" s="1">
        <v>17.562999999999999</v>
      </c>
      <c r="O1445" s="1">
        <v>17.375</v>
      </c>
      <c r="P1445" s="9"/>
    </row>
    <row r="1446" spans="1:16" x14ac:dyDescent="0.25">
      <c r="A1446" s="8">
        <v>18.625</v>
      </c>
      <c r="B1446" s="1">
        <v>106</v>
      </c>
      <c r="C1446" s="1" t="s">
        <v>110</v>
      </c>
      <c r="D1446" s="1">
        <v>1140</v>
      </c>
      <c r="E1446" s="1">
        <v>2740</v>
      </c>
      <c r="F1446" s="1"/>
      <c r="G1446" s="1"/>
      <c r="H1446" s="1"/>
      <c r="I1446" s="1" t="s">
        <v>13</v>
      </c>
      <c r="J1446" s="1">
        <v>1733</v>
      </c>
      <c r="K1446" s="1"/>
      <c r="L1446" s="1">
        <v>1661</v>
      </c>
      <c r="M1446" s="1">
        <v>0.53100000000000003</v>
      </c>
      <c r="N1446" s="1">
        <v>17.562999999999999</v>
      </c>
      <c r="O1446" s="1">
        <v>17.375</v>
      </c>
      <c r="P1446" s="9"/>
    </row>
    <row r="1447" spans="1:16" x14ac:dyDescent="0.25">
      <c r="A1447" s="6">
        <v>18.625</v>
      </c>
      <c r="B1447" s="2">
        <v>106</v>
      </c>
      <c r="C1447" s="2" t="s">
        <v>112</v>
      </c>
      <c r="D1447" s="2">
        <v>1150</v>
      </c>
      <c r="E1447" s="2">
        <v>3990</v>
      </c>
      <c r="F1447" s="2"/>
      <c r="G1447" s="2"/>
      <c r="H1447" s="2"/>
      <c r="I1447" s="2" t="s">
        <v>8</v>
      </c>
      <c r="J1447" s="2">
        <v>1356</v>
      </c>
      <c r="K1447" s="2"/>
      <c r="L1447" s="2">
        <v>2416</v>
      </c>
      <c r="M1447" s="2">
        <v>0.53100000000000003</v>
      </c>
      <c r="N1447" s="2">
        <v>17.562999999999999</v>
      </c>
      <c r="O1447" s="2">
        <v>17.375</v>
      </c>
      <c r="P1447" s="7"/>
    </row>
    <row r="1448" spans="1:16" x14ac:dyDescent="0.25">
      <c r="A1448" s="6">
        <v>18.625</v>
      </c>
      <c r="B1448" s="2">
        <v>106</v>
      </c>
      <c r="C1448" s="2" t="s">
        <v>112</v>
      </c>
      <c r="D1448" s="2">
        <v>1150</v>
      </c>
      <c r="E1448" s="2">
        <v>3990</v>
      </c>
      <c r="F1448" s="2"/>
      <c r="G1448" s="2"/>
      <c r="H1448" s="2"/>
      <c r="I1448" s="2" t="s">
        <v>13</v>
      </c>
      <c r="J1448" s="2">
        <v>2292</v>
      </c>
      <c r="K1448" s="2"/>
      <c r="L1448" s="2">
        <v>2416</v>
      </c>
      <c r="M1448" s="2">
        <v>0.53100000000000003</v>
      </c>
      <c r="N1448" s="2">
        <v>17.562999999999999</v>
      </c>
      <c r="O1448" s="2">
        <v>17.375</v>
      </c>
      <c r="P1448" s="7"/>
    </row>
    <row r="1449" spans="1:16" x14ac:dyDescent="0.25">
      <c r="A1449" s="8">
        <v>18.625</v>
      </c>
      <c r="B1449" s="1">
        <v>117.5</v>
      </c>
      <c r="C1449" s="1" t="s">
        <v>81</v>
      </c>
      <c r="D1449" s="1">
        <v>1500</v>
      </c>
      <c r="E1449" s="1">
        <v>2230</v>
      </c>
      <c r="F1449" s="1"/>
      <c r="G1449" s="1"/>
      <c r="H1449" s="1"/>
      <c r="I1449" s="1" t="s">
        <v>8</v>
      </c>
      <c r="J1449" s="1">
        <v>795</v>
      </c>
      <c r="K1449" s="1"/>
      <c r="L1449" s="1">
        <v>1344</v>
      </c>
      <c r="M1449" s="1">
        <v>0.59299999999999997</v>
      </c>
      <c r="N1449" s="1">
        <v>17.439</v>
      </c>
      <c r="O1449" s="1">
        <v>17.251000000000001</v>
      </c>
      <c r="P1449" s="9"/>
    </row>
    <row r="1450" spans="1:16" x14ac:dyDescent="0.25">
      <c r="A1450" s="8">
        <v>18.625</v>
      </c>
      <c r="B1450" s="1">
        <v>117.5</v>
      </c>
      <c r="C1450" s="1" t="s">
        <v>81</v>
      </c>
      <c r="D1450" s="1">
        <v>1500</v>
      </c>
      <c r="E1450" s="1">
        <v>2230</v>
      </c>
      <c r="F1450" s="1"/>
      <c r="G1450" s="1"/>
      <c r="H1450" s="1"/>
      <c r="I1450" s="1" t="s">
        <v>13</v>
      </c>
      <c r="J1450" s="1">
        <v>1342</v>
      </c>
      <c r="K1450" s="1"/>
      <c r="L1450" s="1">
        <v>1344</v>
      </c>
      <c r="M1450" s="1">
        <v>0.59299999999999997</v>
      </c>
      <c r="N1450" s="1">
        <v>17.439</v>
      </c>
      <c r="O1450" s="1">
        <v>17.251000000000001</v>
      </c>
      <c r="P1450" s="9"/>
    </row>
    <row r="1451" spans="1:16" x14ac:dyDescent="0.25">
      <c r="A1451" s="6">
        <v>18.625</v>
      </c>
      <c r="B1451" s="2">
        <v>117.5</v>
      </c>
      <c r="C1451" s="2" t="s">
        <v>66</v>
      </c>
      <c r="D1451" s="2">
        <v>1510</v>
      </c>
      <c r="E1451" s="2">
        <v>3060</v>
      </c>
      <c r="F1451" s="2"/>
      <c r="G1451" s="2"/>
      <c r="H1451" s="2"/>
      <c r="I1451" s="2" t="s">
        <v>8</v>
      </c>
      <c r="J1451" s="2">
        <v>1072</v>
      </c>
      <c r="K1451" s="2"/>
      <c r="L1451" s="2">
        <v>1849</v>
      </c>
      <c r="M1451" s="2">
        <v>0.59299999999999997</v>
      </c>
      <c r="N1451" s="2">
        <v>17.439</v>
      </c>
      <c r="O1451" s="2">
        <v>17.251000000000001</v>
      </c>
      <c r="P1451" s="7"/>
    </row>
    <row r="1452" spans="1:16" x14ac:dyDescent="0.25">
      <c r="A1452" s="6">
        <v>18.625</v>
      </c>
      <c r="B1452" s="2">
        <v>117.5</v>
      </c>
      <c r="C1452" s="2" t="s">
        <v>66</v>
      </c>
      <c r="D1452" s="2">
        <v>1510</v>
      </c>
      <c r="E1452" s="2">
        <v>3060</v>
      </c>
      <c r="F1452" s="2"/>
      <c r="G1452" s="2"/>
      <c r="H1452" s="2"/>
      <c r="I1452" s="2" t="s">
        <v>13</v>
      </c>
      <c r="J1452" s="2">
        <v>1795</v>
      </c>
      <c r="K1452" s="2"/>
      <c r="L1452" s="2">
        <v>1849</v>
      </c>
      <c r="M1452" s="2">
        <v>0.59299999999999997</v>
      </c>
      <c r="N1452" s="2">
        <v>17.439</v>
      </c>
      <c r="O1452" s="2">
        <v>17.251000000000001</v>
      </c>
      <c r="P1452" s="7"/>
    </row>
    <row r="1453" spans="1:16" x14ac:dyDescent="0.25">
      <c r="A1453" s="8">
        <v>18.625</v>
      </c>
      <c r="B1453" s="1">
        <v>117.5</v>
      </c>
      <c r="C1453" s="1" t="s">
        <v>110</v>
      </c>
      <c r="D1453" s="1">
        <v>1510</v>
      </c>
      <c r="E1453" s="1">
        <v>3060</v>
      </c>
      <c r="F1453" s="1"/>
      <c r="G1453" s="1"/>
      <c r="H1453" s="1"/>
      <c r="I1453" s="1" t="s">
        <v>8</v>
      </c>
      <c r="J1453" s="1">
        <v>1129</v>
      </c>
      <c r="K1453" s="1"/>
      <c r="L1453" s="1">
        <v>1849</v>
      </c>
      <c r="M1453" s="1">
        <v>0.59299999999999997</v>
      </c>
      <c r="N1453" s="1">
        <v>17.439</v>
      </c>
      <c r="O1453" s="1">
        <v>17.251000000000001</v>
      </c>
      <c r="P1453" s="9"/>
    </row>
    <row r="1454" spans="1:16" x14ac:dyDescent="0.25">
      <c r="A1454" s="8">
        <v>18.625</v>
      </c>
      <c r="B1454" s="1">
        <v>117.5</v>
      </c>
      <c r="C1454" s="1" t="s">
        <v>110</v>
      </c>
      <c r="D1454" s="1">
        <v>1510</v>
      </c>
      <c r="E1454" s="1">
        <v>3060</v>
      </c>
      <c r="F1454" s="1"/>
      <c r="G1454" s="1"/>
      <c r="H1454" s="1"/>
      <c r="I1454" s="1" t="s">
        <v>13</v>
      </c>
      <c r="J1454" s="1">
        <v>1929</v>
      </c>
      <c r="K1454" s="1"/>
      <c r="L1454" s="1">
        <v>1849</v>
      </c>
      <c r="M1454" s="1">
        <v>0.59299999999999997</v>
      </c>
      <c r="N1454" s="1">
        <v>17.439</v>
      </c>
      <c r="O1454" s="1">
        <v>17.251000000000001</v>
      </c>
      <c r="P1454" s="9"/>
    </row>
    <row r="1455" spans="1:16" ht="15.75" customHeight="1" thickBot="1" x14ac:dyDescent="0.3">
      <c r="A1455" s="13">
        <v>18.625</v>
      </c>
      <c r="B1455" s="14">
        <v>117.5</v>
      </c>
      <c r="C1455" s="14" t="s">
        <v>112</v>
      </c>
      <c r="D1455" s="14">
        <v>1620</v>
      </c>
      <c r="E1455" s="14">
        <v>4460</v>
      </c>
      <c r="F1455" s="14"/>
      <c r="G1455" s="14"/>
      <c r="H1455" s="14"/>
      <c r="I1455" s="2" t="s">
        <v>8</v>
      </c>
      <c r="J1455" s="14">
        <v>1534</v>
      </c>
      <c r="K1455" s="14"/>
      <c r="L1455" s="14">
        <v>2689</v>
      </c>
      <c r="M1455" s="14">
        <v>0.59299999999999997</v>
      </c>
      <c r="N1455" s="14">
        <v>17.439</v>
      </c>
      <c r="O1455" s="14">
        <v>17.251000000000001</v>
      </c>
      <c r="P1455" s="15"/>
    </row>
    <row r="1456" spans="1:16" ht="15.75" customHeight="1" thickBot="1" x14ac:dyDescent="0.3">
      <c r="A1456" s="13">
        <v>18.625</v>
      </c>
      <c r="B1456" s="14">
        <v>117.5</v>
      </c>
      <c r="C1456" s="14" t="s">
        <v>112</v>
      </c>
      <c r="D1456" s="14">
        <v>1620</v>
      </c>
      <c r="E1456" s="14">
        <v>4460</v>
      </c>
      <c r="F1456" s="14"/>
      <c r="G1456" s="14"/>
      <c r="H1456" s="14"/>
      <c r="I1456" s="2" t="s">
        <v>13</v>
      </c>
      <c r="J1456" s="14">
        <v>2551</v>
      </c>
      <c r="K1456" s="14"/>
      <c r="L1456" s="14">
        <v>2689</v>
      </c>
      <c r="M1456" s="14">
        <v>0.59299999999999997</v>
      </c>
      <c r="N1456" s="14">
        <v>17.439</v>
      </c>
      <c r="O1456" s="14">
        <v>17.251000000000001</v>
      </c>
      <c r="P1456" s="15"/>
    </row>
    <row r="1457" spans="1:16" ht="15.75" customHeight="1" thickBot="1" x14ac:dyDescent="0.3">
      <c r="A1457" s="3">
        <v>20</v>
      </c>
      <c r="B1457" s="4">
        <v>94</v>
      </c>
      <c r="C1457" s="4" t="s">
        <v>81</v>
      </c>
      <c r="D1457" s="4">
        <v>520</v>
      </c>
      <c r="E1457" s="4">
        <v>1530</v>
      </c>
      <c r="F1457" s="4"/>
      <c r="G1457" s="4"/>
      <c r="H1457" s="4"/>
      <c r="I1457" s="1" t="s">
        <v>8</v>
      </c>
      <c r="J1457" s="4">
        <v>581</v>
      </c>
      <c r="K1457" s="4"/>
      <c r="L1457" s="4">
        <v>1077</v>
      </c>
      <c r="M1457" s="4">
        <v>0.438</v>
      </c>
      <c r="N1457" s="4">
        <v>19.123999999999999</v>
      </c>
      <c r="O1457" s="4">
        <v>18.936</v>
      </c>
      <c r="P1457" s="5"/>
    </row>
    <row r="1458" spans="1:16" x14ac:dyDescent="0.25">
      <c r="A1458" s="3">
        <v>20</v>
      </c>
      <c r="B1458" s="4">
        <v>94</v>
      </c>
      <c r="C1458" s="4" t="s">
        <v>81</v>
      </c>
      <c r="D1458" s="4">
        <v>520</v>
      </c>
      <c r="E1458" s="4">
        <v>1530</v>
      </c>
      <c r="F1458" s="4"/>
      <c r="G1458" s="4"/>
      <c r="H1458" s="4"/>
      <c r="I1458" s="1" t="s">
        <v>13</v>
      </c>
      <c r="J1458" s="4">
        <v>1041</v>
      </c>
      <c r="K1458" s="4"/>
      <c r="L1458" s="4">
        <v>1077</v>
      </c>
      <c r="M1458" s="4">
        <v>0.438</v>
      </c>
      <c r="N1458" s="4">
        <v>19.123999999999999</v>
      </c>
      <c r="O1458" s="4">
        <v>18.936</v>
      </c>
      <c r="P1458" s="5"/>
    </row>
    <row r="1459" spans="1:16" x14ac:dyDescent="0.25">
      <c r="A1459" s="6">
        <v>20</v>
      </c>
      <c r="B1459" s="2">
        <v>94</v>
      </c>
      <c r="C1459" s="2" t="s">
        <v>66</v>
      </c>
      <c r="D1459" s="2">
        <v>520</v>
      </c>
      <c r="E1459" s="2">
        <v>2110</v>
      </c>
      <c r="F1459" s="2"/>
      <c r="G1459" s="2"/>
      <c r="H1459" s="2"/>
      <c r="I1459" s="2" t="s">
        <v>8</v>
      </c>
      <c r="J1459" s="2">
        <v>783</v>
      </c>
      <c r="K1459" s="2"/>
      <c r="L1459" s="2">
        <v>1480</v>
      </c>
      <c r="M1459" s="2">
        <v>0.438</v>
      </c>
      <c r="N1459" s="2">
        <v>19.123999999999999</v>
      </c>
      <c r="O1459" s="2">
        <v>18.936</v>
      </c>
      <c r="P1459" s="7"/>
    </row>
    <row r="1460" spans="1:16" x14ac:dyDescent="0.25">
      <c r="A1460" s="6">
        <v>20</v>
      </c>
      <c r="B1460" s="2">
        <v>94</v>
      </c>
      <c r="C1460" s="2" t="s">
        <v>66</v>
      </c>
      <c r="D1460" s="2">
        <v>520</v>
      </c>
      <c r="E1460" s="2">
        <v>2110</v>
      </c>
      <c r="F1460" s="2"/>
      <c r="G1460" s="2"/>
      <c r="H1460" s="2"/>
      <c r="I1460" s="2" t="s">
        <v>10</v>
      </c>
      <c r="J1460" s="2">
        <v>907</v>
      </c>
      <c r="K1460" s="2"/>
      <c r="L1460" s="2">
        <v>1480</v>
      </c>
      <c r="M1460" s="2">
        <v>0.438</v>
      </c>
      <c r="N1460" s="2">
        <v>19.123999999999999</v>
      </c>
      <c r="O1460" s="2">
        <v>18.936</v>
      </c>
      <c r="P1460" s="7"/>
    </row>
    <row r="1461" spans="1:16" x14ac:dyDescent="0.25">
      <c r="A1461" s="6">
        <v>20</v>
      </c>
      <c r="B1461" s="2">
        <v>94</v>
      </c>
      <c r="C1461" s="2" t="s">
        <v>66</v>
      </c>
      <c r="D1461" s="2">
        <v>520</v>
      </c>
      <c r="E1461" s="2">
        <v>2110</v>
      </c>
      <c r="F1461" s="2"/>
      <c r="G1461" s="2"/>
      <c r="H1461" s="2"/>
      <c r="I1461" s="2" t="s">
        <v>13</v>
      </c>
      <c r="J1461" s="2">
        <v>1402</v>
      </c>
      <c r="K1461" s="2"/>
      <c r="L1461" s="2">
        <v>1480</v>
      </c>
      <c r="M1461" s="2">
        <v>0.438</v>
      </c>
      <c r="N1461" s="2">
        <v>19.123999999999999</v>
      </c>
      <c r="O1461" s="2">
        <v>18.936</v>
      </c>
      <c r="P1461" s="7"/>
    </row>
    <row r="1462" spans="1:16" x14ac:dyDescent="0.25">
      <c r="A1462" s="8">
        <v>20</v>
      </c>
      <c r="B1462" s="1">
        <v>94</v>
      </c>
      <c r="C1462" s="1" t="s">
        <v>110</v>
      </c>
      <c r="D1462" s="1">
        <v>520</v>
      </c>
      <c r="E1462" s="1">
        <v>2110</v>
      </c>
      <c r="F1462" s="1"/>
      <c r="G1462" s="1"/>
      <c r="H1462" s="1"/>
      <c r="I1462" s="1" t="s">
        <v>8</v>
      </c>
      <c r="J1462" s="1">
        <v>824</v>
      </c>
      <c r="K1462" s="1"/>
      <c r="L1462" s="1">
        <v>1480</v>
      </c>
      <c r="M1462" s="1">
        <v>0.438</v>
      </c>
      <c r="N1462" s="1">
        <v>19.123999999999999</v>
      </c>
      <c r="O1462" s="1">
        <v>18.936</v>
      </c>
      <c r="P1462" s="9"/>
    </row>
    <row r="1463" spans="1:16" x14ac:dyDescent="0.25">
      <c r="A1463" s="8">
        <v>20</v>
      </c>
      <c r="B1463" s="1">
        <v>94</v>
      </c>
      <c r="C1463" s="1" t="s">
        <v>110</v>
      </c>
      <c r="D1463" s="1">
        <v>520</v>
      </c>
      <c r="E1463" s="1">
        <v>2110</v>
      </c>
      <c r="F1463" s="1"/>
      <c r="G1463" s="1"/>
      <c r="H1463" s="1"/>
      <c r="I1463" s="1" t="s">
        <v>10</v>
      </c>
      <c r="J1463" s="1">
        <v>955</v>
      </c>
      <c r="K1463" s="1"/>
      <c r="L1463" s="1">
        <v>1480</v>
      </c>
      <c r="M1463" s="1">
        <v>0.438</v>
      </c>
      <c r="N1463" s="1">
        <v>19.123999999999999</v>
      </c>
      <c r="O1463" s="1">
        <v>18.936</v>
      </c>
      <c r="P1463" s="9"/>
    </row>
    <row r="1464" spans="1:16" x14ac:dyDescent="0.25">
      <c r="A1464" s="8">
        <v>20</v>
      </c>
      <c r="B1464" s="1">
        <v>94</v>
      </c>
      <c r="C1464" s="1" t="s">
        <v>110</v>
      </c>
      <c r="D1464" s="1">
        <v>520</v>
      </c>
      <c r="E1464" s="1">
        <v>2110</v>
      </c>
      <c r="F1464" s="1"/>
      <c r="G1464" s="1"/>
      <c r="H1464" s="1"/>
      <c r="I1464" s="1" t="s">
        <v>13</v>
      </c>
      <c r="J1464" s="1">
        <v>1479</v>
      </c>
      <c r="K1464" s="1"/>
      <c r="L1464" s="1">
        <v>1480</v>
      </c>
      <c r="M1464" s="1">
        <v>0.438</v>
      </c>
      <c r="N1464" s="1">
        <v>19.123999999999999</v>
      </c>
      <c r="O1464" s="1">
        <v>18.936</v>
      </c>
      <c r="P1464" s="9"/>
    </row>
    <row r="1465" spans="1:16" x14ac:dyDescent="0.25">
      <c r="A1465" s="6">
        <v>20</v>
      </c>
      <c r="B1465" s="2">
        <v>106.5</v>
      </c>
      <c r="C1465" s="2" t="s">
        <v>66</v>
      </c>
      <c r="D1465" s="2">
        <v>770</v>
      </c>
      <c r="E1465" s="2">
        <v>2410</v>
      </c>
      <c r="F1465" s="2"/>
      <c r="G1465" s="2"/>
      <c r="H1465" s="2"/>
      <c r="I1465" s="2" t="s">
        <v>8</v>
      </c>
      <c r="J1465" s="2">
        <v>913</v>
      </c>
      <c r="K1465" s="2"/>
      <c r="L1465" s="2">
        <v>1685</v>
      </c>
      <c r="M1465" s="2">
        <v>0.5</v>
      </c>
      <c r="N1465" s="2">
        <v>19</v>
      </c>
      <c r="O1465" s="2">
        <v>18.812000000000001</v>
      </c>
      <c r="P1465" s="7"/>
    </row>
    <row r="1466" spans="1:16" x14ac:dyDescent="0.25">
      <c r="A1466" s="6">
        <v>20</v>
      </c>
      <c r="B1466" s="2">
        <v>106.5</v>
      </c>
      <c r="C1466" s="2" t="s">
        <v>66</v>
      </c>
      <c r="D1466" s="2">
        <v>770</v>
      </c>
      <c r="E1466" s="2">
        <v>2410</v>
      </c>
      <c r="F1466" s="2"/>
      <c r="G1466" s="2"/>
      <c r="H1466" s="2"/>
      <c r="I1466" s="2" t="s">
        <v>10</v>
      </c>
      <c r="J1466" s="2">
        <v>1056</v>
      </c>
      <c r="K1466" s="2"/>
      <c r="L1466" s="2">
        <v>1685</v>
      </c>
      <c r="M1466" s="2">
        <v>0.5</v>
      </c>
      <c r="N1466" s="2">
        <v>19</v>
      </c>
      <c r="O1466" s="2">
        <v>18.812000000000001</v>
      </c>
      <c r="P1466" s="7"/>
    </row>
    <row r="1467" spans="1:16" x14ac:dyDescent="0.25">
      <c r="A1467" s="6">
        <v>20</v>
      </c>
      <c r="B1467" s="2">
        <v>106.5</v>
      </c>
      <c r="C1467" s="2" t="s">
        <v>66</v>
      </c>
      <c r="D1467" s="2">
        <v>770</v>
      </c>
      <c r="E1467" s="2">
        <v>2410</v>
      </c>
      <c r="F1467" s="2"/>
      <c r="G1467" s="2"/>
      <c r="H1467" s="2"/>
      <c r="I1467" s="2" t="s">
        <v>13</v>
      </c>
      <c r="J1467" s="2">
        <v>1595</v>
      </c>
      <c r="K1467" s="2"/>
      <c r="L1467" s="2">
        <v>1685</v>
      </c>
      <c r="M1467" s="2">
        <v>0.5</v>
      </c>
      <c r="N1467" s="2">
        <v>19</v>
      </c>
      <c r="O1467" s="2">
        <v>18.812000000000001</v>
      </c>
      <c r="P1467" s="7"/>
    </row>
    <row r="1468" spans="1:16" x14ac:dyDescent="0.25">
      <c r="A1468" s="8">
        <v>20</v>
      </c>
      <c r="B1468" s="1">
        <v>106.5</v>
      </c>
      <c r="C1468" s="1" t="s">
        <v>110</v>
      </c>
      <c r="D1468" s="1">
        <v>770</v>
      </c>
      <c r="E1468" s="1">
        <v>2410</v>
      </c>
      <c r="F1468" s="1"/>
      <c r="G1468" s="1"/>
      <c r="H1468" s="1"/>
      <c r="I1468" s="1" t="s">
        <v>8</v>
      </c>
      <c r="J1468" s="1">
        <v>960</v>
      </c>
      <c r="K1468" s="1"/>
      <c r="L1468" s="1">
        <v>1685</v>
      </c>
      <c r="M1468" s="1">
        <v>0.5</v>
      </c>
      <c r="N1468" s="1">
        <v>19</v>
      </c>
      <c r="O1468" s="1">
        <v>18.812000000000001</v>
      </c>
      <c r="P1468" s="9"/>
    </row>
    <row r="1469" spans="1:16" x14ac:dyDescent="0.25">
      <c r="A1469" s="8">
        <v>20</v>
      </c>
      <c r="B1469" s="1">
        <v>106.5</v>
      </c>
      <c r="C1469" s="1" t="s">
        <v>110</v>
      </c>
      <c r="D1469" s="1">
        <v>770</v>
      </c>
      <c r="E1469" s="1">
        <v>2410</v>
      </c>
      <c r="F1469" s="1"/>
      <c r="G1469" s="1"/>
      <c r="H1469" s="1"/>
      <c r="I1469" s="1" t="s">
        <v>10</v>
      </c>
      <c r="J1469" s="1">
        <v>1113</v>
      </c>
      <c r="K1469" s="1"/>
      <c r="L1469" s="1">
        <v>1685</v>
      </c>
      <c r="M1469" s="1">
        <v>0.5</v>
      </c>
      <c r="N1469" s="1">
        <v>19</v>
      </c>
      <c r="O1469" s="1">
        <v>18.812000000000001</v>
      </c>
      <c r="P1469" s="9"/>
    </row>
    <row r="1470" spans="1:16" x14ac:dyDescent="0.25">
      <c r="A1470" s="8">
        <v>20</v>
      </c>
      <c r="B1470" s="1">
        <v>106.5</v>
      </c>
      <c r="C1470" s="1" t="s">
        <v>110</v>
      </c>
      <c r="D1470" s="1">
        <v>770</v>
      </c>
      <c r="E1470" s="1">
        <v>2410</v>
      </c>
      <c r="F1470" s="1"/>
      <c r="G1470" s="1"/>
      <c r="H1470" s="1"/>
      <c r="I1470" s="1" t="s">
        <v>13</v>
      </c>
      <c r="J1470" s="1">
        <v>1683</v>
      </c>
      <c r="K1470" s="1"/>
      <c r="L1470" s="1">
        <v>1685</v>
      </c>
      <c r="M1470" s="1">
        <v>0.5</v>
      </c>
      <c r="N1470" s="1">
        <v>19</v>
      </c>
      <c r="O1470" s="1">
        <v>18.812000000000001</v>
      </c>
      <c r="P1470" s="9"/>
    </row>
    <row r="1471" spans="1:16" x14ac:dyDescent="0.25">
      <c r="A1471" s="6">
        <v>20</v>
      </c>
      <c r="B1471" s="2">
        <v>106.5</v>
      </c>
      <c r="C1471" s="2" t="s">
        <v>112</v>
      </c>
      <c r="D1471" s="2">
        <v>770</v>
      </c>
      <c r="E1471" s="2">
        <v>3500</v>
      </c>
      <c r="F1471" s="2"/>
      <c r="G1471" s="2"/>
      <c r="H1471" s="2"/>
      <c r="I1471" s="2" t="s">
        <v>8</v>
      </c>
      <c r="J1471" s="2">
        <v>1307</v>
      </c>
      <c r="K1471" s="2"/>
      <c r="L1471" s="2">
        <v>2450</v>
      </c>
      <c r="M1471" s="2">
        <v>0.5</v>
      </c>
      <c r="N1471" s="2">
        <v>19</v>
      </c>
      <c r="O1471" s="2">
        <v>18.812000000000001</v>
      </c>
      <c r="P1471" s="7"/>
    </row>
    <row r="1472" spans="1:16" x14ac:dyDescent="0.25">
      <c r="A1472" s="6">
        <v>20</v>
      </c>
      <c r="B1472" s="2">
        <v>106.5</v>
      </c>
      <c r="C1472" s="2" t="s">
        <v>112</v>
      </c>
      <c r="D1472" s="2">
        <v>770</v>
      </c>
      <c r="E1472" s="2">
        <v>3500</v>
      </c>
      <c r="F1472" s="2"/>
      <c r="G1472" s="2"/>
      <c r="H1472" s="2"/>
      <c r="I1472" s="2" t="s">
        <v>10</v>
      </c>
      <c r="J1472" s="2">
        <v>1514</v>
      </c>
      <c r="K1472" s="2"/>
      <c r="L1472" s="2">
        <v>2450</v>
      </c>
      <c r="M1472" s="2">
        <v>0.5</v>
      </c>
      <c r="N1472" s="2">
        <v>19</v>
      </c>
      <c r="O1472" s="2">
        <v>18.812000000000001</v>
      </c>
      <c r="P1472" s="7"/>
    </row>
    <row r="1473" spans="1:16" x14ac:dyDescent="0.25">
      <c r="A1473" s="6">
        <v>20</v>
      </c>
      <c r="B1473" s="2">
        <v>106.5</v>
      </c>
      <c r="C1473" s="2" t="s">
        <v>112</v>
      </c>
      <c r="D1473" s="2">
        <v>770</v>
      </c>
      <c r="E1473" s="2">
        <v>3500</v>
      </c>
      <c r="F1473" s="2"/>
      <c r="G1473" s="2"/>
      <c r="H1473" s="2"/>
      <c r="I1473" s="2" t="s">
        <v>13</v>
      </c>
      <c r="J1473" s="2">
        <v>2281</v>
      </c>
      <c r="K1473" s="2"/>
      <c r="L1473" s="2">
        <v>2450</v>
      </c>
      <c r="M1473" s="2">
        <v>0.5</v>
      </c>
      <c r="N1473" s="2">
        <v>19</v>
      </c>
      <c r="O1473" s="2">
        <v>18.812000000000001</v>
      </c>
      <c r="P1473" s="7"/>
    </row>
    <row r="1474" spans="1:16" x14ac:dyDescent="0.25">
      <c r="A1474" s="8">
        <v>20</v>
      </c>
      <c r="B1474" s="1">
        <v>133</v>
      </c>
      <c r="C1474" s="1" t="s">
        <v>110</v>
      </c>
      <c r="D1474" s="1">
        <v>1500</v>
      </c>
      <c r="E1474" s="1">
        <v>3060</v>
      </c>
      <c r="F1474" s="1"/>
      <c r="G1474" s="1"/>
      <c r="H1474" s="1"/>
      <c r="I1474" s="1" t="s">
        <v>8</v>
      </c>
      <c r="J1474" s="1">
        <v>1253</v>
      </c>
      <c r="K1474" s="1"/>
      <c r="L1474" s="1">
        <v>2125</v>
      </c>
      <c r="M1474" s="1">
        <v>0.63500000000000001</v>
      </c>
      <c r="N1474" s="1">
        <v>18.73</v>
      </c>
      <c r="O1474" s="1">
        <v>18.542000000000002</v>
      </c>
      <c r="P1474" s="9"/>
    </row>
    <row r="1475" spans="1:16" x14ac:dyDescent="0.25">
      <c r="A1475" s="8">
        <v>20</v>
      </c>
      <c r="B1475" s="1">
        <v>133</v>
      </c>
      <c r="C1475" s="1" t="s">
        <v>110</v>
      </c>
      <c r="D1475" s="1">
        <v>1500</v>
      </c>
      <c r="E1475" s="1">
        <v>3060</v>
      </c>
      <c r="F1475" s="1"/>
      <c r="G1475" s="1"/>
      <c r="H1475" s="1"/>
      <c r="I1475" s="1" t="s">
        <v>10</v>
      </c>
      <c r="J1475" s="1">
        <v>1453</v>
      </c>
      <c r="K1475" s="1"/>
      <c r="L1475" s="1">
        <v>2125</v>
      </c>
      <c r="M1475" s="1">
        <v>0.63500000000000001</v>
      </c>
      <c r="N1475" s="1">
        <v>18.73</v>
      </c>
      <c r="O1475" s="1">
        <v>18.542000000000002</v>
      </c>
      <c r="P1475" s="9"/>
    </row>
    <row r="1476" spans="1:16" x14ac:dyDescent="0.25">
      <c r="A1476" s="8">
        <v>20</v>
      </c>
      <c r="B1476" s="1">
        <v>133</v>
      </c>
      <c r="C1476" s="1" t="s">
        <v>110</v>
      </c>
      <c r="D1476" s="1">
        <v>1500</v>
      </c>
      <c r="E1476" s="1">
        <v>3060</v>
      </c>
      <c r="F1476" s="1"/>
      <c r="G1476" s="1"/>
      <c r="H1476" s="1"/>
      <c r="I1476" s="1" t="s">
        <v>13</v>
      </c>
      <c r="J1476" s="1">
        <v>2123</v>
      </c>
      <c r="K1476" s="1"/>
      <c r="L1476" s="1">
        <v>2125</v>
      </c>
      <c r="M1476" s="1">
        <v>0.63500000000000001</v>
      </c>
      <c r="N1476" s="1">
        <v>18.73</v>
      </c>
      <c r="O1476" s="1">
        <v>18.542000000000002</v>
      </c>
      <c r="P1476" s="9"/>
    </row>
    <row r="1477" spans="1:16" x14ac:dyDescent="0.25">
      <c r="A1477" s="6">
        <v>20</v>
      </c>
      <c r="B1477" s="2">
        <v>133</v>
      </c>
      <c r="C1477" s="2" t="s">
        <v>111</v>
      </c>
      <c r="D1477" s="2">
        <v>1600</v>
      </c>
      <c r="E1477" s="2">
        <v>4450</v>
      </c>
      <c r="F1477" s="2"/>
      <c r="G1477" s="2"/>
      <c r="H1477" s="2"/>
      <c r="I1477" s="2" t="s">
        <v>8</v>
      </c>
      <c r="J1477" s="2">
        <v>1692</v>
      </c>
      <c r="K1477" s="2"/>
      <c r="L1477" s="2">
        <v>3091</v>
      </c>
      <c r="M1477" s="2">
        <v>0.63500000000000001</v>
      </c>
      <c r="N1477" s="2">
        <v>18.73</v>
      </c>
      <c r="O1477" s="2">
        <v>18.542000000000002</v>
      </c>
      <c r="P1477" s="7"/>
    </row>
    <row r="1478" spans="1:16" x14ac:dyDescent="0.25">
      <c r="A1478" s="6">
        <v>20</v>
      </c>
      <c r="B1478" s="2">
        <v>133</v>
      </c>
      <c r="C1478" s="2" t="s">
        <v>111</v>
      </c>
      <c r="D1478" s="2">
        <v>1600</v>
      </c>
      <c r="E1478" s="2">
        <v>4450</v>
      </c>
      <c r="F1478" s="2"/>
      <c r="G1478" s="2"/>
      <c r="H1478" s="2"/>
      <c r="I1478" s="2" t="s">
        <v>10</v>
      </c>
      <c r="J1478" s="2">
        <v>1958</v>
      </c>
      <c r="K1478" s="2"/>
      <c r="L1478" s="2">
        <v>3091</v>
      </c>
      <c r="M1478" s="2">
        <v>0.63500000000000001</v>
      </c>
      <c r="N1478" s="2">
        <v>18.73</v>
      </c>
      <c r="O1478" s="2">
        <v>18.542000000000002</v>
      </c>
      <c r="P1478" s="7"/>
    </row>
    <row r="1479" spans="1:16" x14ac:dyDescent="0.25">
      <c r="A1479" s="6">
        <v>20</v>
      </c>
      <c r="B1479" s="2">
        <v>133</v>
      </c>
      <c r="C1479" s="2" t="s">
        <v>111</v>
      </c>
      <c r="D1479" s="2">
        <v>1600</v>
      </c>
      <c r="E1479" s="2">
        <v>4450</v>
      </c>
      <c r="F1479" s="2"/>
      <c r="G1479" s="2"/>
      <c r="H1479" s="2"/>
      <c r="I1479" s="2" t="s">
        <v>13</v>
      </c>
      <c r="J1479" s="2">
        <v>2849</v>
      </c>
      <c r="K1479" s="2"/>
      <c r="L1479" s="2">
        <v>3091</v>
      </c>
      <c r="M1479" s="2">
        <v>0.63500000000000001</v>
      </c>
      <c r="N1479" s="2">
        <v>18.73</v>
      </c>
      <c r="O1479" s="2">
        <v>18.542000000000002</v>
      </c>
      <c r="P1479" s="7"/>
    </row>
    <row r="1480" spans="1:16" x14ac:dyDescent="0.25">
      <c r="A1480" s="8">
        <v>20</v>
      </c>
      <c r="B1480" s="1">
        <v>133</v>
      </c>
      <c r="C1480" s="1" t="s">
        <v>112</v>
      </c>
      <c r="D1480" s="1">
        <v>1600</v>
      </c>
      <c r="E1480" s="1">
        <v>4450</v>
      </c>
      <c r="F1480" s="1"/>
      <c r="G1480" s="1"/>
      <c r="H1480" s="1"/>
      <c r="I1480" s="1" t="s">
        <v>8</v>
      </c>
      <c r="J1480" s="1">
        <v>1707</v>
      </c>
      <c r="K1480" s="1"/>
      <c r="L1480" s="1">
        <v>3091</v>
      </c>
      <c r="M1480" s="1">
        <v>0.63500000000000001</v>
      </c>
      <c r="N1480" s="1">
        <v>18.73</v>
      </c>
      <c r="O1480" s="1">
        <v>18.542000000000002</v>
      </c>
      <c r="P1480" s="9"/>
    </row>
    <row r="1481" spans="1:16" x14ac:dyDescent="0.25">
      <c r="A1481" s="8">
        <v>20</v>
      </c>
      <c r="B1481" s="1">
        <v>133</v>
      </c>
      <c r="C1481" s="1" t="s">
        <v>112</v>
      </c>
      <c r="D1481" s="1">
        <v>1600</v>
      </c>
      <c r="E1481" s="1">
        <v>4450</v>
      </c>
      <c r="F1481" s="1"/>
      <c r="G1481" s="1"/>
      <c r="H1481" s="1"/>
      <c r="I1481" s="1" t="s">
        <v>10</v>
      </c>
      <c r="J1481" s="1">
        <v>1976</v>
      </c>
      <c r="K1481" s="1"/>
      <c r="L1481" s="1">
        <v>3091</v>
      </c>
      <c r="M1481" s="1">
        <v>0.63500000000000001</v>
      </c>
      <c r="N1481" s="1">
        <v>18.73</v>
      </c>
      <c r="O1481" s="1">
        <v>18.542000000000002</v>
      </c>
      <c r="P1481" s="9"/>
    </row>
    <row r="1482" spans="1:16" x14ac:dyDescent="0.25">
      <c r="A1482" s="8">
        <v>20</v>
      </c>
      <c r="B1482" s="1">
        <v>133</v>
      </c>
      <c r="C1482" s="1" t="s">
        <v>112</v>
      </c>
      <c r="D1482" s="1">
        <v>1600</v>
      </c>
      <c r="E1482" s="1">
        <v>4450</v>
      </c>
      <c r="F1482" s="1"/>
      <c r="G1482" s="1"/>
      <c r="H1482" s="1"/>
      <c r="I1482" s="1" t="s">
        <v>13</v>
      </c>
      <c r="J1482" s="1">
        <v>2877</v>
      </c>
      <c r="K1482" s="1"/>
      <c r="L1482" s="1">
        <v>3091</v>
      </c>
      <c r="M1482" s="1">
        <v>0.63500000000000001</v>
      </c>
      <c r="N1482" s="1">
        <v>18.73</v>
      </c>
      <c r="O1482" s="1">
        <v>18.542000000000002</v>
      </c>
      <c r="P1482" s="9"/>
    </row>
    <row r="1483" spans="1:16" x14ac:dyDescent="0.25">
      <c r="A1483" s="6">
        <v>20</v>
      </c>
      <c r="B1483" s="2">
        <v>169</v>
      </c>
      <c r="C1483" s="2" t="s">
        <v>110</v>
      </c>
      <c r="D1483" s="2">
        <v>2500</v>
      </c>
      <c r="E1483" s="2">
        <v>3230</v>
      </c>
      <c r="F1483" s="2"/>
      <c r="G1483" s="2"/>
      <c r="H1483" s="2"/>
      <c r="I1483" s="2" t="s">
        <v>8</v>
      </c>
      <c r="J1483" s="2">
        <v>1402</v>
      </c>
      <c r="K1483" s="2"/>
      <c r="L1483" s="2">
        <v>2692</v>
      </c>
      <c r="M1483" s="2">
        <v>0.81200000000000006</v>
      </c>
      <c r="N1483" s="2">
        <v>18.376000000000001</v>
      </c>
      <c r="O1483" s="2">
        <v>18.187999999999999</v>
      </c>
      <c r="P1483" s="7"/>
    </row>
    <row r="1484" spans="1:16" x14ac:dyDescent="0.25">
      <c r="A1484" s="6">
        <v>20</v>
      </c>
      <c r="B1484" s="2">
        <v>169</v>
      </c>
      <c r="C1484" s="2" t="s">
        <v>110</v>
      </c>
      <c r="D1484" s="2">
        <v>2500</v>
      </c>
      <c r="E1484" s="2">
        <v>3430</v>
      </c>
      <c r="F1484" s="2"/>
      <c r="G1484" s="2"/>
      <c r="H1484" s="2"/>
      <c r="I1484" s="2" t="s">
        <v>10</v>
      </c>
      <c r="J1484" s="2">
        <v>1732</v>
      </c>
      <c r="K1484" s="2"/>
      <c r="L1484" s="2">
        <v>2692</v>
      </c>
      <c r="M1484" s="2">
        <v>0.81200000000000006</v>
      </c>
      <c r="N1484" s="2">
        <v>18.376000000000001</v>
      </c>
      <c r="O1484" s="2">
        <v>18.187999999999999</v>
      </c>
      <c r="P1484" s="7"/>
    </row>
    <row r="1485" spans="1:16" x14ac:dyDescent="0.25">
      <c r="A1485" s="6">
        <v>20</v>
      </c>
      <c r="B1485" s="2">
        <v>169</v>
      </c>
      <c r="C1485" s="2" t="s">
        <v>110</v>
      </c>
      <c r="D1485" s="2">
        <v>2500</v>
      </c>
      <c r="E1485" s="2">
        <v>3380</v>
      </c>
      <c r="F1485" s="2"/>
      <c r="G1485" s="2"/>
      <c r="H1485" s="2"/>
      <c r="I1485" s="2" t="s">
        <v>13</v>
      </c>
      <c r="J1485" s="2">
        <v>2689</v>
      </c>
      <c r="K1485" s="2"/>
      <c r="L1485" s="2">
        <v>2692</v>
      </c>
      <c r="M1485" s="2">
        <v>0.81200000000000006</v>
      </c>
      <c r="N1485" s="2">
        <v>18.376000000000001</v>
      </c>
      <c r="O1485" s="2">
        <v>18.187999999999999</v>
      </c>
      <c r="P1485" s="7"/>
    </row>
    <row r="1486" spans="1:16" x14ac:dyDescent="0.25">
      <c r="A1486" s="8">
        <v>20</v>
      </c>
      <c r="B1486" s="1">
        <v>169</v>
      </c>
      <c r="C1486" s="1" t="s">
        <v>111</v>
      </c>
      <c r="D1486" s="1">
        <v>3020</v>
      </c>
      <c r="E1486" s="1">
        <v>4690</v>
      </c>
      <c r="F1486" s="1"/>
      <c r="G1486" s="1"/>
      <c r="H1486" s="1"/>
      <c r="I1486" s="1" t="s">
        <v>8</v>
      </c>
      <c r="J1486" s="1">
        <v>2202</v>
      </c>
      <c r="K1486" s="1"/>
      <c r="L1486" s="1">
        <v>3916</v>
      </c>
      <c r="M1486" s="1">
        <v>0.81200000000000006</v>
      </c>
      <c r="N1486" s="1">
        <v>18.376000000000001</v>
      </c>
      <c r="O1486" s="1">
        <v>18.187999999999999</v>
      </c>
      <c r="P1486" s="9"/>
    </row>
    <row r="1487" spans="1:16" x14ac:dyDescent="0.25">
      <c r="A1487" s="8">
        <v>20</v>
      </c>
      <c r="B1487" s="1">
        <v>169</v>
      </c>
      <c r="C1487" s="1" t="s">
        <v>111</v>
      </c>
      <c r="D1487" s="1">
        <v>3020</v>
      </c>
      <c r="E1487" s="1">
        <v>4990</v>
      </c>
      <c r="F1487" s="1"/>
      <c r="G1487" s="1"/>
      <c r="H1487" s="1"/>
      <c r="I1487" s="1" t="s">
        <v>10</v>
      </c>
      <c r="J1487" s="1">
        <v>2549</v>
      </c>
      <c r="K1487" s="1"/>
      <c r="L1487" s="1">
        <v>3916</v>
      </c>
      <c r="M1487" s="1">
        <v>0.81200000000000006</v>
      </c>
      <c r="N1487" s="1">
        <v>18.376000000000001</v>
      </c>
      <c r="O1487" s="1">
        <v>18.187999999999999</v>
      </c>
      <c r="P1487" s="9"/>
    </row>
    <row r="1488" spans="1:16" x14ac:dyDescent="0.25">
      <c r="A1488" s="8">
        <v>20</v>
      </c>
      <c r="B1488" s="1">
        <v>169</v>
      </c>
      <c r="C1488" s="1" t="s">
        <v>111</v>
      </c>
      <c r="D1488" s="1">
        <v>3020</v>
      </c>
      <c r="E1488" s="1">
        <v>4920</v>
      </c>
      <c r="F1488" s="1"/>
      <c r="G1488" s="1"/>
      <c r="H1488" s="1"/>
      <c r="I1488" s="1" t="s">
        <v>13</v>
      </c>
      <c r="J1488" s="1">
        <v>3610</v>
      </c>
      <c r="K1488" s="1"/>
      <c r="L1488" s="1">
        <v>3916</v>
      </c>
      <c r="M1488" s="1">
        <v>0.81200000000000006</v>
      </c>
      <c r="N1488" s="1">
        <v>18.376000000000001</v>
      </c>
      <c r="O1488" s="1">
        <v>18.187999999999999</v>
      </c>
      <c r="P1488" s="9"/>
    </row>
    <row r="1489" spans="1:16" x14ac:dyDescent="0.25">
      <c r="A1489" s="6">
        <v>20</v>
      </c>
      <c r="B1489" s="2">
        <v>169</v>
      </c>
      <c r="C1489" s="2" t="s">
        <v>112</v>
      </c>
      <c r="D1489" s="2">
        <v>3020</v>
      </c>
      <c r="E1489" s="2">
        <v>4690</v>
      </c>
      <c r="F1489" s="2"/>
      <c r="G1489" s="2"/>
      <c r="H1489" s="2"/>
      <c r="I1489" s="2" t="s">
        <v>8</v>
      </c>
      <c r="J1489" s="2">
        <v>2221</v>
      </c>
      <c r="K1489" s="2"/>
      <c r="L1489" s="2">
        <v>3916</v>
      </c>
      <c r="M1489" s="2">
        <v>0.81200000000000006</v>
      </c>
      <c r="N1489" s="2">
        <v>18.376000000000001</v>
      </c>
      <c r="O1489" s="2">
        <v>18.187999999999999</v>
      </c>
      <c r="P1489" s="7"/>
    </row>
    <row r="1490" spans="1:16" x14ac:dyDescent="0.25">
      <c r="A1490" s="6">
        <v>20</v>
      </c>
      <c r="B1490" s="2">
        <v>169</v>
      </c>
      <c r="C1490" s="2" t="s">
        <v>112</v>
      </c>
      <c r="D1490" s="2">
        <v>3020</v>
      </c>
      <c r="E1490" s="2">
        <v>4990</v>
      </c>
      <c r="F1490" s="2"/>
      <c r="G1490" s="2"/>
      <c r="H1490" s="2"/>
      <c r="I1490" s="2" t="s">
        <v>10</v>
      </c>
      <c r="J1490" s="2">
        <v>2573</v>
      </c>
      <c r="K1490" s="2"/>
      <c r="L1490" s="2">
        <v>3916</v>
      </c>
      <c r="M1490" s="2">
        <v>0.81200000000000006</v>
      </c>
      <c r="N1490" s="2">
        <v>18.376000000000001</v>
      </c>
      <c r="O1490" s="2">
        <v>18.187999999999999</v>
      </c>
      <c r="P1490" s="7"/>
    </row>
    <row r="1491" spans="1:16" x14ac:dyDescent="0.25">
      <c r="A1491" s="6">
        <v>20</v>
      </c>
      <c r="B1491" s="2">
        <v>169</v>
      </c>
      <c r="C1491" s="2" t="s">
        <v>112</v>
      </c>
      <c r="D1491" s="2">
        <v>3020</v>
      </c>
      <c r="E1491" s="2">
        <v>4920</v>
      </c>
      <c r="F1491" s="2"/>
      <c r="G1491" s="2"/>
      <c r="H1491" s="2"/>
      <c r="I1491" s="2" t="s">
        <v>13</v>
      </c>
      <c r="J1491" s="2">
        <v>3645</v>
      </c>
      <c r="K1491" s="2"/>
      <c r="L1491" s="2">
        <v>3916</v>
      </c>
      <c r="M1491" s="2">
        <v>0.81200000000000006</v>
      </c>
      <c r="N1491" s="2">
        <v>18.376000000000001</v>
      </c>
      <c r="O1491" s="2">
        <v>18.187999999999999</v>
      </c>
      <c r="P1491" s="7"/>
    </row>
    <row r="1492" spans="1:16" x14ac:dyDescent="0.25">
      <c r="A1492" s="8">
        <v>4.5</v>
      </c>
      <c r="B1492" s="1">
        <v>15.1</v>
      </c>
      <c r="C1492" s="1" t="s">
        <v>99</v>
      </c>
      <c r="D1492" s="1">
        <v>16070</v>
      </c>
      <c r="E1492" s="1">
        <v>16390</v>
      </c>
      <c r="F1492" s="1"/>
      <c r="G1492" s="1"/>
      <c r="H1492" s="1"/>
      <c r="I1492" s="1" t="s">
        <v>64</v>
      </c>
      <c r="J1492" s="1">
        <v>384</v>
      </c>
      <c r="K1492" s="1"/>
      <c r="L1492" s="1">
        <v>551</v>
      </c>
      <c r="M1492" s="1">
        <v>0.33700000000000002</v>
      </c>
      <c r="N1492" s="1">
        <v>3.8260000000000001</v>
      </c>
      <c r="O1492" s="1">
        <v>3.7010000000000001</v>
      </c>
      <c r="P1492" s="9"/>
    </row>
    <row r="1493" spans="1:16" x14ac:dyDescent="0.25">
      <c r="A1493" s="8">
        <v>4.5</v>
      </c>
      <c r="B1493" s="1">
        <v>11.6</v>
      </c>
      <c r="C1493" s="1" t="s">
        <v>103</v>
      </c>
      <c r="D1493" s="1">
        <v>6221</v>
      </c>
      <c r="E1493" s="1">
        <v>7780</v>
      </c>
      <c r="F1493" s="1"/>
      <c r="G1493" s="1"/>
      <c r="H1493" s="1"/>
      <c r="I1493" s="1" t="s">
        <v>73</v>
      </c>
      <c r="J1493" s="1">
        <v>267</v>
      </c>
      <c r="K1493" s="1"/>
      <c r="L1493" s="1">
        <v>267</v>
      </c>
      <c r="M1493" s="1">
        <v>0.25</v>
      </c>
      <c r="N1493" s="1">
        <v>4</v>
      </c>
      <c r="O1493" s="1">
        <v>3.875</v>
      </c>
      <c r="P1493" s="9"/>
    </row>
    <row r="1494" spans="1:16" x14ac:dyDescent="0.25">
      <c r="A1494" s="8">
        <v>4.5</v>
      </c>
      <c r="B1494" s="1">
        <v>11.6</v>
      </c>
      <c r="C1494" s="1" t="s">
        <v>103</v>
      </c>
      <c r="D1494" s="1">
        <v>6360</v>
      </c>
      <c r="E1494" s="1">
        <v>7780</v>
      </c>
      <c r="F1494" s="1"/>
      <c r="G1494" s="1"/>
      <c r="H1494" s="1"/>
      <c r="I1494" s="1" t="s">
        <v>10</v>
      </c>
      <c r="J1494" s="1">
        <v>212</v>
      </c>
      <c r="K1494" s="1"/>
      <c r="L1494" s="1">
        <v>267</v>
      </c>
      <c r="M1494" s="1">
        <v>0.25</v>
      </c>
      <c r="N1494" s="1">
        <v>4</v>
      </c>
      <c r="O1494" s="1">
        <v>3.875</v>
      </c>
      <c r="P1494" s="9"/>
    </row>
    <row r="1495" spans="1:16" x14ac:dyDescent="0.25">
      <c r="A1495" s="8">
        <v>5</v>
      </c>
      <c r="B1495" s="1">
        <v>18</v>
      </c>
      <c r="C1495" s="1" t="s">
        <v>97</v>
      </c>
      <c r="D1495" s="1">
        <v>14360</v>
      </c>
      <c r="E1495" s="1">
        <v>13950</v>
      </c>
      <c r="F1495" s="1"/>
      <c r="G1495" s="1"/>
      <c r="H1495" s="1"/>
      <c r="I1495" s="1" t="s">
        <v>10</v>
      </c>
      <c r="J1495" s="1">
        <v>495</v>
      </c>
      <c r="K1495" s="1"/>
      <c r="L1495" s="1">
        <v>580</v>
      </c>
      <c r="M1495" s="1">
        <v>0.36199999999999999</v>
      </c>
      <c r="N1495" s="1">
        <v>4.2759999999999998</v>
      </c>
      <c r="O1495" s="1">
        <v>4.1509999999999998</v>
      </c>
      <c r="P1495" s="9"/>
    </row>
    <row r="1496" spans="1:16" x14ac:dyDescent="0.25">
      <c r="A1496" s="8">
        <v>5</v>
      </c>
      <c r="B1496" s="1">
        <v>18</v>
      </c>
      <c r="C1496" s="1" t="s">
        <v>97</v>
      </c>
      <c r="D1496" s="1">
        <v>14360</v>
      </c>
      <c r="E1496" s="1">
        <v>13950</v>
      </c>
      <c r="F1496" s="1"/>
      <c r="G1496" s="1"/>
      <c r="H1496" s="1"/>
      <c r="I1496" s="1" t="s">
        <v>83</v>
      </c>
      <c r="J1496" s="1">
        <v>341</v>
      </c>
      <c r="K1496" s="1"/>
      <c r="L1496" s="1">
        <v>580</v>
      </c>
      <c r="M1496" s="1">
        <v>0.36199999999999999</v>
      </c>
      <c r="N1496" s="1">
        <v>4.2759999999999998</v>
      </c>
      <c r="O1496" s="1">
        <v>4.1509999999999998</v>
      </c>
      <c r="P1496" s="9"/>
    </row>
    <row r="1497" spans="1:16" x14ac:dyDescent="0.25">
      <c r="A1497" s="8">
        <v>8.625</v>
      </c>
      <c r="B1497" s="1">
        <v>28</v>
      </c>
      <c r="C1497" s="1" t="s">
        <v>101</v>
      </c>
      <c r="D1497" s="1">
        <v>1880</v>
      </c>
      <c r="E1497" s="1">
        <v>3390</v>
      </c>
      <c r="F1497" s="1"/>
      <c r="G1497" s="1"/>
      <c r="H1497" s="1"/>
      <c r="I1497" s="1" t="s">
        <v>10</v>
      </c>
      <c r="J1497" s="1">
        <v>348</v>
      </c>
      <c r="K1497" s="1"/>
      <c r="L1497" s="1">
        <v>437</v>
      </c>
      <c r="M1497" s="1">
        <v>0.30399999999999999</v>
      </c>
      <c r="N1497" s="1">
        <v>8.0169999999999995</v>
      </c>
      <c r="O1497" s="1">
        <v>7.8920000000000003</v>
      </c>
      <c r="P1497" s="9"/>
    </row>
    <row r="1498" spans="1:16" x14ac:dyDescent="0.25">
      <c r="A1498" s="8">
        <v>5.5</v>
      </c>
      <c r="B1498" s="1">
        <v>17</v>
      </c>
      <c r="C1498" s="1" t="s">
        <v>103</v>
      </c>
      <c r="D1498" s="1">
        <v>6290</v>
      </c>
      <c r="E1498" s="1">
        <v>7740</v>
      </c>
      <c r="F1498" s="1"/>
      <c r="G1498" s="1"/>
      <c r="H1498" s="1"/>
      <c r="I1498" s="1" t="s">
        <v>10</v>
      </c>
      <c r="J1498" s="1">
        <v>320</v>
      </c>
      <c r="K1498" s="1"/>
      <c r="L1498" s="1">
        <v>397</v>
      </c>
      <c r="M1498" s="1">
        <v>0.30399999999999999</v>
      </c>
      <c r="N1498" s="1">
        <v>4.8920000000000003</v>
      </c>
      <c r="O1498" s="1">
        <v>4.7670000000000003</v>
      </c>
      <c r="P1498" s="9"/>
    </row>
    <row r="1499" spans="1:16" x14ac:dyDescent="0.25">
      <c r="A1499" s="8">
        <v>16</v>
      </c>
      <c r="B1499" s="1">
        <v>109</v>
      </c>
      <c r="C1499" s="1" t="s">
        <v>65</v>
      </c>
      <c r="D1499" s="1">
        <v>2980</v>
      </c>
      <c r="E1499" s="1">
        <v>5380</v>
      </c>
      <c r="F1499" s="1"/>
      <c r="G1499" s="1"/>
      <c r="H1499" s="1"/>
      <c r="I1499" s="1" t="s">
        <v>8</v>
      </c>
      <c r="J1499" s="1">
        <v>1499</v>
      </c>
      <c r="K1499" s="1"/>
      <c r="L1499" s="1">
        <v>2372</v>
      </c>
      <c r="M1499" s="1">
        <v>0.65600000000000003</v>
      </c>
      <c r="N1499" s="1">
        <v>14.688000000000001</v>
      </c>
      <c r="O1499" s="1">
        <v>14.5</v>
      </c>
      <c r="P1499" s="9"/>
    </row>
    <row r="1500" spans="1:16" x14ac:dyDescent="0.25">
      <c r="A1500" s="8">
        <v>36</v>
      </c>
      <c r="B1500" s="1">
        <v>373.8</v>
      </c>
      <c r="C1500" s="1" t="s">
        <v>118</v>
      </c>
      <c r="D1500" s="1">
        <v>1054</v>
      </c>
      <c r="E1500" s="1">
        <v>2527</v>
      </c>
      <c r="F1500" s="1"/>
      <c r="G1500" s="1"/>
      <c r="H1500" s="1"/>
      <c r="I1500" s="1" t="s">
        <v>79</v>
      </c>
      <c r="J1500" s="1">
        <v>5718</v>
      </c>
      <c r="K1500" s="1"/>
      <c r="L1500" s="1">
        <v>5718</v>
      </c>
      <c r="M1500" s="1">
        <v>1</v>
      </c>
      <c r="N1500" s="1">
        <f t="shared" ref="N1500:N1506" si="0">+A1500-2*M1500</f>
        <v>34</v>
      </c>
      <c r="O1500" s="1">
        <v>34</v>
      </c>
      <c r="P1500" s="9"/>
    </row>
    <row r="1501" spans="1:16" x14ac:dyDescent="0.25">
      <c r="A1501" s="8">
        <v>30</v>
      </c>
      <c r="B1501" s="1">
        <v>309.72000000000003</v>
      </c>
      <c r="C1501" s="1" t="s">
        <v>118</v>
      </c>
      <c r="D1501" s="1">
        <v>1631</v>
      </c>
      <c r="E1501" s="1">
        <v>3033</v>
      </c>
      <c r="F1501" s="1"/>
      <c r="G1501" s="1"/>
      <c r="H1501" s="1"/>
      <c r="I1501" s="1" t="s">
        <v>67</v>
      </c>
      <c r="J1501" s="1">
        <v>2175</v>
      </c>
      <c r="K1501" s="1"/>
      <c r="L1501" s="1">
        <v>4738</v>
      </c>
      <c r="M1501" s="1">
        <v>1</v>
      </c>
      <c r="N1501" s="1">
        <f t="shared" si="0"/>
        <v>28</v>
      </c>
      <c r="O1501" s="1">
        <v>27.812000000000001</v>
      </c>
      <c r="P1501" s="9"/>
    </row>
    <row r="1502" spans="1:16" x14ac:dyDescent="0.25">
      <c r="A1502" s="8">
        <v>24</v>
      </c>
      <c r="B1502" s="1">
        <v>186.2</v>
      </c>
      <c r="C1502" s="1" t="s">
        <v>118</v>
      </c>
      <c r="D1502" s="1">
        <v>1415</v>
      </c>
      <c r="E1502" s="1">
        <v>2843</v>
      </c>
      <c r="F1502" s="1"/>
      <c r="G1502" s="1"/>
      <c r="H1502" s="1"/>
      <c r="I1502" s="1" t="s">
        <v>67</v>
      </c>
      <c r="J1502" s="1">
        <v>1309</v>
      </c>
      <c r="K1502" s="1"/>
      <c r="L1502" s="1">
        <v>2848</v>
      </c>
      <c r="M1502" s="1">
        <v>0.75</v>
      </c>
      <c r="N1502" s="1">
        <f t="shared" si="0"/>
        <v>22.5</v>
      </c>
      <c r="O1502" s="1">
        <v>22.25</v>
      </c>
      <c r="P1502" s="9"/>
    </row>
    <row r="1503" spans="1:16" x14ac:dyDescent="0.25">
      <c r="A1503" s="8">
        <v>24</v>
      </c>
      <c r="B1503" s="1">
        <v>245.6</v>
      </c>
      <c r="C1503" s="1" t="s">
        <v>118</v>
      </c>
      <c r="D1503" s="1">
        <v>2612</v>
      </c>
      <c r="E1503" s="1">
        <v>3791</v>
      </c>
      <c r="F1503" s="1"/>
      <c r="G1503" s="1"/>
      <c r="H1503" s="1"/>
      <c r="I1503" s="1" t="s">
        <v>67</v>
      </c>
      <c r="J1503" s="1">
        <v>1724</v>
      </c>
      <c r="K1503" s="1"/>
      <c r="L1503" s="1">
        <v>3757</v>
      </c>
      <c r="M1503" s="1">
        <v>1</v>
      </c>
      <c r="N1503" s="1">
        <f t="shared" si="0"/>
        <v>22</v>
      </c>
      <c r="O1503" s="1">
        <v>21.6</v>
      </c>
      <c r="P1503" s="9"/>
    </row>
    <row r="1504" spans="1:16" x14ac:dyDescent="0.25">
      <c r="A1504" s="8">
        <v>24</v>
      </c>
      <c r="B1504" s="1">
        <v>303.7</v>
      </c>
      <c r="C1504" s="1" t="s">
        <v>118</v>
      </c>
      <c r="D1504" s="1">
        <v>4227</v>
      </c>
      <c r="E1504" s="1">
        <v>4739</v>
      </c>
      <c r="F1504" s="1"/>
      <c r="G1504" s="1"/>
      <c r="H1504" s="1"/>
      <c r="I1504" s="1" t="s">
        <v>67</v>
      </c>
      <c r="J1504" s="1">
        <v>2170</v>
      </c>
      <c r="K1504" s="1"/>
      <c r="L1504" s="1">
        <v>4645</v>
      </c>
      <c r="M1504" s="1">
        <v>1.25</v>
      </c>
      <c r="N1504" s="1">
        <f t="shared" si="0"/>
        <v>21.5</v>
      </c>
      <c r="O1504" s="1">
        <v>21.5</v>
      </c>
      <c r="P1504" s="9"/>
    </row>
    <row r="1505" spans="1:16" x14ac:dyDescent="0.25">
      <c r="A1505" s="8">
        <v>20</v>
      </c>
      <c r="B1505" s="1">
        <v>154.19999999999999</v>
      </c>
      <c r="C1505" s="1" t="s">
        <v>119</v>
      </c>
      <c r="D1505" s="1">
        <v>2145</v>
      </c>
      <c r="E1505" s="1">
        <v>3675</v>
      </c>
      <c r="F1505" s="1"/>
      <c r="G1505" s="1"/>
      <c r="H1505" s="1"/>
      <c r="I1505" s="1" t="s">
        <v>67</v>
      </c>
      <c r="J1505" s="1">
        <v>1168</v>
      </c>
      <c r="K1505" s="1"/>
      <c r="L1505" s="1">
        <v>2539</v>
      </c>
      <c r="M1505" s="1">
        <v>0.75</v>
      </c>
      <c r="N1505" s="1">
        <f t="shared" si="0"/>
        <v>18.5</v>
      </c>
      <c r="O1505" s="1">
        <v>18.5</v>
      </c>
      <c r="P1505" s="9"/>
    </row>
    <row r="1506" spans="1:16" x14ac:dyDescent="0.25">
      <c r="A1506" s="8">
        <v>20</v>
      </c>
      <c r="B1506" s="1">
        <v>202.9</v>
      </c>
      <c r="C1506" s="1" t="s">
        <v>118</v>
      </c>
      <c r="D1506" s="1">
        <v>3904</v>
      </c>
      <c r="E1506" s="1">
        <v>4550</v>
      </c>
      <c r="F1506" s="1"/>
      <c r="G1506" s="1"/>
      <c r="H1506" s="1"/>
      <c r="I1506" s="1" t="s">
        <v>67</v>
      </c>
      <c r="J1506" s="1">
        <v>1425</v>
      </c>
      <c r="K1506" s="1"/>
      <c r="L1506" s="1">
        <v>3031</v>
      </c>
      <c r="M1506" s="1">
        <v>1</v>
      </c>
      <c r="N1506" s="1">
        <f t="shared" si="0"/>
        <v>18</v>
      </c>
      <c r="O1506" s="1">
        <v>18</v>
      </c>
      <c r="P1506" s="9"/>
    </row>
    <row r="1507" spans="1:16" x14ac:dyDescent="0.25">
      <c r="A1507" s="8">
        <v>16</v>
      </c>
      <c r="B1507" s="1">
        <v>109</v>
      </c>
      <c r="C1507" s="1" t="s">
        <v>320</v>
      </c>
      <c r="D1507" s="1">
        <v>4090</v>
      </c>
      <c r="E1507" s="1">
        <v>6080</v>
      </c>
      <c r="F1507" s="1"/>
      <c r="G1507" s="1"/>
      <c r="H1507" s="1"/>
      <c r="I1507" s="1" t="s">
        <v>13</v>
      </c>
      <c r="J1507" s="1">
        <v>2823</v>
      </c>
      <c r="K1507" s="1"/>
      <c r="L1507" s="1">
        <v>7010</v>
      </c>
      <c r="M1507" s="1">
        <v>0.65600000000000003</v>
      </c>
      <c r="N1507" s="1">
        <v>14.688000000000001</v>
      </c>
      <c r="O1507" s="1">
        <v>14.500999999999999</v>
      </c>
      <c r="P1507" s="9"/>
    </row>
    <row r="1508" spans="1:16" x14ac:dyDescent="0.25">
      <c r="A1508" s="8">
        <v>5</v>
      </c>
      <c r="B1508" s="1">
        <v>18</v>
      </c>
      <c r="C1508" s="1" t="s">
        <v>113</v>
      </c>
      <c r="D1508" s="1">
        <v>13470</v>
      </c>
      <c r="E1508" s="1">
        <v>13950</v>
      </c>
      <c r="F1508" s="1"/>
      <c r="G1508" s="1"/>
      <c r="H1508" s="1"/>
      <c r="I1508" s="1" t="s">
        <v>83</v>
      </c>
      <c r="J1508" s="1">
        <v>341</v>
      </c>
      <c r="K1508" s="1"/>
      <c r="L1508" s="1">
        <v>387</v>
      </c>
      <c r="M1508" s="1">
        <v>0.36199999999999999</v>
      </c>
      <c r="N1508" s="1">
        <f t="shared" ref="N1508:N1517" si="1">+A1508-2*M1508</f>
        <v>4.2759999999999998</v>
      </c>
      <c r="O1508" s="1">
        <v>4.1509999999999998</v>
      </c>
      <c r="P1508" s="9"/>
    </row>
    <row r="1509" spans="1:16" x14ac:dyDescent="0.25">
      <c r="A1509" s="8">
        <v>4.5</v>
      </c>
      <c r="B1509" s="1">
        <v>15.1</v>
      </c>
      <c r="C1509" s="1" t="s">
        <v>97</v>
      </c>
      <c r="D1509" s="1">
        <v>15130</v>
      </c>
      <c r="E1509" s="1">
        <v>14420</v>
      </c>
      <c r="F1509" s="1"/>
      <c r="G1509" s="1"/>
      <c r="H1509" s="1"/>
      <c r="I1509" s="1" t="s">
        <v>10</v>
      </c>
      <c r="J1509" s="1">
        <v>406</v>
      </c>
      <c r="K1509" s="1"/>
      <c r="L1509" s="1">
        <v>485</v>
      </c>
      <c r="M1509" s="1">
        <v>0.33700000000000002</v>
      </c>
      <c r="N1509" s="1">
        <f t="shared" si="1"/>
        <v>3.8260000000000001</v>
      </c>
      <c r="O1509" s="1">
        <v>3.7010000000000001</v>
      </c>
      <c r="P1509" s="9"/>
    </row>
    <row r="1510" spans="1:16" x14ac:dyDescent="0.25">
      <c r="A1510" s="250">
        <v>5.5</v>
      </c>
      <c r="B1510" s="250">
        <v>20</v>
      </c>
      <c r="C1510" s="250" t="s">
        <v>112</v>
      </c>
      <c r="D1510" s="250">
        <v>8830</v>
      </c>
      <c r="E1510" s="250">
        <v>9190</v>
      </c>
      <c r="F1510" s="250"/>
      <c r="G1510" s="250"/>
      <c r="H1510" s="250"/>
      <c r="I1510" s="250" t="s">
        <v>87</v>
      </c>
      <c r="J1510" s="250">
        <v>466</v>
      </c>
      <c r="K1510" s="250"/>
      <c r="L1510" s="250">
        <v>466</v>
      </c>
      <c r="M1510" s="250">
        <v>0.36099999999999999</v>
      </c>
      <c r="N1510" s="250">
        <f t="shared" si="1"/>
        <v>4.7780000000000005</v>
      </c>
      <c r="O1510" s="250">
        <v>4.6529999999999996</v>
      </c>
      <c r="P1510" s="250"/>
    </row>
    <row r="1511" spans="1:16" x14ac:dyDescent="0.25">
      <c r="A1511" s="250">
        <v>5.5</v>
      </c>
      <c r="B1511" s="250">
        <v>20</v>
      </c>
      <c r="C1511" s="250" t="s">
        <v>113</v>
      </c>
      <c r="D1511" s="250">
        <v>11110</v>
      </c>
      <c r="E1511" s="250">
        <v>12640</v>
      </c>
      <c r="F1511" s="250"/>
      <c r="G1511" s="250"/>
      <c r="H1511" s="250"/>
      <c r="I1511" s="250" t="s">
        <v>87</v>
      </c>
      <c r="J1511" s="250">
        <v>641</v>
      </c>
      <c r="K1511" s="250"/>
      <c r="L1511" s="250">
        <v>641</v>
      </c>
      <c r="M1511" s="250">
        <v>0.36099999999999999</v>
      </c>
      <c r="N1511" s="250">
        <f t="shared" si="1"/>
        <v>4.7780000000000005</v>
      </c>
      <c r="O1511" s="250">
        <v>4.6529999999999996</v>
      </c>
      <c r="P1511" s="250"/>
    </row>
    <row r="1512" spans="1:16" x14ac:dyDescent="0.25">
      <c r="A1512" s="250">
        <v>5</v>
      </c>
      <c r="B1512" s="250">
        <v>18</v>
      </c>
      <c r="C1512" s="250" t="s">
        <v>97</v>
      </c>
      <c r="D1512" s="250">
        <v>15440</v>
      </c>
      <c r="E1512" s="250">
        <v>13940</v>
      </c>
      <c r="F1512" s="250"/>
      <c r="G1512" s="250"/>
      <c r="H1512" s="250"/>
      <c r="I1512" s="250" t="s">
        <v>92</v>
      </c>
      <c r="J1512" s="250">
        <v>415</v>
      </c>
      <c r="K1512" s="250"/>
      <c r="L1512" s="250">
        <v>580</v>
      </c>
      <c r="M1512" s="250">
        <v>0.36199999999999999</v>
      </c>
      <c r="N1512" s="250">
        <f t="shared" si="1"/>
        <v>4.2759999999999998</v>
      </c>
      <c r="O1512" s="250">
        <v>4.1509999999999998</v>
      </c>
      <c r="P1512" s="250"/>
    </row>
    <row r="1513" spans="1:16" x14ac:dyDescent="0.25">
      <c r="A1513" s="250">
        <v>4.5</v>
      </c>
      <c r="B1513" s="250">
        <v>15.1</v>
      </c>
      <c r="C1513" s="250" t="s">
        <v>97</v>
      </c>
      <c r="D1513" s="250">
        <v>15130</v>
      </c>
      <c r="E1513" s="250">
        <v>14420</v>
      </c>
      <c r="F1513" s="250"/>
      <c r="G1513" s="250"/>
      <c r="H1513" s="250"/>
      <c r="I1513" s="250" t="s">
        <v>96</v>
      </c>
      <c r="J1513" s="250">
        <v>449</v>
      </c>
      <c r="K1513" s="250"/>
      <c r="L1513" s="250">
        <v>485</v>
      </c>
      <c r="M1513" s="250">
        <v>0.33700000000000002</v>
      </c>
      <c r="N1513" s="250">
        <f t="shared" si="1"/>
        <v>3.8260000000000001</v>
      </c>
      <c r="O1513" s="250">
        <v>3.7010000000000001</v>
      </c>
      <c r="P1513" s="250"/>
    </row>
    <row r="1514" spans="1:16" x14ac:dyDescent="0.25">
      <c r="A1514" s="250">
        <v>9.875</v>
      </c>
      <c r="B1514" s="250">
        <v>62.8</v>
      </c>
      <c r="C1514" s="250" t="s">
        <v>97</v>
      </c>
      <c r="D1514" s="250">
        <v>10280</v>
      </c>
      <c r="E1514" s="250">
        <v>12180</v>
      </c>
      <c r="F1514" s="250"/>
      <c r="G1514" s="250"/>
      <c r="H1514" s="250"/>
      <c r="I1514" s="250" t="s">
        <v>10</v>
      </c>
      <c r="J1514" s="250">
        <v>1294</v>
      </c>
      <c r="K1514" s="250"/>
      <c r="L1514" s="250">
        <v>1998</v>
      </c>
      <c r="M1514" s="250">
        <v>0.625</v>
      </c>
      <c r="N1514" s="250">
        <f t="shared" si="1"/>
        <v>8.625</v>
      </c>
      <c r="O1514" s="250">
        <v>8.5</v>
      </c>
      <c r="P1514" s="250"/>
    </row>
    <row r="1515" spans="1:16" x14ac:dyDescent="0.25">
      <c r="A1515" s="250">
        <v>5.5</v>
      </c>
      <c r="B1515" s="250">
        <v>17</v>
      </c>
      <c r="C1515" s="250" t="s">
        <v>120</v>
      </c>
      <c r="D1515" s="250">
        <v>5780</v>
      </c>
      <c r="E1515" s="250">
        <v>6770</v>
      </c>
      <c r="F1515" s="250"/>
      <c r="G1515" s="250"/>
      <c r="H1515" s="250"/>
      <c r="I1515" s="250" t="s">
        <v>10</v>
      </c>
      <c r="J1515" s="250">
        <v>285</v>
      </c>
      <c r="K1515" s="250"/>
      <c r="L1515" s="250">
        <v>347</v>
      </c>
      <c r="M1515" s="250">
        <v>0.30399999999999999</v>
      </c>
      <c r="N1515" s="250">
        <f t="shared" si="1"/>
        <v>4.8920000000000003</v>
      </c>
      <c r="O1515" s="250">
        <v>4.7670000000000003</v>
      </c>
      <c r="P1515" s="250"/>
    </row>
    <row r="1516" spans="1:16" x14ac:dyDescent="0.25">
      <c r="A1516" s="250">
        <v>5.5</v>
      </c>
      <c r="B1516" s="250">
        <v>17</v>
      </c>
      <c r="C1516" s="250" t="s">
        <v>121</v>
      </c>
      <c r="D1516" s="250">
        <v>6740</v>
      </c>
      <c r="E1516" s="250">
        <v>8710</v>
      </c>
      <c r="F1516" s="250"/>
      <c r="G1516" s="250"/>
      <c r="H1516" s="250"/>
      <c r="I1516" s="250" t="s">
        <v>10</v>
      </c>
      <c r="J1516" s="250">
        <v>356</v>
      </c>
      <c r="K1516" s="250"/>
      <c r="L1516" s="250">
        <v>447</v>
      </c>
      <c r="M1516" s="250">
        <v>0.30399999999999999</v>
      </c>
      <c r="N1516" s="250">
        <f t="shared" si="1"/>
        <v>4.8920000000000003</v>
      </c>
      <c r="O1516" s="250">
        <v>4.7670000000000003</v>
      </c>
      <c r="P1516" s="250"/>
    </row>
    <row r="1517" spans="1:16" x14ac:dyDescent="0.25">
      <c r="A1517" s="250">
        <v>5.5</v>
      </c>
      <c r="B1517" s="250">
        <v>17</v>
      </c>
      <c r="C1517" s="250" t="s">
        <v>122</v>
      </c>
      <c r="D1517" s="250">
        <v>6290</v>
      </c>
      <c r="E1517" s="250">
        <v>7740</v>
      </c>
      <c r="F1517" s="250"/>
      <c r="G1517" s="250"/>
      <c r="H1517" s="250"/>
      <c r="I1517" s="250" t="s">
        <v>10</v>
      </c>
      <c r="J1517" s="250">
        <v>320</v>
      </c>
      <c r="K1517" s="250"/>
      <c r="L1517" s="250">
        <v>397</v>
      </c>
      <c r="M1517" s="250">
        <v>0.30399999999999999</v>
      </c>
      <c r="N1517" s="250">
        <f t="shared" si="1"/>
        <v>4.8920000000000003</v>
      </c>
      <c r="O1517" s="250">
        <v>4.7670000000000003</v>
      </c>
      <c r="P1517" s="250"/>
    </row>
    <row r="1518" spans="1:16" x14ac:dyDescent="0.25">
      <c r="A1518" s="250">
        <v>4.5</v>
      </c>
      <c r="B1518" s="250">
        <v>13.5</v>
      </c>
      <c r="C1518" s="250" t="s">
        <v>97</v>
      </c>
      <c r="D1518" s="250">
        <v>11250</v>
      </c>
      <c r="E1518" s="250">
        <v>12410</v>
      </c>
      <c r="F1518" s="250"/>
      <c r="G1518" s="250"/>
      <c r="H1518" s="250"/>
      <c r="I1518" s="250" t="s">
        <v>13</v>
      </c>
      <c r="J1518" s="250">
        <v>443</v>
      </c>
      <c r="K1518" s="250"/>
      <c r="L1518" s="250">
        <v>422</v>
      </c>
      <c r="M1518" s="250">
        <v>0.28999999999999998</v>
      </c>
      <c r="N1518" s="250">
        <v>3.92</v>
      </c>
      <c r="O1518" s="250">
        <v>3.7949999999999999</v>
      </c>
      <c r="P1518" s="250"/>
    </row>
    <row r="1519" spans="1:16" x14ac:dyDescent="0.25">
      <c r="A1519" s="250">
        <v>7</v>
      </c>
      <c r="B1519" s="250">
        <v>23</v>
      </c>
      <c r="C1519" s="250" t="s">
        <v>97</v>
      </c>
      <c r="D1519" s="250">
        <v>5710</v>
      </c>
      <c r="E1519" s="250">
        <v>8720</v>
      </c>
      <c r="F1519" s="250"/>
      <c r="G1519" s="250"/>
      <c r="H1519" s="250"/>
      <c r="I1519" s="250" t="s">
        <v>10</v>
      </c>
      <c r="J1519" s="250">
        <v>590</v>
      </c>
      <c r="K1519" s="250"/>
      <c r="L1519" s="250">
        <v>732</v>
      </c>
      <c r="M1519" s="250">
        <v>0.317</v>
      </c>
      <c r="N1519" s="250">
        <v>6.3659999999999997</v>
      </c>
      <c r="O1519" s="250">
        <v>6.2409999999999997</v>
      </c>
      <c r="P1519" s="250"/>
    </row>
    <row r="1520" spans="1:16" x14ac:dyDescent="0.25">
      <c r="A1520" s="250"/>
      <c r="B1520" s="250"/>
      <c r="C1520" s="250"/>
      <c r="D1520" s="250"/>
      <c r="E1520" s="250"/>
      <c r="F1520" s="250"/>
      <c r="G1520" s="250"/>
      <c r="H1520" s="250"/>
      <c r="I1520" s="250"/>
      <c r="J1520" s="250"/>
      <c r="K1520" s="250"/>
      <c r="L1520" s="250"/>
      <c r="M1520" s="250"/>
      <c r="N1520" s="250"/>
      <c r="O1520" s="250"/>
      <c r="P1520" s="250"/>
    </row>
    <row r="1521" spans="1:16" x14ac:dyDescent="0.25">
      <c r="A1521" s="250"/>
      <c r="B1521" s="250"/>
      <c r="C1521" s="250"/>
      <c r="D1521" s="250"/>
      <c r="E1521" s="250"/>
      <c r="F1521" s="250"/>
      <c r="G1521" s="250"/>
      <c r="H1521" s="250"/>
      <c r="I1521" s="250"/>
      <c r="J1521" s="250"/>
      <c r="K1521" s="250"/>
      <c r="L1521" s="250"/>
      <c r="M1521" s="250"/>
      <c r="N1521" s="250"/>
      <c r="O1521" s="250"/>
      <c r="P1521" s="250"/>
    </row>
    <row r="1522" spans="1:16" x14ac:dyDescent="0.25">
      <c r="A1522" s="250"/>
      <c r="B1522" s="250"/>
      <c r="C1522" s="250"/>
      <c r="D1522" s="250"/>
      <c r="E1522" s="250"/>
      <c r="F1522" s="250"/>
      <c r="G1522" s="250"/>
      <c r="H1522" s="250"/>
      <c r="I1522" s="250"/>
      <c r="J1522" s="250"/>
      <c r="K1522" s="250"/>
      <c r="L1522" s="250"/>
      <c r="M1522" s="250"/>
      <c r="N1522" s="250"/>
      <c r="O1522" s="250"/>
      <c r="P1522" s="250"/>
    </row>
    <row r="1523" spans="1:16" x14ac:dyDescent="0.25">
      <c r="A1523" s="250"/>
      <c r="B1523" s="250"/>
      <c r="C1523" s="250"/>
      <c r="D1523" s="250"/>
      <c r="E1523" s="250"/>
      <c r="F1523" s="250"/>
      <c r="G1523" s="250"/>
      <c r="H1523" s="250"/>
      <c r="I1523" s="250"/>
      <c r="J1523" s="250"/>
      <c r="K1523" s="250"/>
      <c r="L1523" s="250"/>
      <c r="M1523" s="250"/>
      <c r="N1523" s="250"/>
      <c r="O1523" s="250"/>
      <c r="P1523" s="250"/>
    </row>
    <row r="1524" spans="1:16" x14ac:dyDescent="0.25">
      <c r="A1524" s="250"/>
      <c r="B1524" s="250"/>
      <c r="C1524" s="250"/>
      <c r="D1524" s="250"/>
      <c r="E1524" s="250"/>
      <c r="F1524" s="250"/>
      <c r="G1524" s="250"/>
      <c r="H1524" s="250"/>
      <c r="I1524" s="250"/>
      <c r="J1524" s="250"/>
      <c r="K1524" s="250"/>
      <c r="L1524" s="250"/>
      <c r="M1524" s="250"/>
      <c r="N1524" s="250"/>
      <c r="O1524" s="250"/>
      <c r="P1524" s="250"/>
    </row>
    <row r="1525" spans="1:16" x14ac:dyDescent="0.25">
      <c r="A1525" s="250"/>
      <c r="B1525" s="250"/>
      <c r="C1525" s="250"/>
      <c r="D1525" s="250"/>
      <c r="E1525" s="250"/>
      <c r="F1525" s="250"/>
      <c r="G1525" s="250"/>
      <c r="H1525" s="250"/>
      <c r="I1525" s="250"/>
      <c r="J1525" s="250"/>
      <c r="K1525" s="250"/>
      <c r="L1525" s="250"/>
      <c r="M1525" s="250"/>
      <c r="N1525" s="250"/>
      <c r="O1525" s="250"/>
      <c r="P1525" s="250"/>
    </row>
    <row r="1526" spans="1:16" x14ac:dyDescent="0.25">
      <c r="A1526" s="250"/>
      <c r="B1526" s="250"/>
      <c r="C1526" s="250"/>
      <c r="D1526" s="250"/>
      <c r="E1526" s="250"/>
      <c r="F1526" s="250"/>
      <c r="G1526" s="250"/>
      <c r="H1526" s="250"/>
      <c r="I1526" s="250"/>
      <c r="J1526" s="250"/>
      <c r="K1526" s="250"/>
      <c r="L1526" s="250"/>
      <c r="M1526" s="250"/>
      <c r="N1526" s="250"/>
      <c r="O1526" s="250"/>
      <c r="P1526" s="250"/>
    </row>
    <row r="1527" spans="1:16" x14ac:dyDescent="0.25">
      <c r="A1527" s="250"/>
      <c r="B1527" s="250"/>
      <c r="C1527" s="250"/>
      <c r="D1527" s="250"/>
      <c r="E1527" s="250"/>
      <c r="F1527" s="250"/>
      <c r="G1527" s="250"/>
      <c r="H1527" s="250"/>
      <c r="I1527" s="250"/>
      <c r="J1527" s="250"/>
      <c r="K1527" s="250"/>
      <c r="L1527" s="250"/>
      <c r="M1527" s="250"/>
      <c r="N1527" s="250"/>
      <c r="O1527" s="250"/>
      <c r="P1527" s="250"/>
    </row>
  </sheetData>
  <mergeCells count="10">
    <mergeCell ref="O3:P3"/>
    <mergeCell ref="O4:P4"/>
    <mergeCell ref="O5:P5"/>
    <mergeCell ref="C3:C6"/>
    <mergeCell ref="E3:H3"/>
    <mergeCell ref="E4:H4"/>
    <mergeCell ref="E5:H5"/>
    <mergeCell ref="I3:K3"/>
    <mergeCell ref="I4:K4"/>
    <mergeCell ref="I5:K5"/>
  </mergeCells>
  <pageMargins left="0.7" right="0.7" top="0.75" bottom="0.75" header="0.3" footer="0.3"/>
  <pageSetup orientation="portrait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D156"/>
  <sheetViews>
    <sheetView zoomScaleNormal="100" workbookViewId="0">
      <selection activeCell="L38" sqref="L38:M41"/>
    </sheetView>
  </sheetViews>
  <sheetFormatPr defaultColWidth="9.140625" defaultRowHeight="15" x14ac:dyDescent="0.25"/>
  <cols>
    <col min="1" max="1" width="8.28515625" style="569" customWidth="1"/>
    <col min="2" max="2" width="8.5703125" style="569" customWidth="1"/>
    <col min="3" max="3" width="4.7109375" style="569" customWidth="1"/>
    <col min="4" max="4" width="8.5703125" style="569" customWidth="1"/>
    <col min="5" max="6" width="7.7109375" style="569" customWidth="1"/>
    <col min="7" max="7" width="9.7109375" style="569" customWidth="1"/>
    <col min="8" max="10" width="7.7109375" style="569" customWidth="1"/>
    <col min="11" max="11" width="12" style="569" customWidth="1"/>
    <col min="12" max="12" width="8.28515625" style="569" customWidth="1"/>
    <col min="13" max="13" width="7.7109375" style="569" customWidth="1"/>
    <col min="14" max="14" width="7.140625" style="569" customWidth="1"/>
    <col min="15" max="15" width="8.5703125" style="569" customWidth="1"/>
    <col min="16" max="16" width="7.7109375" style="569" customWidth="1"/>
    <col min="17" max="17" width="9.7109375" style="569" customWidth="1"/>
    <col min="18" max="18" width="7.42578125" style="569" customWidth="1"/>
    <col min="19" max="19" width="9.7109375" style="569" customWidth="1"/>
    <col min="20" max="21" width="8.7109375" style="569" customWidth="1"/>
    <col min="22" max="22" width="7.85546875" style="569" customWidth="1"/>
    <col min="23" max="23" width="8.5703125" style="569" customWidth="1"/>
    <col min="24" max="24" width="6.7109375" style="569" customWidth="1"/>
    <col min="25" max="25" width="3.5703125" style="593" customWidth="1"/>
    <col min="26" max="26" width="9.7109375" style="593" customWidth="1"/>
    <col min="27" max="28" width="9.140625" style="596" customWidth="1"/>
    <col min="29" max="36" width="7.7109375" style="596" customWidth="1"/>
    <col min="37" max="37" width="6.85546875" style="596" customWidth="1"/>
    <col min="38" max="39" width="7.7109375" style="596" customWidth="1"/>
    <col min="40" max="46" width="9.140625" style="596" customWidth="1"/>
    <col min="47" max="47" width="11.42578125" style="596" customWidth="1"/>
    <col min="48" max="48" width="9.85546875" style="596" customWidth="1"/>
    <col min="49" max="77" width="9.140625" style="596" customWidth="1"/>
    <col min="78" max="80" width="9.140625" style="569" customWidth="1"/>
    <col min="81" max="16384" width="9.140625" style="569"/>
  </cols>
  <sheetData>
    <row r="1" spans="2:81" ht="8.25" customHeight="1" x14ac:dyDescent="0.25"/>
    <row r="2" spans="2:81" x14ac:dyDescent="0.25">
      <c r="B2" s="345" t="s">
        <v>321</v>
      </c>
      <c r="C2" s="734">
        <f>'Casing Review'!B5</f>
        <v>0</v>
      </c>
      <c r="D2" s="735"/>
      <c r="E2" s="735"/>
      <c r="F2" s="735"/>
      <c r="G2" s="735"/>
      <c r="AA2" s="593"/>
      <c r="AB2" s="593"/>
      <c r="BZ2" s="596"/>
      <c r="CA2" s="596"/>
    </row>
    <row r="3" spans="2:81" ht="15.75" customHeight="1" thickBot="1" x14ac:dyDescent="0.3">
      <c r="B3" s="345" t="s">
        <v>322</v>
      </c>
      <c r="C3" s="739">
        <f>'Casing Review'!B6</f>
        <v>0</v>
      </c>
      <c r="D3" s="735"/>
      <c r="E3" s="735"/>
      <c r="F3" s="735"/>
      <c r="G3" s="735"/>
      <c r="I3" s="415" t="e">
        <f>IF(MAX(AE48:AL48)=0,"SHL survey footages must be from nearest section lines.","")</f>
        <v>#VALUE!</v>
      </c>
      <c r="X3" s="749" t="s">
        <v>323</v>
      </c>
      <c r="Y3" s="750"/>
      <c r="AP3" s="773" t="s">
        <v>324</v>
      </c>
      <c r="AQ3" s="773" t="s">
        <v>325</v>
      </c>
      <c r="AR3" s="773" t="s">
        <v>326</v>
      </c>
      <c r="AS3" s="773" t="s">
        <v>327</v>
      </c>
      <c r="BZ3" s="596"/>
      <c r="CA3" s="596"/>
    </row>
    <row r="4" spans="2:81" ht="7.5" customHeight="1" thickBot="1" x14ac:dyDescent="0.3">
      <c r="S4" s="593"/>
      <c r="T4" s="596"/>
      <c r="U4" s="596"/>
      <c r="V4" s="596"/>
      <c r="X4" s="735"/>
      <c r="Y4" s="735"/>
      <c r="AP4" s="704"/>
      <c r="AQ4" s="704"/>
      <c r="AR4" s="704"/>
      <c r="AS4" s="704"/>
      <c r="BZ4" s="596"/>
      <c r="CA4" s="596"/>
    </row>
    <row r="5" spans="2:81" ht="26.25" customHeight="1" thickBot="1" x14ac:dyDescent="0.3">
      <c r="B5" s="414"/>
      <c r="C5" s="411"/>
      <c r="D5" s="413" t="s">
        <v>328</v>
      </c>
      <c r="E5" s="745" t="s">
        <v>329</v>
      </c>
      <c r="F5" s="741"/>
      <c r="G5" s="741"/>
      <c r="H5" s="746"/>
      <c r="I5" s="745" t="s">
        <v>330</v>
      </c>
      <c r="J5" s="741"/>
      <c r="K5" s="741"/>
      <c r="L5" s="746"/>
      <c r="M5" s="412" t="s">
        <v>331</v>
      </c>
      <c r="N5" s="411"/>
      <c r="O5" s="583"/>
      <c r="P5" s="583"/>
      <c r="Q5" s="583"/>
      <c r="R5" s="583"/>
      <c r="S5" s="410"/>
      <c r="T5" s="740" t="s">
        <v>332</v>
      </c>
      <c r="U5" s="741"/>
      <c r="V5" s="742"/>
      <c r="X5" s="751"/>
      <c r="Y5" s="709"/>
      <c r="Z5" s="709"/>
      <c r="AA5" s="709"/>
      <c r="AB5" s="709"/>
      <c r="AC5" s="709"/>
      <c r="AD5" s="709"/>
      <c r="AE5" s="709"/>
      <c r="AF5" s="709"/>
      <c r="AG5" s="752"/>
      <c r="AI5" s="769" t="s">
        <v>333</v>
      </c>
      <c r="AJ5" s="741"/>
      <c r="AK5" s="741"/>
      <c r="AL5" s="742"/>
      <c r="AN5" s="776" t="s">
        <v>334</v>
      </c>
      <c r="AO5" s="777"/>
      <c r="AP5" s="623">
        <f>ATAN(TAN(RADIANS(IF($V$7=11,117,111)-IF(ISNUMBER($U$13),$U$13+$U$14/60+$U$15/3600,$U$16)))*SIN(RADIANS(IF(ISNUMBER($T$13),$T$13+$T$14/60+$T$15/3600,$T$16))))</f>
        <v>7.751882029706115E-3</v>
      </c>
      <c r="AQ5" s="624">
        <f>DEGREES($AP$5)</f>
        <v>0.44415012358546663</v>
      </c>
      <c r="AR5" s="625">
        <f>ATAN(TAN(RADIANS(111.5-IF(ISNUMBER($U$13),$U$13+$U$14/60+$U$15/3600,$U$16)))*SIN(RADIANS(IF(ISNUMBER($T$13),$T$13+$T$14/60+$T$15/3600,$T$16))))</f>
        <v>1.3386326360556528E-2</v>
      </c>
      <c r="AS5" s="624">
        <f>DEGREES($AR$5)</f>
        <v>0.76698000364460861</v>
      </c>
      <c r="BZ5" s="596"/>
      <c r="CA5" s="596"/>
    </row>
    <row r="6" spans="2:81" ht="15" customHeight="1" x14ac:dyDescent="0.25">
      <c r="B6" s="738"/>
      <c r="C6" s="722"/>
      <c r="D6" s="409" t="s">
        <v>335</v>
      </c>
      <c r="E6" s="743" t="s">
        <v>336</v>
      </c>
      <c r="F6" s="682"/>
      <c r="G6" s="744" t="s">
        <v>337</v>
      </c>
      <c r="H6" s="683"/>
      <c r="I6" s="743" t="s">
        <v>338</v>
      </c>
      <c r="J6" s="682"/>
      <c r="K6" s="744" t="s">
        <v>339</v>
      </c>
      <c r="L6" s="683"/>
      <c r="M6" s="448" t="s">
        <v>340</v>
      </c>
      <c r="N6" s="448" t="s">
        <v>171</v>
      </c>
      <c r="O6" s="448" t="s">
        <v>341</v>
      </c>
      <c r="P6" s="448" t="s">
        <v>342</v>
      </c>
      <c r="Q6" s="448" t="s">
        <v>343</v>
      </c>
      <c r="R6" s="448" t="s">
        <v>344</v>
      </c>
      <c r="S6" s="448" t="s">
        <v>233</v>
      </c>
      <c r="T6" s="409" t="s">
        <v>345</v>
      </c>
      <c r="U6" s="448" t="s">
        <v>346</v>
      </c>
      <c r="V6" s="408" t="s">
        <v>347</v>
      </c>
      <c r="X6" s="753"/>
      <c r="Y6" s="750"/>
      <c r="Z6" s="750"/>
      <c r="AA6" s="754"/>
      <c r="AB6" s="754"/>
      <c r="AC6" s="754"/>
      <c r="AD6" s="754"/>
      <c r="AE6" s="754"/>
      <c r="AF6" s="754"/>
      <c r="AG6" s="755"/>
      <c r="AI6" s="770" t="s">
        <v>336</v>
      </c>
      <c r="AJ6" s="682"/>
      <c r="AK6" s="771" t="s">
        <v>337</v>
      </c>
      <c r="AL6" s="712"/>
      <c r="BZ6" s="596"/>
      <c r="CA6" s="596"/>
    </row>
    <row r="7" spans="2:81" x14ac:dyDescent="0.25">
      <c r="B7" s="736" t="s">
        <v>256</v>
      </c>
      <c r="C7" s="737"/>
      <c r="D7" s="442">
        <v>0</v>
      </c>
      <c r="E7" s="442"/>
      <c r="F7" s="439"/>
      <c r="G7" s="441"/>
      <c r="H7" s="439"/>
      <c r="I7" s="407">
        <f>IF(DxSurvey!H45="y",MAX(DxSurvey!B47:C47)+DxSurvey!G47,MAX(DxSurvey!B47:C47))</f>
        <v>0</v>
      </c>
      <c r="J7" s="406">
        <f>IF(DxSurvey!B47&gt;0,1,2)</f>
        <v>2</v>
      </c>
      <c r="K7" s="405">
        <f>IF(DxSurvey!H45="y",MAX(DxSurvey!D47:E47)+DxSurvey!H47,MAX(DxSurvey!D47:E47))</f>
        <v>0</v>
      </c>
      <c r="L7" s="404">
        <f>IF(DxSurvey!D47&gt;0,1,2)</f>
        <v>2</v>
      </c>
      <c r="M7" s="403" t="str">
        <f>IF(OR(ISNUMBER($AE$48),ISNUMBER($AG$48),ISNUMBER($AI$48),ISNUMBER($AK$48)),VLOOKUP(MAX($AE$48:$AL$48),$AV$56:$AZ$59,1+IF(ISNUMBER($AE$48),$AE$46,IF(ISNUMBER($AG$48),$AG$46,IF(ISNUMBER($AI$48),$AI$46,IF(ISNUMBER($AK$48),$AK$46,"")))),FALSE),"")</f>
        <v/>
      </c>
      <c r="N7" s="402"/>
      <c r="O7" s="401"/>
      <c r="P7" s="400"/>
      <c r="Q7" s="401"/>
      <c r="R7" s="400"/>
      <c r="S7" s="399"/>
      <c r="T7" s="398">
        <v>558548.96699999995</v>
      </c>
      <c r="U7" s="397">
        <v>4451004.9469999997</v>
      </c>
      <c r="V7" s="396">
        <v>12</v>
      </c>
      <c r="X7" s="753"/>
      <c r="Y7" s="750"/>
      <c r="Z7" s="750"/>
      <c r="AA7" s="754"/>
      <c r="AB7" s="754"/>
      <c r="AC7" s="754"/>
      <c r="AD7" s="754"/>
      <c r="AE7" s="754"/>
      <c r="AF7" s="754"/>
      <c r="AG7" s="755"/>
      <c r="AI7" s="395" t="s">
        <v>348</v>
      </c>
      <c r="AJ7" s="626">
        <f>IF(AND($AY$50=2,$Q$13=1),-$P$14,IF(AND($AY$50=1,$Q$13=2),$P$14,0))</f>
        <v>0</v>
      </c>
      <c r="AK7" s="441"/>
      <c r="AL7" s="394"/>
      <c r="BZ7" s="596"/>
      <c r="CA7" s="596"/>
    </row>
    <row r="8" spans="2:81" x14ac:dyDescent="0.25">
      <c r="B8" s="674" t="s">
        <v>141</v>
      </c>
      <c r="C8" s="675"/>
      <c r="D8" s="392">
        <f>DxSurvey!C8</f>
        <v>0</v>
      </c>
      <c r="E8" s="391" t="e">
        <f>ABS(DxSurvey!D8)</f>
        <v>#N/A</v>
      </c>
      <c r="F8" s="390" t="e">
        <f>IF(DxSurvey!D8&gt;=0,"N","S")</f>
        <v>#N/A</v>
      </c>
      <c r="G8" s="389" t="e">
        <f>ABS(DxSurvey!E8)</f>
        <v>#N/A</v>
      </c>
      <c r="H8" s="390" t="e">
        <f>IF(DxSurvey!E8&gt;=0,"E","W")</f>
        <v>#N/A</v>
      </c>
      <c r="I8" s="393" t="str">
        <f>IF(ISNUMBER($AE$66),$AE$66,IF(ISNUMBER($AG$66),$AG$66,IF(ISNUMBER($AI$66),$AI$66,IF(ISNUMBER($AK$66),$AK$66,IF(ISNUMBER('BHL Section 1'!$I$8),'BHL Section 1'!$I$8,IF(ISNUMBER('BHL Section 2'!$I$8),'BHL Section 2'!$I$8,""))))))</f>
        <v/>
      </c>
      <c r="J8" s="387" t="str">
        <f>IF(ISNUMBER($AE$66),$AE$61,IF(ISNUMBER($AG$66),$AG$61,IF(ISNUMBER($AI$66),$AI$61,IF(ISNUMBER($AK$66),$AK$61,IF(ISNUMBER('BHL Section 1'!$I$8),'BHL Section 1'!$J$8,IF(ISNUMBER('BHL Section 2'!$I$8),'BHL Section 2'!$J$8,""))))))</f>
        <v/>
      </c>
      <c r="K8" s="437" t="str">
        <f>IF(ISNUMBER($AF$66),$AF$66,IF(ISNUMBER($AH$66),$AH$66,IF(ISNUMBER($AJ$66),$AJ$66,IF(ISNUMBER($AL$66),$AL$66,IF(ISNUMBER('BHL Section 1'!$K$8),'BHL Section 1'!$K$8,IF(ISNUMBER('BHL Section 2'!$K$8),'BHL Section 2'!$K$8,""))))))</f>
        <v/>
      </c>
      <c r="L8" s="388" t="str">
        <f>IF(ISNUMBER($AF$66),$AF$61,IF(ISNUMBER($AH$66),$AH$61,IF(ISNUMBER($AJ$66),$AJ$61,IF(ISNUMBER($AL$66),$AL$61,IF(ISNUMBER('BHL Section 1'!$K$8),'BHL Section 1'!$L$8,IF(ISNUMBER('BHL Section 2'!$K$8),'BHL Section 2'!$L$8,""))))))</f>
        <v/>
      </c>
      <c r="M8" s="387" t="str">
        <f>IF(OR(ISNUMBER($AE$58),ISNUMBER($AG$58),ISNUMBER($AI$58),ISNUMBER($AK$58)),VLOOKUP(MAX($AE$58:$AL$58),$AV$56:$AZ$59,1+IF(ISNUMBER($AE$58),$AE$46,IF(ISNUMBER($AG$58),$AG$46,IF(ISNUMBER($AI$58),$AI$46,IF(ISNUMBER($AK$58),$AK$46,"")))),FALSE),IF(AND(ISNUMBER('BHL Section 1'!$I$8),ISNUMBER('BHL Section 1'!$K$8)),'BHL Section 1'!$M$8,IF(AND(ISNUMBER('BHL Section 2'!$I$8),ISNUMBER('BHL Section 2'!$K$8)),'BHL Section 2'!$M$8,"")))</f>
        <v/>
      </c>
      <c r="N8" s="387" t="e">
        <f>IF(MAX($AE$58:$AL$58)&gt;0,$N$7,IF(MAX('BHL Section 1'!$AE$58:$AL$58)&gt;0,'BHL Section 1'!$L$38,IF(MAX('BHL Section 2'!$AE$58:$AL$58)&gt;0,'BHL Section 2'!$L$38,IF(MAX('BHL Section 3'!$AE$58:$AL$58)&gt;0,'BHL Section 3'!$L$38,""))))</f>
        <v>#VALUE!</v>
      </c>
      <c r="O8" s="386">
        <f>$O$7</f>
        <v>0</v>
      </c>
      <c r="P8" s="386" t="str">
        <f>IF('SHL Section'!$P$7=1,"N","S")</f>
        <v>S</v>
      </c>
      <c r="Q8" s="386">
        <f>$Q$7</f>
        <v>0</v>
      </c>
      <c r="R8" s="386" t="str">
        <f>IF('SHL Section'!$R$7=1,"E","W")</f>
        <v>W</v>
      </c>
      <c r="S8" s="386" t="str">
        <f>IF($S$7=1,"Salt Lake","Uintah")</f>
        <v>Uintah</v>
      </c>
      <c r="T8" s="385" t="e">
        <f>IF($Q$13=1,$T$7+(IF($AL$8=1,$G$8,-$G$8)*COS($AP$5)-IF($AJ$8=1,$E$8,-$E$8)*SIN($AP$5))/3.28084,$T$7+(IF($AL$8=1,$G$8,-$G$8)*COS($AR$5-$AP$5)+IF($AJ$8=1,$E$8,-$E$8)*SIN($AR$5-$AP$5))/3.28084)</f>
        <v>#N/A</v>
      </c>
      <c r="U8" s="434" t="e">
        <f>IF($Q$13=1,$U$7+(IF($AJ$8=1,$E$8,-$E$8)*COS($AP$5)+IF($AL$8=1,$G$8,-$G$8)*SIN($AP$5))/3.28084,$U$7+(IF($AJ$8=1,$E$8,-$E$8)*COS($AR$5-$AP$5)-IF($AL$8=1,$G$8,-$G$8)*SIN($AR$5-$AP$5))/3.28084)</f>
        <v>#N/A</v>
      </c>
      <c r="V8" s="384">
        <f>$V$7</f>
        <v>12</v>
      </c>
      <c r="X8" s="753"/>
      <c r="Y8" s="750"/>
      <c r="Z8" s="750"/>
      <c r="AA8" s="754"/>
      <c r="AB8" s="754"/>
      <c r="AC8" s="754"/>
      <c r="AD8" s="754"/>
      <c r="AE8" s="754"/>
      <c r="AF8" s="754"/>
      <c r="AG8" s="755"/>
      <c r="AI8" s="383" t="e">
        <f>IF($AJ$8=1,$E$8,-$E$8)*COS(RADIANS($AJ$7))-IF($AL$8=1,$G$8,-$G$8)*SIN(RADIANS($AJ$7))</f>
        <v>#N/A</v>
      </c>
      <c r="AJ8" s="382" t="e">
        <f>IF(F8="N",1,2)</f>
        <v>#N/A</v>
      </c>
      <c r="AK8" s="434" t="e">
        <f>IF($AL$8=1,$G$8,-$G$8)*COS(RADIANS($AJ$7))+IF($AJ$8=1,$E$8,-$E$8)*SIN(RADIANS($AJ$7))</f>
        <v>#N/A</v>
      </c>
      <c r="AL8" s="381" t="e">
        <f>IF(H8="E",1,2)</f>
        <v>#N/A</v>
      </c>
    </row>
    <row r="9" spans="2:81" x14ac:dyDescent="0.25">
      <c r="B9" s="674" t="s">
        <v>144</v>
      </c>
      <c r="C9" s="675"/>
      <c r="D9" s="392">
        <f>DxSurvey!C9</f>
        <v>0</v>
      </c>
      <c r="E9" s="391" t="e">
        <f>ABS(DxSurvey!D9)</f>
        <v>#N/A</v>
      </c>
      <c r="F9" s="390" t="e">
        <f>IF(DxSurvey!D9&gt;=0,"N","S")</f>
        <v>#N/A</v>
      </c>
      <c r="G9" s="389" t="e">
        <f>ABS(DxSurvey!E9)</f>
        <v>#N/A</v>
      </c>
      <c r="H9" s="390" t="e">
        <f>IF(DxSurvey!E9&gt;=0,"E","W")</f>
        <v>#N/A</v>
      </c>
      <c r="I9" s="435" t="str">
        <f>IF(ISNUMBER($AE$77),$AE$77,IF(ISNUMBER($AG$77),$AG$77,IF(ISNUMBER($AI$77),$AI$77,IF(ISNUMBER($AK$77),$AK$77,IF(ISNUMBER('BHL Section 1'!$I$9),'BHL Section 1'!$I$9,IF(ISNUMBER('BHL Section 2'!$I$9),'BHL Section 2'!$I$9,IF(ISNUMBER('BHL Section 3'!$I$9),'BHL Section 3'!$I$9,"")))))))</f>
        <v/>
      </c>
      <c r="J9" s="387" t="str">
        <f>IF(ISNUMBER($AE$77),$AE$72,IF(ISNUMBER($AG$77),$AG$72,IF(ISNUMBER($AI$77),$AI$72,IF(ISNUMBER($AK$77),$AK$72,IF(ISNUMBER('BHL Section 1'!$I$9),'BHL Section 1'!$J$9,IF(ISNUMBER('BHL Section 2'!$I$9),'BHL Section 2'!$J$9,IF(ISNUMBER('BHL Section 3'!$I$9),'BHL Section 3'!$J$9,"")))))))</f>
        <v/>
      </c>
      <c r="K9" s="434" t="str">
        <f>IF(ISNUMBER($AF$77),$AF$77,IF(ISNUMBER($AH$77),$AH$77,IF(ISNUMBER($AJ$77),$AJ$77,IF(ISNUMBER($AL$77),$AL$77,IF(ISNUMBER('BHL Section 1'!$K$9),'BHL Section 1'!$K$9,IF(ISNUMBER('BHL Section 2'!$K$9),'BHL Section 2'!$K$9,IF(ISNUMBER('BHL Section 3'!$K$9),'BHL Section 3'!$K$9,"")))))))</f>
        <v/>
      </c>
      <c r="L9" s="388" t="str">
        <f>IF(ISNUMBER($AF$77),$AF$72,IF(ISNUMBER($AH$77),$AH$72,IF(ISNUMBER($AJ$77),$AJ$72,IF(ISNUMBER($AL$77),$AL$72,IF(ISNUMBER('BHL Section 1'!$K$9),'BHL Section 1'!$L$9,IF(ISNUMBER('BHL Section 2'!$K$9),'BHL Section 2'!$L$9,IF(ISNUMBER('BHL Section 3'!$K$9),'BHL Section 3'!$L$9,"")))))))</f>
        <v/>
      </c>
      <c r="M9" s="387" t="str">
        <f>IF(OR(ISNUMBER($AE$69),ISNUMBER($AG$69),ISNUMBER($AI$69),ISNUMBER($AK$69)),VLOOKUP(MAX($AE$69:$AL$69),$AV$56:$AZ$59,1+IF(ISNUMBER($AE$69),$AE$46,IF(ISNUMBER($AG$69),$AG$46,IF(ISNUMBER($AI$69),$AI$46,IF(ISNUMBER($AK$69),$AK$46,"")))),FALSE),IF(AND(ISNUMBER('BHL Section 1'!$I$9),ISNUMBER('BHL Section 1'!$K$9)),'BHL Section 1'!$M$9,IF(AND(ISNUMBER('BHL Section 2'!$I$9),ISNUMBER('BHL Section 2'!$K$9)),'BHL Section 2'!$M$9,IF(AND(ISNUMBER('BHL Section 3'!$I$9),ISNUMBER('BHL Section 3'!$K$9)),'BHL Section 3'!$M$9,""))))</f>
        <v/>
      </c>
      <c r="N9" s="387" t="e">
        <f>IF(MAX($AE$69:$AL$69)&gt;0,$N$7,IF(MAX('BHL Section 1'!$AE$69:$AL$69)&gt;0,'BHL Section 1'!$L$38,IF(MAX('BHL Section 2'!$AE$69:$AL$69)&gt;0,'BHL Section 2'!$L$38,IF(MAX('BHL Section 3'!$AE$69:$AL$69)&gt;0,'BHL Section 3'!$L$38,""))))</f>
        <v>#VALUE!</v>
      </c>
      <c r="O9" s="386">
        <f>$O$7</f>
        <v>0</v>
      </c>
      <c r="P9" s="386" t="str">
        <f>IF('SHL Section'!$P$7=1,"N","S")</f>
        <v>S</v>
      </c>
      <c r="Q9" s="386">
        <f>$Q$7</f>
        <v>0</v>
      </c>
      <c r="R9" s="386" t="str">
        <f>IF('SHL Section'!$R$7=1,"E","W")</f>
        <v>W</v>
      </c>
      <c r="S9" s="386" t="str">
        <f>IF($S$7=1,"Salt Lake","Uintah")</f>
        <v>Uintah</v>
      </c>
      <c r="T9" s="385" t="e">
        <f>IF($Q$13=1,$T$7+(IF($AL$9=1,$G$9,-$G$9)*COS($AP$5)-IF($AJ$9=1,$E$9,-$E$9)*SIN($AP$5))/3.28084,$T$7+(IF($AL$9=1,$G$9,-$G$9)*COS($AR$5-$AP$5)+IF($AJ$9=1,$E$9,-$E$9)*SIN($AR$5-$AP$5))/3.28084)</f>
        <v>#N/A</v>
      </c>
      <c r="U9" s="434" t="e">
        <f>IF($Q$13=1,$U$7+(IF($AJ$9=1,$E$9,-$E$9)*COS($AP$5)+IF($AL$9=1,$G$9,-$G$9)*SIN($AP$5))/3.28084,$U$7+(IF($AJ$9=1,$E$9,-$E$9)*COS($AR$5-$AP$5)-IF($AL$9=1,$G$9,-$G$9)*SIN($AR$5-$AP$5))/3.28084)</f>
        <v>#N/A</v>
      </c>
      <c r="V9" s="384">
        <f>$V$7</f>
        <v>12</v>
      </c>
      <c r="X9" s="753"/>
      <c r="Y9" s="750"/>
      <c r="Z9" s="750"/>
      <c r="AA9" s="754"/>
      <c r="AB9" s="754"/>
      <c r="AC9" s="754"/>
      <c r="AD9" s="754"/>
      <c r="AE9" s="754"/>
      <c r="AF9" s="754"/>
      <c r="AG9" s="755"/>
      <c r="AI9" s="383" t="e">
        <f>IF($AJ$9=1,$E$9,-$E$9)*COS(RADIANS($AJ$7))-IF($AL$9=1,$G$9,-$G$9)*SIN(RADIANS($AJ$7))</f>
        <v>#N/A</v>
      </c>
      <c r="AJ9" s="382" t="e">
        <f>IF(F9="N",1,2)</f>
        <v>#N/A</v>
      </c>
      <c r="AK9" s="434" t="e">
        <f>IF($AL$9=1,$G$9,-$G$9)*COS(RADIANS($AJ$7))+IF($AJ$9=1,$E$9,-$E$9)*SIN(RADIANS($AJ$7))</f>
        <v>#N/A</v>
      </c>
      <c r="AL9" s="381" t="e">
        <f>IF(H9="E",1,2)</f>
        <v>#N/A</v>
      </c>
    </row>
    <row r="10" spans="2:81" ht="15.75" customHeight="1" thickBot="1" x14ac:dyDescent="0.3">
      <c r="B10" s="676" t="s">
        <v>149</v>
      </c>
      <c r="C10" s="677"/>
      <c r="D10" s="449">
        <f>DxSurvey!C10</f>
        <v>0</v>
      </c>
      <c r="E10" s="450" t="e">
        <f>ABS(DxSurvey!D10)</f>
        <v>#N/A</v>
      </c>
      <c r="F10" s="451" t="e">
        <f>IF(DxSurvey!D10&gt;=0,"N","S")</f>
        <v>#N/A</v>
      </c>
      <c r="G10" s="452" t="e">
        <f>ABS(DxSurvey!E10)</f>
        <v>#N/A</v>
      </c>
      <c r="H10" s="567" t="e">
        <f>IF(DxSurvey!E10&gt;=0,"E","W")</f>
        <v>#N/A</v>
      </c>
      <c r="I10" s="432" t="str">
        <f>IF(ISNUMBER($AE$88),$AE$88,IF(ISNUMBER($AG$88),$AG$88,IF(ISNUMBER($AI$88),$AI$88,IF(ISNUMBER($AK$88),$AK$88,IF(ISNUMBER('BHL Section 1'!$I$10),'BHL Section 1'!$I$10,IF(ISNUMBER('BHL Section 2'!$I$10),'BHL Section 2'!$I$10,IF(ISNUMBER('BHL Section 3'!$I$10),'BHL Section 3'!$I$10,"")))))))</f>
        <v/>
      </c>
      <c r="J10" s="379" t="str">
        <f>IF(ISNUMBER($AE$88),$AE$83,IF(ISNUMBER($AG$88),$AG$83,IF(ISNUMBER($AI$88),$AI$83,IF(ISNUMBER($AK$88),$AK$83,IF(ISNUMBER('BHL Section 1'!$I$10),'BHL Section 1'!$J$10,IF(ISNUMBER('BHL Section 2'!$I$10),'BHL Section 2'!$J$10,IF(ISNUMBER('BHL Section 3'!$I$10),'BHL Section 3'!$J$10,"")))))))</f>
        <v/>
      </c>
      <c r="K10" s="431" t="str">
        <f>IF(ISNUMBER($AF$88),$AF$88,IF(ISNUMBER($AH$88),$AH$88,IF(ISNUMBER($AJ$88),$AJ$88,IF(ISNUMBER($AL$88),$AL$88,IF(ISNUMBER('BHL Section 1'!$K$10),'BHL Section 1'!$K$10,IF(ISNUMBER('BHL Section 2'!$K$10),'BHL Section 2'!$K$10,IF(ISNUMBER('BHL Section 3'!$K$10),'BHL Section 3'!$K$10,"")))))))</f>
        <v/>
      </c>
      <c r="L10" s="380" t="str">
        <f>IF(ISNUMBER($AF$88),$AF$83,IF(ISNUMBER($AH$88),$AH$83,IF(ISNUMBER($AJ$88),$AJ$83,IF(ISNUMBER($AL$88),$AL$83,IF(ISNUMBER('BHL Section 1'!$K$10),'BHL Section 1'!$L$10,IF(ISNUMBER('BHL Section 2'!$K$10),'BHL Section 2'!$L$10,IF(ISNUMBER('BHL Section 3'!$K$10),'BHL Section 3'!$L$10,"")))))))</f>
        <v/>
      </c>
      <c r="M10" s="379" t="str">
        <f>IF(OR(ISNUMBER($AE$80),ISNUMBER($AG$80),ISNUMBER($AI$80),ISNUMBER($AK$80)),VLOOKUP(MAX($AE$80:$AL$80),$AV$56:$AZ$59,1+IF(ISNUMBER($AE$80),$AE$46,IF(ISNUMBER($AG$80),$AG$46,IF(ISNUMBER($AI$80),$AI$46,IF(ISNUMBER($AK$80),$AK$46,"")))),FALSE),IF(AND(ISNUMBER('BHL Section 1'!$I$10),ISNUMBER('BHL Section 1'!$K$10)),'BHL Section 1'!$M$10,IF(AND(ISNUMBER('BHL Section 2'!$I$10),ISNUMBER('BHL Section 2'!$K$10)),'BHL Section 2'!$M$10,IF(AND(ISNUMBER('BHL Section 3'!$I$10),ISNUMBER('BHL Section 3'!$K$10)),'BHL Section 3'!$M$10,""))))</f>
        <v/>
      </c>
      <c r="N10" s="379" t="e">
        <f>IF(MAX($AE$80:$AL$80)&gt;0,$N$7,IF(MAX('BHL Section 1'!$AE$80:$AL$80)&gt;0,'BHL Section 1'!$L$38,IF(MAX('BHL Section 2'!$AE$80:$AL$80)&gt;0,'BHL Section 2'!$L$38,IF(MAX('BHL Section 3'!$AE$80:$AL$80)&gt;0,'BHL Section 3'!$L$38,""))))</f>
        <v>#VALUE!</v>
      </c>
      <c r="O10" s="378">
        <f>$O$7</f>
        <v>0</v>
      </c>
      <c r="P10" s="378" t="str">
        <f>IF('SHL Section'!$P$7=1,"N","S")</f>
        <v>S</v>
      </c>
      <c r="Q10" s="378">
        <f>$Q$7</f>
        <v>0</v>
      </c>
      <c r="R10" s="378" t="str">
        <f>IF('SHL Section'!$R$7=1,"E","W")</f>
        <v>W</v>
      </c>
      <c r="S10" s="378" t="str">
        <f>IF($S$7=1,"Salt Lake","Uintah")</f>
        <v>Uintah</v>
      </c>
      <c r="T10" s="377" t="e">
        <f>IF($Q$13=1,$T$7+(IF($AL$10=1,$G$10,-$G$10)*COS($AP$5)-IF($AJ$10=1,$E$10,-$E$10)*SIN($AP$5))/3.28084,$T$7+(IF($AL$10=1,$G$10,-$G$10)*COS($AR$5-$AP$5)+IF($AJ$10=1,$E$10,-$E$10)*SIN($AR$5-$AP$5))/3.28084)</f>
        <v>#N/A</v>
      </c>
      <c r="U10" s="431" t="e">
        <f>IF($Q$13=1,$U$7+(IF($AJ$10=1,$E$10,-$E$10)*COS($AP$5)+IF($AL$10=1,$G$10,-$G$10)*SIN($AP$5))/3.28084,$U$7+(IF($AJ$10=1,$E$10,-$E$10)*COS($AR$5-$AP$5)-IF($AL$10=1,$G$10,-$G$10)*SIN($AR$5-$AP$5))/3.28084)</f>
        <v>#N/A</v>
      </c>
      <c r="V10" s="376">
        <f>$V$7</f>
        <v>12</v>
      </c>
      <c r="X10" s="756"/>
      <c r="Y10" s="735"/>
      <c r="Z10" s="735"/>
      <c r="AA10" s="735"/>
      <c r="AB10" s="735"/>
      <c r="AC10" s="735"/>
      <c r="AD10" s="735"/>
      <c r="AE10" s="735"/>
      <c r="AF10" s="735"/>
      <c r="AG10" s="757"/>
      <c r="AI10" s="375" t="e">
        <f>IF($AJ$10=1,$E$10,-$E$10)*COS(RADIANS($AJ$7))-IF($AL$10=1,$G$10,-$G$10)*SIN(RADIANS($AJ$7))</f>
        <v>#N/A</v>
      </c>
      <c r="AJ10" s="453" t="e">
        <f>IF(F10="N",1,2)</f>
        <v>#N/A</v>
      </c>
      <c r="AK10" s="431" t="e">
        <f>IF($AL$10=1,$G$10,-$G$10)*COS(RADIANS($AJ$7))+IF($AJ$10=1,$E$10,-$E$10)*SIN(RADIANS($AJ$7))</f>
        <v>#N/A</v>
      </c>
      <c r="AL10" s="374" t="e">
        <f>IF(H10="E",1,2)</f>
        <v>#N/A</v>
      </c>
      <c r="BZ10" s="596"/>
      <c r="CA10" s="596"/>
    </row>
    <row r="11" spans="2:81" ht="15.75" customHeight="1" thickBot="1" x14ac:dyDescent="0.3">
      <c r="G11" s="373"/>
      <c r="H11" s="358"/>
      <c r="I11" s="358"/>
      <c r="J11" s="358"/>
      <c r="K11" s="358"/>
      <c r="L11" s="358"/>
      <c r="M11" s="551" t="s">
        <v>349</v>
      </c>
      <c r="N11" s="552">
        <f>L38</f>
        <v>0</v>
      </c>
      <c r="O11" s="552">
        <f>O10</f>
        <v>0</v>
      </c>
      <c r="P11" s="552" t="str">
        <f>P10</f>
        <v>S</v>
      </c>
      <c r="Q11" s="552">
        <f>Q10</f>
        <v>0</v>
      </c>
      <c r="R11" s="552" t="str">
        <f>R10</f>
        <v>W</v>
      </c>
      <c r="S11" s="552" t="str">
        <f>S10</f>
        <v>Uintah</v>
      </c>
      <c r="T11" s="358"/>
      <c r="U11" s="358"/>
      <c r="V11" s="358"/>
      <c r="W11" s="358"/>
      <c r="AE11" s="358"/>
      <c r="AF11" s="358"/>
      <c r="BZ11" s="596"/>
      <c r="CA11" s="596"/>
      <c r="CB11" s="596"/>
      <c r="CC11" s="596"/>
    </row>
    <row r="12" spans="2:81" x14ac:dyDescent="0.25">
      <c r="B12" s="372" t="s">
        <v>350</v>
      </c>
      <c r="C12" s="371"/>
      <c r="D12" s="371"/>
      <c r="E12" s="371"/>
      <c r="F12" s="371"/>
      <c r="G12" s="371"/>
      <c r="H12" s="371"/>
      <c r="I12" s="371"/>
      <c r="J12" s="371"/>
      <c r="K12" s="371"/>
      <c r="L12" s="358"/>
      <c r="M12" s="358"/>
      <c r="N12" s="758" t="s">
        <v>351</v>
      </c>
      <c r="O12" s="682"/>
      <c r="P12" s="682"/>
      <c r="Q12" s="683"/>
      <c r="R12" s="358"/>
      <c r="S12" s="370" t="s">
        <v>352</v>
      </c>
      <c r="T12" s="369" t="s">
        <v>353</v>
      </c>
      <c r="U12" s="368" t="s">
        <v>354</v>
      </c>
      <c r="Z12" s="298"/>
      <c r="AA12" s="579" t="s">
        <v>355</v>
      </c>
      <c r="AB12" s="337"/>
      <c r="AC12" s="337"/>
      <c r="AD12" s="337"/>
      <c r="AE12" s="336"/>
      <c r="AF12" s="358"/>
      <c r="AG12" s="358"/>
      <c r="AH12" s="356"/>
      <c r="AI12" s="358"/>
      <c r="AJ12" s="358"/>
      <c r="AK12" s="358"/>
      <c r="AL12" s="358"/>
      <c r="AM12" s="358"/>
      <c r="BZ12" s="596"/>
      <c r="CA12" s="596"/>
    </row>
    <row r="13" spans="2:81" x14ac:dyDescent="0.25">
      <c r="B13" s="367" t="s">
        <v>356</v>
      </c>
      <c r="C13" s="366"/>
      <c r="D13" s="366"/>
      <c r="E13" s="366"/>
      <c r="F13" s="366"/>
      <c r="G13" s="366"/>
      <c r="H13" s="366"/>
      <c r="I13" s="366"/>
      <c r="J13" s="366"/>
      <c r="K13" s="366"/>
      <c r="L13" s="358"/>
      <c r="M13" s="358"/>
      <c r="N13" s="365" t="s">
        <v>357</v>
      </c>
      <c r="O13" s="364"/>
      <c r="P13" s="363"/>
      <c r="Q13" s="362">
        <v>1</v>
      </c>
      <c r="R13" s="358"/>
      <c r="S13" s="361" t="s">
        <v>358</v>
      </c>
      <c r="T13" s="360"/>
      <c r="U13" s="359"/>
      <c r="V13" s="358"/>
      <c r="W13" s="358"/>
      <c r="X13" s="358"/>
      <c r="Y13" s="358"/>
      <c r="Z13" s="476"/>
      <c r="AA13" s="358"/>
      <c r="AB13" s="448" t="s">
        <v>91</v>
      </c>
      <c r="AC13" s="448" t="s">
        <v>89</v>
      </c>
      <c r="AD13" s="448" t="s">
        <v>336</v>
      </c>
      <c r="AE13" s="357" t="s">
        <v>337</v>
      </c>
      <c r="AF13" s="358"/>
      <c r="AG13" s="358"/>
      <c r="AH13" s="356"/>
      <c r="AI13" s="358"/>
      <c r="AJ13" s="358"/>
      <c r="AK13" s="358"/>
      <c r="AL13" s="358"/>
      <c r="AM13" s="358"/>
      <c r="BZ13" s="596"/>
      <c r="CA13" s="596"/>
    </row>
    <row r="14" spans="2:81" x14ac:dyDescent="0.25">
      <c r="L14" s="358"/>
      <c r="M14" s="358"/>
      <c r="N14" s="456" t="s">
        <v>145</v>
      </c>
      <c r="O14" s="457"/>
      <c r="P14" s="627">
        <f>$AS$5</f>
        <v>0.76698000364460861</v>
      </c>
      <c r="Q14" s="458" t="s">
        <v>359</v>
      </c>
      <c r="R14" s="358"/>
      <c r="S14" s="355" t="s">
        <v>360</v>
      </c>
      <c r="T14" s="354"/>
      <c r="U14" s="353"/>
      <c r="V14" s="358"/>
      <c r="W14" s="358"/>
      <c r="X14" s="358"/>
      <c r="Y14" s="358"/>
      <c r="Z14" s="476"/>
      <c r="AA14" s="349" t="s">
        <v>361</v>
      </c>
      <c r="AB14" s="352">
        <v>7891</v>
      </c>
      <c r="AC14" s="628">
        <v>7531.67</v>
      </c>
      <c r="AD14" s="628">
        <v>954.42</v>
      </c>
      <c r="AE14" s="629">
        <v>91.03</v>
      </c>
      <c r="BZ14" s="596"/>
      <c r="CA14" s="596"/>
    </row>
    <row r="15" spans="2:81" x14ac:dyDescent="0.25">
      <c r="L15" s="358"/>
      <c r="M15" s="358"/>
      <c r="N15" s="358"/>
      <c r="O15" s="358"/>
      <c r="P15" s="358"/>
      <c r="Q15" s="358"/>
      <c r="R15" s="358"/>
      <c r="S15" s="348" t="s">
        <v>362</v>
      </c>
      <c r="T15" s="351"/>
      <c r="U15" s="350"/>
      <c r="V15" s="358"/>
      <c r="W15" s="358"/>
      <c r="X15" s="358"/>
      <c r="Y15" s="358"/>
      <c r="Z15" s="476"/>
      <c r="AA15" s="349" t="s">
        <v>363</v>
      </c>
      <c r="AB15" s="477">
        <v>7964</v>
      </c>
      <c r="AC15" s="628">
        <v>7535.7</v>
      </c>
      <c r="AD15" s="628">
        <v>1027.23</v>
      </c>
      <c r="AE15" s="629">
        <v>93.97</v>
      </c>
      <c r="AF15" s="340"/>
      <c r="AG15" s="340"/>
      <c r="AH15" s="340"/>
      <c r="AI15" s="340"/>
      <c r="AJ15" s="340"/>
      <c r="AK15" s="340"/>
      <c r="AL15" s="340"/>
      <c r="AM15" s="340"/>
      <c r="AN15" s="340"/>
      <c r="AO15" s="340"/>
      <c r="AP15" s="340"/>
      <c r="AQ15" s="340"/>
      <c r="AR15" s="340"/>
      <c r="AS15" s="340"/>
      <c r="AT15" s="340"/>
      <c r="AU15" s="340"/>
      <c r="AV15" s="340"/>
      <c r="AW15" s="340"/>
      <c r="AX15" s="340"/>
      <c r="AY15" s="340"/>
      <c r="AZ15" s="340"/>
      <c r="BA15" s="340"/>
      <c r="BB15" s="340"/>
      <c r="BC15" s="340"/>
      <c r="BD15" s="340"/>
      <c r="BE15" s="340"/>
      <c r="BF15" s="340"/>
      <c r="BG15" s="340"/>
      <c r="BH15" s="340"/>
      <c r="BI15" s="340"/>
      <c r="BJ15" s="340"/>
      <c r="BK15" s="340"/>
      <c r="BL15" s="340"/>
      <c r="BM15" s="340"/>
      <c r="BN15" s="340"/>
      <c r="BO15" s="340"/>
      <c r="BP15" s="340"/>
      <c r="BQ15" s="340"/>
      <c r="BR15" s="340"/>
      <c r="BS15" s="340"/>
      <c r="BT15" s="340"/>
      <c r="BU15" s="340"/>
      <c r="BV15" s="340"/>
      <c r="BW15" s="340"/>
      <c r="BX15" s="340"/>
      <c r="BY15" s="340"/>
      <c r="BZ15" s="340"/>
      <c r="CA15" s="340"/>
      <c r="CB15" s="339"/>
    </row>
    <row r="16" spans="2:81" s="339" customFormat="1" x14ac:dyDescent="0.25">
      <c r="L16" s="358"/>
      <c r="M16" s="358"/>
      <c r="S16" s="348" t="s">
        <v>364</v>
      </c>
      <c r="T16" s="630">
        <v>40.207408999999998</v>
      </c>
      <c r="U16" s="631">
        <v>110.31200800000001</v>
      </c>
      <c r="Y16" s="593"/>
      <c r="Z16" s="295"/>
      <c r="AA16" s="347" t="s">
        <v>365</v>
      </c>
      <c r="AB16" s="346">
        <v>7914</v>
      </c>
      <c r="AC16" s="632">
        <f>AC$14+(AC$15-AC$14)/($AB$15-$AB$14)*($AB$16-$AB$14)</f>
        <v>7532.9397260273972</v>
      </c>
      <c r="AD16" s="632">
        <f>AD$14+(AD$15-AD$14)/($AB$15-$AB$14)*($AB$16-$AB$14)</f>
        <v>977.36013698630131</v>
      </c>
      <c r="AE16" s="633">
        <f>AE$14+(AE$15-AE$14)/($AB$15-$AB$14)*($AB$16-$AB$14)</f>
        <v>91.956301369863013</v>
      </c>
      <c r="AF16" s="340"/>
      <c r="AG16" s="340"/>
      <c r="AH16" s="340"/>
      <c r="AI16" s="340"/>
      <c r="AJ16" s="340"/>
      <c r="AK16" s="340"/>
      <c r="AL16" s="340"/>
      <c r="AM16" s="340"/>
      <c r="AN16" s="340"/>
      <c r="AO16" s="340"/>
      <c r="AP16" s="340"/>
      <c r="AQ16" s="340"/>
      <c r="AR16" s="340"/>
      <c r="AS16" s="340"/>
      <c r="AT16" s="340"/>
      <c r="AU16" s="340"/>
      <c r="AV16" s="340"/>
      <c r="AW16" s="340"/>
      <c r="AX16" s="340"/>
      <c r="AY16" s="340"/>
      <c r="AZ16" s="340"/>
      <c r="BA16" s="340"/>
      <c r="BB16" s="340"/>
      <c r="BC16" s="340"/>
      <c r="BD16" s="340"/>
      <c r="BE16" s="340"/>
      <c r="BF16" s="340"/>
      <c r="BG16" s="340"/>
      <c r="BH16" s="340"/>
      <c r="BI16" s="340"/>
      <c r="BJ16" s="340"/>
      <c r="BK16" s="340"/>
      <c r="BL16" s="340"/>
      <c r="BM16" s="340"/>
      <c r="BN16" s="340"/>
      <c r="BO16" s="340"/>
      <c r="BP16" s="340"/>
      <c r="BQ16" s="340"/>
      <c r="BR16" s="340"/>
      <c r="BS16" s="340"/>
      <c r="BT16" s="340"/>
      <c r="BU16" s="340"/>
      <c r="BV16" s="340"/>
      <c r="BW16" s="340"/>
      <c r="BX16" s="340"/>
      <c r="BY16" s="340"/>
      <c r="BZ16" s="340"/>
      <c r="CA16" s="340"/>
    </row>
    <row r="17" spans="1:82" s="339" customFormat="1" x14ac:dyDescent="0.25">
      <c r="B17" s="573"/>
      <c r="F17" s="485" t="s">
        <v>366</v>
      </c>
      <c r="L17" s="485" t="s">
        <v>366</v>
      </c>
      <c r="P17" s="485" t="s">
        <v>366</v>
      </c>
      <c r="V17" s="485" t="s">
        <v>366</v>
      </c>
      <c r="Y17" s="593"/>
      <c r="Z17" s="593"/>
      <c r="AA17" s="593"/>
      <c r="AB17" s="593"/>
      <c r="AC17" s="767" t="s">
        <v>367</v>
      </c>
      <c r="AD17" s="735"/>
      <c r="AE17" s="735"/>
      <c r="AF17" s="735"/>
      <c r="AG17" s="735"/>
      <c r="AH17" s="735"/>
      <c r="AI17" s="735"/>
      <c r="AJ17" s="735"/>
      <c r="AK17" s="735"/>
      <c r="AL17" s="735"/>
      <c r="AM17" s="735"/>
      <c r="AN17" s="735"/>
      <c r="AO17" s="735"/>
      <c r="AP17" s="735"/>
      <c r="AQ17" s="735"/>
      <c r="AR17" s="735"/>
      <c r="AS17" s="735"/>
      <c r="AT17" s="735"/>
      <c r="AU17" s="333" t="s">
        <v>368</v>
      </c>
      <c r="AV17" s="761" t="s">
        <v>369</v>
      </c>
      <c r="AW17" s="757"/>
      <c r="AX17" s="761" t="s">
        <v>370</v>
      </c>
      <c r="AY17" s="757"/>
      <c r="AZ17" s="761" t="s">
        <v>371</v>
      </c>
      <c r="BA17" s="757"/>
      <c r="BB17" s="761" t="s">
        <v>372</v>
      </c>
      <c r="BC17" s="757"/>
      <c r="BD17" s="761" t="s">
        <v>373</v>
      </c>
      <c r="BE17" s="757"/>
      <c r="BF17" s="761" t="s">
        <v>374</v>
      </c>
      <c r="BG17" s="757"/>
      <c r="BH17" s="761" t="s">
        <v>375</v>
      </c>
      <c r="BI17" s="757"/>
      <c r="BJ17" s="761" t="s">
        <v>376</v>
      </c>
      <c r="BK17" s="757"/>
      <c r="BL17" s="761" t="s">
        <v>377</v>
      </c>
      <c r="BM17" s="757"/>
      <c r="BN17" s="761" t="s">
        <v>378</v>
      </c>
      <c r="BO17" s="757"/>
      <c r="BP17" s="761" t="s">
        <v>379</v>
      </c>
      <c r="BQ17" s="757"/>
      <c r="BR17" s="761" t="s">
        <v>380</v>
      </c>
      <c r="BS17" s="757"/>
      <c r="BT17" s="761" t="s">
        <v>381</v>
      </c>
      <c r="BU17" s="757"/>
      <c r="BV17" s="761" t="s">
        <v>382</v>
      </c>
      <c r="BW17" s="757"/>
      <c r="BX17" s="761" t="s">
        <v>383</v>
      </c>
      <c r="BY17" s="757"/>
      <c r="BZ17" s="761" t="s">
        <v>384</v>
      </c>
      <c r="CA17" s="757"/>
    </row>
    <row r="18" spans="1:82" x14ac:dyDescent="0.25">
      <c r="B18" s="345"/>
      <c r="C18" s="344"/>
      <c r="D18" s="426" t="s">
        <v>385</v>
      </c>
      <c r="E18" s="299" t="e">
        <f>IF(NOT(ISBLANK(F18)),F18,DGET('Grid Numbers'!$A$2:$L$4952,'Grid Numbers'!$H$2,$L$66:$R$67))</f>
        <v>#VALUE!</v>
      </c>
      <c r="F18" s="486"/>
      <c r="G18" s="344"/>
      <c r="H18" s="344"/>
      <c r="I18" s="344"/>
      <c r="J18" s="426" t="s">
        <v>385</v>
      </c>
      <c r="K18" s="301" t="e">
        <f>IF(NOT(ISBLANK(L18)),L18,DGET('Grid Numbers'!$A$2:$L$4952,'Grid Numbers'!$H$2,$L$68:$R$69))</f>
        <v>#VALUE!</v>
      </c>
      <c r="L18" s="488"/>
      <c r="N18" s="426" t="s">
        <v>385</v>
      </c>
      <c r="O18" s="299" t="e">
        <f>IF(NOT(ISBLANK(P18)),P18,DGET('Grid Numbers'!$A$2:$L$4952,'Grid Numbers'!$H$2,$L$70:$R$71))</f>
        <v>#VALUE!</v>
      </c>
      <c r="P18" s="487"/>
      <c r="T18" s="426" t="s">
        <v>385</v>
      </c>
      <c r="U18" s="299" t="e">
        <f>IF(NOT(ISBLANK(V18)),V18,DGET('Grid Numbers'!$A$2:$L$4952,'Grid Numbers'!$H$2,$L$72:$R$73))</f>
        <v>#VALUE!</v>
      </c>
      <c r="V18" s="487"/>
      <c r="AA18" s="593"/>
      <c r="AB18" s="593"/>
      <c r="AC18" s="298"/>
      <c r="AD18" s="340"/>
      <c r="AE18" s="761" t="s">
        <v>386</v>
      </c>
      <c r="AF18" s="757"/>
      <c r="AG18" s="761" t="s">
        <v>387</v>
      </c>
      <c r="AH18" s="757"/>
      <c r="AI18" s="761" t="s">
        <v>388</v>
      </c>
      <c r="AJ18" s="757"/>
      <c r="AK18" s="761" t="s">
        <v>389</v>
      </c>
      <c r="AL18" s="757"/>
      <c r="AM18" s="761" t="s">
        <v>390</v>
      </c>
      <c r="AN18" s="757"/>
      <c r="AO18" s="761" t="s">
        <v>391</v>
      </c>
      <c r="AP18" s="757"/>
      <c r="AQ18" s="761" t="s">
        <v>392</v>
      </c>
      <c r="AR18" s="757"/>
      <c r="AS18" s="761" t="s">
        <v>393</v>
      </c>
      <c r="AT18" s="757"/>
      <c r="AU18" s="333" t="s">
        <v>394</v>
      </c>
      <c r="AV18" s="464" t="s">
        <v>336</v>
      </c>
      <c r="AW18" s="465" t="s">
        <v>337</v>
      </c>
      <c r="AX18" s="464" t="s">
        <v>336</v>
      </c>
      <c r="AY18" s="465" t="s">
        <v>337</v>
      </c>
      <c r="AZ18" s="464" t="s">
        <v>336</v>
      </c>
      <c r="BA18" s="465" t="s">
        <v>337</v>
      </c>
      <c r="BB18" s="464" t="s">
        <v>336</v>
      </c>
      <c r="BC18" s="465" t="s">
        <v>337</v>
      </c>
      <c r="BD18" s="464" t="s">
        <v>336</v>
      </c>
      <c r="BE18" s="465" t="s">
        <v>337</v>
      </c>
      <c r="BF18" s="464" t="s">
        <v>336</v>
      </c>
      <c r="BG18" s="465" t="s">
        <v>337</v>
      </c>
      <c r="BH18" s="464" t="s">
        <v>336</v>
      </c>
      <c r="BI18" s="465" t="s">
        <v>337</v>
      </c>
      <c r="BJ18" s="464" t="s">
        <v>336</v>
      </c>
      <c r="BK18" s="465" t="s">
        <v>337</v>
      </c>
      <c r="BL18" s="464" t="s">
        <v>336</v>
      </c>
      <c r="BM18" s="465" t="s">
        <v>337</v>
      </c>
      <c r="BN18" s="464" t="s">
        <v>336</v>
      </c>
      <c r="BO18" s="465" t="s">
        <v>337</v>
      </c>
      <c r="BP18" s="464" t="s">
        <v>336</v>
      </c>
      <c r="BQ18" s="465" t="s">
        <v>337</v>
      </c>
      <c r="BR18" s="464" t="s">
        <v>336</v>
      </c>
      <c r="BS18" s="465" t="s">
        <v>337</v>
      </c>
      <c r="BT18" s="464" t="s">
        <v>336</v>
      </c>
      <c r="BU18" s="465" t="s">
        <v>337</v>
      </c>
      <c r="BV18" s="464" t="s">
        <v>336</v>
      </c>
      <c r="BW18" s="465" t="s">
        <v>337</v>
      </c>
      <c r="BX18" s="464" t="s">
        <v>336</v>
      </c>
      <c r="BY18" s="465" t="s">
        <v>337</v>
      </c>
      <c r="BZ18" s="464" t="s">
        <v>336</v>
      </c>
      <c r="CA18" s="465" t="s">
        <v>337</v>
      </c>
    </row>
    <row r="19" spans="1:82" ht="12" customHeight="1" x14ac:dyDescent="0.25">
      <c r="B19" s="345"/>
      <c r="C19" s="344"/>
      <c r="D19" s="426" t="s">
        <v>395</v>
      </c>
      <c r="E19" s="293" t="e">
        <f>IF(NOT(ISBLANK(F19)),F19,DGET('Grid Numbers'!$A$2:$L$4952,'Grid Numbers'!$I$2,$L$66:$R$67))</f>
        <v>#VALUE!</v>
      </c>
      <c r="F19" s="486"/>
      <c r="G19" s="344"/>
      <c r="H19" s="344"/>
      <c r="I19" s="344"/>
      <c r="J19" s="426" t="s">
        <v>395</v>
      </c>
      <c r="K19" s="294" t="e">
        <f>IF(NOT(ISBLANK(L19)),L19,DGET('Grid Numbers'!$A$2:$L$4952,'Grid Numbers'!$I$2,$L$68:$R$69))</f>
        <v>#VALUE!</v>
      </c>
      <c r="L19" s="487"/>
      <c r="N19" s="426" t="s">
        <v>395</v>
      </c>
      <c r="O19" s="293" t="e">
        <f>IF(NOT(ISBLANK(P19)),P19,DGET('Grid Numbers'!$A$2:$L$4952,'Grid Numbers'!$I$2,$L$70:$R$71))</f>
        <v>#VALUE!</v>
      </c>
      <c r="P19" s="487"/>
      <c r="T19" s="426" t="s">
        <v>395</v>
      </c>
      <c r="U19" s="293" t="e">
        <f>IF(NOT(ISBLANK(V19)),V19,DGET('Grid Numbers'!$A$2:$L$4952,'Grid Numbers'!$I$2,$L$72:$R$73))</f>
        <v>#VALUE!</v>
      </c>
      <c r="V19" s="487"/>
      <c r="AA19" s="593"/>
      <c r="AB19" s="593"/>
      <c r="AC19" s="466" t="s">
        <v>396</v>
      </c>
      <c r="AD19" s="467" t="s">
        <v>397</v>
      </c>
      <c r="AE19" s="588" t="s">
        <v>336</v>
      </c>
      <c r="AF19" s="588" t="s">
        <v>337</v>
      </c>
      <c r="AG19" s="588" t="s">
        <v>336</v>
      </c>
      <c r="AH19" s="588" t="s">
        <v>337</v>
      </c>
      <c r="AI19" s="588" t="s">
        <v>336</v>
      </c>
      <c r="AJ19" s="588" t="s">
        <v>337</v>
      </c>
      <c r="AK19" s="588" t="s">
        <v>336</v>
      </c>
      <c r="AL19" s="588" t="s">
        <v>337</v>
      </c>
      <c r="AM19" s="588" t="s">
        <v>336</v>
      </c>
      <c r="AN19" s="588" t="s">
        <v>337</v>
      </c>
      <c r="AO19" s="588" t="s">
        <v>336</v>
      </c>
      <c r="AP19" s="588" t="s">
        <v>337</v>
      </c>
      <c r="AQ19" s="588" t="s">
        <v>336</v>
      </c>
      <c r="AR19" s="588" t="s">
        <v>337</v>
      </c>
      <c r="AS19" s="588" t="s">
        <v>336</v>
      </c>
      <c r="AT19" s="588" t="s">
        <v>337</v>
      </c>
      <c r="AU19" s="333"/>
      <c r="AV19" s="634" t="e">
        <f>IF(AND($U$18&gt;0,$O$18&gt;0),$U$18*SIN(RADIANS(90-$U$23)),IF(AND($U$18=0,$O$18&gt;0),$O$18/2*SIN(RADIANS(90-$O$23)),IF(AND($U$18&gt;0,$O$18=0),$U$18/2*SIN(RADIANS(90-$U$23)),IF(AND($U$18=0,$O$18=0,$K$18=0),$E$18/4*SIN(RADIANS(90-$E$23)),$K$18/4*SIN(RADIANS(90-$K$23))))))</f>
        <v>#VALUE!</v>
      </c>
      <c r="AW19" s="635" t="e">
        <f>IF(AND($U$18&gt;0,$O$18&gt;0),$U$18*COS(RADIANS(90-$U$23)),IF(AND($U$18=0,$O$18&gt;0),$O$18/2*COS(RADIANS(90-$O$23)),IF(AND($U$18&gt;0,$O$18=0),$U$18/2*COS(RADIANS(90-$U$23)),IF(AND($U$18=0,$O$18=0,$K$18=0),$E$18/4*COS(RADIANS(90-$E$23)),$K$18/4*COS(RADIANS(90-$K$23))))))</f>
        <v>#VALUE!</v>
      </c>
      <c r="AX19" s="634" t="e">
        <f>IF(AND($U$18&gt;0,$O$18&gt;0),$O$18*SIN(RADIANS(90-$O$23)),IF(AND($U$18=0,$O$18&gt;0),$O$18/2*SIN(RADIANS(90-$O$23)),IF(AND($U$18&gt;0,$O$18=0),$U$18/2*SIN(RADIANS(90-$U$23)),IF(AND($U$18=0,$O$18=0,$K$18=0),$E$18/4*SIN(RADIANS(90-$E$23)),$K$18/4*SIN(RADIANS(90-$K$23))))))</f>
        <v>#VALUE!</v>
      </c>
      <c r="AY19" s="635" t="e">
        <f>IF(AND($U$18&gt;0,$O$18&gt;0),$O$18*COS(RADIANS(90-$O$23)),IF(AND($U$18=0,$O$18&gt;0),$O$18/2*COS(RADIANS(90-$O$23)),IF(AND($U$18&gt;0,$O$18=0),$U$18/2*COS(RADIANS(90-$U$23)),IF(AND($U$18=0,$O$18=0,$K$18=0),$E$18/4*COS(RADIANS(90-$E$23)),$K$18/4*COS(RADIANS(90-$K$23))))))</f>
        <v>#VALUE!</v>
      </c>
      <c r="AZ19" s="634" t="e">
        <f>IF(AND($K$18&gt;0,$E$18&gt;0,OR($O$18&gt;0,$U$18&gt;0)),$K$18*SIN(RADIANS(90-$K$23)),IF(AND($K$18=0,$E$18&gt;0,OR($O$18&gt;0,$U$18&gt;0)),$E$18/2*SIN(RADIANS(90-$E$23)),IF(AND($K$18&gt;0,$E$18=0,OR($O$18&gt;0,$U$18&gt;0)),$K$18/2*SIN(RADIANS(90-$K$23)),IF(AND($K$18&gt;0,$O$18=0,$U$18=0),$K$18/4*SIN(RADIANS(90-$K$23)),$E$18/4*SIN(RADIANS(90-$E$23))))))</f>
        <v>#VALUE!</v>
      </c>
      <c r="BA19" s="635" t="e">
        <f>IF(AND($K$18&gt;0,$E$18&gt;0,OR($O$18&gt;0,$U$18&gt;0)),$K$18*COS(RADIANS(90-$K$23)),IF(AND($K$18=0,$E$18&gt;0,OR($O$18&gt;0,$U$18&gt;0)),$E$18/2*COS(RADIANS(90-$E$23)),IF(AND($K$18&gt;0,$E$18=0,OR($O$18&gt;0,$U$18&gt;0)),$K$18/2*COS(RADIANS(90-$K$23)),IF(AND($K$18&gt;0,$O$18=0,$U$18=0),$K$18/4*COS(RADIANS(90-$K$23)),$E$18/4*COS(RADIANS(90-$E$23))))))</f>
        <v>#VALUE!</v>
      </c>
      <c r="BB19" s="634" t="e">
        <f>IF(AND($K$18&gt;0,$E$18&gt;0,OR($O$18&gt;0,$U$18&gt;0)),$E$18*SIN(RADIANS(90-$E$23)),IF(AND($K$18=0,$E$18&gt;0,OR($O$18&gt;0,$U$18&gt;0)),$E$18/2*SIN(RADIANS(90-$E$23)),IF(AND($K$18&gt;0,$E$18=0,OR($O$18&gt;0,$U$18&gt;0)),$K$18/2*SIN(RADIANS(90-$K$23)),IF(AND($K$18&gt;0,$O$18=0,$U$18=0),$K$18/4*SIN(RADIANS(90-$K$23)),$E$18/4*SIN(RADIANS(90-$E$23))))))</f>
        <v>#VALUE!</v>
      </c>
      <c r="BC19" s="636" t="e">
        <f>IF(AND($K$18&gt;0,$E$18&gt;0,OR($O$18&gt;0,$U$18&gt;0)),$E$18*COS(RADIANS(90-$E$23)),IF(AND($K$18=0,$E$18&gt;0,OR($O$18&gt;0,$U$18&gt;0)),$E$18/2*COS(RADIANS(90-$E$23)),IF(AND($K$18&gt;0,$E$18=0,OR($O$18&gt;0,$U$18&gt;0)),$K$18/2*COS(RADIANS(90-$K$23)),IF(AND($K$18&gt;0,$O$18=0,$U$18=0),$K$18/4*COS(RADIANS(90-$K$23)),$E$18/4*COS(RADIANS(90-$E$23))))))</f>
        <v>#VALUE!</v>
      </c>
      <c r="BD19" s="634" t="e">
        <f>IF(AND($B$33&gt;0,$B$25&gt;0,OR($B$41&gt;0,$B$49&gt;0)),$B$25*COS(RADIANS(180-$B$30)),IF(AND($B$33=0,$B$25&gt;0,OR($B$41&gt;0,$B$49&gt;0)),$B$25/2*COS(RADIANS(180-$B$30)),IF(AND($B$33&gt;0,$B$25=0,OR($B$41&gt;0,$B$49&gt;0)),$B$33/2*COS(RADIANS(180-$B$38)),IF(AND($B$33&gt;0,$B$41=0,$B$49=0),$B$33/4*COS(RADIANS(180-$B$38)),$B$25/4*COS(RADIANS(180-$B$30))))))</f>
        <v>#VALUE!</v>
      </c>
      <c r="BE19" s="635" t="e">
        <f>IF(AND($B$33&gt;0,$B$25&gt;0,OR($B$41&gt;0,$B$49&gt;0)),$B$25*-SIN(RADIANS(180-$B$30)),IF(AND($B$33&gt;0,$B$25&gt;0,OR($B$41&gt;0,$B$49&gt;0)),$B$33*-SIN(RADIANS(180-$B$38)),IF(AND($B$33&gt;0,$B$25=0,OR($B$41&gt;0,$B$49&gt;0)),$B$33/2*-SIN(RADIANS(180-$B$38)),IF(AND($B$33&gt;0,$B$41=0,$B$49=0),$B$33/4*-SIN(RADIANS(180-$B$38)),$B$25/4*-SIN(RADIANS(180-$B$30))))))</f>
        <v>#VALUE!</v>
      </c>
      <c r="BF19" s="634" t="e">
        <f>IF(AND($B$33&gt;0,$B$25&gt;0,OR($B$41&gt;0,$B$49&gt;0)),$B$33*COS(RADIANS(180-$B$38)),IF(AND($B$33=0,$B$25&gt;0,OR($B$41&gt;0,$B$49&gt;0)),$B$25/2*COS(RADIANS(180-$B$30)),IF(AND($B$33&gt;0,$B$25=0,OR($B$41&gt;0,$B$49&gt;0)),$B$33/2*COS(RADIANS(180-$B$38)),IF(AND($B$33&gt;0,$B$41=0,$B$49=0),$B$33/4*COS(RADIANS(180-$B$38)),$B$25/4*COS(RADIANS(180-$B$30))))))</f>
        <v>#VALUE!</v>
      </c>
      <c r="BG19" s="635" t="e">
        <f>IF(AND($B$33&gt;0,$B$25&gt;0,OR($B$41&gt;0,$B$49&gt;0)),$B$33*-SIN(RADIANS(180-$B$38)),IF(AND($B$33&gt;0,$B$25&gt;0,OR($B$41&gt;0,$B$49&gt;0)),$B$33*-SIN(RADIANS(180-$B$38)),IF(AND($B$33&gt;0,$B$25=0,OR($B$41&gt;0,$B$49&gt;0)),$B$33/2*-SIN(RADIANS(180-$B$38)),IF(AND($B$33&gt;0,$B$41=0,$B$49=0),$B$33/4*-SIN(RADIANS(180-$B$38)),$B$25/4*-SIN(RADIANS(180-$B$30))))))</f>
        <v>#VALUE!</v>
      </c>
      <c r="BH19" s="634" t="e">
        <f>IF(AND($B$49&gt;0,$B$41&gt;0),$B$41*COS(RADIANS(180-$B$46)),IF(AND($B$49=0,$B$41&gt;0),$B$41/2*COS(RADIANS(180-$B$46)),IF(AND($B$49&gt;0,$B$41=0),$B$49/2*COS(RADIANS(180-$B$54)),IF(AND($B$49=0,$B$41=0,$B$33=0),$B$25/4*COS(RADIANS(180-$B$30)),$B$33/4*COS(RADIANS(180-$B$38))))))</f>
        <v>#VALUE!</v>
      </c>
      <c r="BI19" s="635" t="e">
        <f>IF(AND($B$49&gt;0,$B$41&gt;0),$B$41*-SIN(RADIANS(180-$B$46)),IF(AND($B$49=0,$B$41&gt;0),$B$41/2*-SIN(RADIANS(180-$B$46)),IF(AND($B$49&gt;0,$B$41=0),$B$49/2*-SIN(RADIANS(180-$B$54)),IF(AND($B$49=0,$B$41=0,$B$33=0),$B$25/4*-SIN(RADIANS(180-$B$30)),$B$33/4*-SIN(RADIANS(180-$B$38))))))</f>
        <v>#VALUE!</v>
      </c>
      <c r="BJ19" s="634" t="e">
        <f>IF(AND($B$49&gt;0,$B$41&gt;0),$B$49*COS(RADIANS(180-$B$54)),IF(AND($B$49=0,$B$41&gt;0),$B$41/2*COS(RADIANS(180-$B$46)),IF(AND($B$49&gt;0,$B$41=0),$B$49/2*COS(RADIANS(180-$B$54)),IF(AND($B$49=0,$B$41=0,$B$33=0),$B$25/4*COS(RADIANS(180-$B$30)),$B$33/4*COS(RADIANS(180-$B$38))))))</f>
        <v>#VALUE!</v>
      </c>
      <c r="BK19" s="635" t="e">
        <f>IF(AND($B$49&gt;0,$B$41&gt;0),$B$49*-SIN(RADIANS(180-$B$54)),IF(AND($B$49=0,$B$41&gt;0),$B$41/2*-SIN(RADIANS(180-$B$46)),IF(AND($B$49&gt;0,$B$41=0),$B$49/2*-SIN(RADIANS(180-$B$54)),IF(AND($B$49=0,$B$41=0,$B$33=0),$B$25/4*-SIN(RADIANS(180-$B$30)),$B$33/4*-SIN(RADIANS(180-$B$38))))))</f>
        <v>#VALUE!</v>
      </c>
      <c r="BL19" s="634" t="e">
        <f>IF(AND($K$57&gt;0,$E$57&gt;0,OR($O$57&gt;0,$U$57&gt;0)),$E$57*SIN(RADIANS(90-$E$62)),IF(AND($K$57=0,$E$57&gt;0,OR($O$57&gt;0,$U$57&gt;0)),$E$57/2*SIN(RADIANS(90-$E$62)),IF(AND($K$57&gt;0,$E$57=0,OR($O$57&gt;0,$U$57&gt;0)),$K$57/2*SIN(RADIANS(90-$K$62)),IF(AND($K$57&gt;0,$O$57=0,$U$57=0),$K$57/4*SIN(RADIANS(90-$K$62)),$E$57/4*SIN(RADIANS(90-$E$62))))))</f>
        <v>#VALUE!</v>
      </c>
      <c r="BM19" s="636" t="e">
        <f>IF(AND($K$57&gt;0,$E$57&gt;0,OR($O$57&gt;0,$U$57&gt;0)),$E$57*COS(RADIANS(90-$E$62)),IF(AND($K$57=0,$E$57&gt;0,OR($O$57&gt;0,$U$57&gt;0)),$E$57/2*COS(RADIANS(90-$E$62)),IF(AND($K$57&gt;0,$E$57=0,OR($O$57&gt;0,$U$57&gt;0)),$K$57/2*COS(RADIANS(90-$K$62)),IF(AND($K$57&gt;0,$O$57=0,$U$57=0),$K$57/4*COS(RADIANS(90-$K$62)),$E$57/4*COS(RADIANS(90-$E$62))))))</f>
        <v>#VALUE!</v>
      </c>
      <c r="BN19" s="634" t="e">
        <f>IF(AND($K$57&gt;0,$E$57&gt;0,OR($O$57&gt;0,$U$57&gt;0)),$K$57*SIN(RADIANS(90-$K$62)),IF(AND($K$57=0,$E$57&gt;0,OR($O$57&gt;0,$U$57&gt;0)),$E$57/2*SIN(RADIANS(90-$E$62)),IF(AND($K$57&gt;0,$E$57=0,OR($O$57&gt;0,$U$57&gt;0)),$K$57/2*SIN(RADIANS(90-$K$62)),IF(AND($K$57&gt;0,$O$57=0,$U$57=0),$K$57/4*SIN(RADIANS(90-$K$62)),$E$57/4*SIN(RADIANS(90-$E$62))))))</f>
        <v>#VALUE!</v>
      </c>
      <c r="BO19" s="635" t="e">
        <f>IF(AND($K$57&gt;0,$E$57&gt;0,OR($O$57&gt;0,$U$57&gt;0)),$K$57*COS(RADIANS(90-$K$62)),IF(AND($K$57=0,$E$57&gt;0,OR($O$57&gt;0,$U$57&gt;0)),$E$57/2*COS(RADIANS(90-$E$62)),IF(AND($K$57&gt;0,$E$57=0,OR($O$57&gt;0,$U$57&gt;0)),$K$57/2*COS(RADIANS(90-$K$62)),IF(AND($K$57&gt;0,$O$57=0,$U$57=0),$K$57/4*COS(RADIANS(90-$K$62)),$E$57/4*COS(RADIANS(90-$E$62))))))</f>
        <v>#VALUE!</v>
      </c>
      <c r="BP19" s="634" t="e">
        <f>IF(AND($U$57&gt;0,$O$57&gt;0),$O$57*SIN(RADIANS(90-$O$62)),IF(AND($U$57=0,$O$57&gt;0),$O$57/2*SIN(RADIANS(90-$O$62)),IF(AND($U$57&gt;0,$O$57=0),$U$57/2*SIN(RADIANS(90-$U$62)),IF(AND($U$57=0,$O$57=0,$K$57=0),$E$57/4*SIN(RADIANS(90-$E$62)),$K$57/4*SIN(RADIANS(90-$K$62))))))</f>
        <v>#VALUE!</v>
      </c>
      <c r="BQ19" s="635" t="e">
        <f>IF(AND($U$57&gt;0,$O$57&gt;0),$O$57*COS(RADIANS(90-$O$62)),IF(AND($U$57=0,$O$57&gt;0),$O$57/2*COS(RADIANS(90-$O$62)),IF(AND($U$57&gt;0,$O$57=0),$U$57/2*COS(RADIANS(90-$U$62)),IF(AND($U$57=0,$O$57=0,$K$57=0),$E$57/4*COS(RADIANS(90-$E$62)),$K$57/4*COS(RADIANS(90-$K$62))))))</f>
        <v>#VALUE!</v>
      </c>
      <c r="BR19" s="634" t="e">
        <f>IF(AND($U$57&gt;0,$O$57&gt;0),$U$57*SIN(RADIANS(90-$U$62)),IF(AND($U$57=0,$O$57&gt;0),$O$57/2*SIN(RADIANS(90-$O$62)),IF(AND($U$57&gt;0,$O$57=0),$U$57/2*SIN(RADIANS(90-$U$62)),IF(AND($U$57=0,$O$57=0,$K$57=0),$E$57/4*SIN(RADIANS(90-$E$62)),$K$57/4*SIN(RADIANS(90-$K$62))))))</f>
        <v>#VALUE!</v>
      </c>
      <c r="BS19" s="635" t="e">
        <f>IF(AND($U$57&gt;0,$O$57&gt;0),$U$57*COS(RADIANS(90-$U$62)),IF(AND($U$57=0,$O$57&gt;0),$O$57/2*COS(RADIANS(90-$O$62)),IF(AND($U$57&gt;0,$O$57=0),$U$57/2*COS(RADIANS(90-$U$62)),IF(AND($U$57=0,$O$57=0,$K$57=0),$E$57/4*COS(RADIANS(90-$E$62)),$K$57/4*COS(RADIANS(90-$K$62))))))</f>
        <v>#VALUE!</v>
      </c>
      <c r="BT19" s="634" t="e">
        <f>IF(AND($W$49&gt;0,$W$41&gt;0),$W$49*COS(RADIANS(180-$W$54)),IF(AND($W$49=0,$W$41&gt;0),$W$41/2*COS(RADIANS(180-$W$46)),IF(AND($W$49&gt;0,$W$41=0),$W$49/2*COS(RADIANS(180-$W$54)),IF(AND($W$49=0,$W$41=0,$W$33=0),$W$25/4*COS(RADIANS(180-$W$30)),$W$33/4*COS(RADIANS(180-$W$38))))))</f>
        <v>#VALUE!</v>
      </c>
      <c r="BU19" s="635" t="e">
        <f>IF(AND($W$49&gt;0,$W$41&gt;0),$W$49*-SIN(RADIANS(180-$W$54)),IF(AND($W$49=0,$W$41&gt;0),$W$41/2*-SIN(RADIANS(180-$W$46)),IF(AND($W$49&gt;0,$W$41=0),$W$49/2*-SIN(RADIANS(180-$W$54)),IF(AND($W$49=0,$W$41=0,$W$33=0),$W$25/4*-SIN(RADIANS(180-$W$30)),$W$33/4*-SIN(RADIANS(180-$W$38))))))</f>
        <v>#VALUE!</v>
      </c>
      <c r="BV19" s="634" t="e">
        <f>IF(AND($W$49&gt;0,$W$41&gt;0),$W$41*COS(RADIANS(180-$W$46)),IF(AND($W$49=0,$W$41&gt;0),$W$41/2*COS(RADIANS(180-$W$46)),IF(AND($W$49&gt;0,$W$41=0),$W$49/2*COS(RADIANS(180-$W$54)),IF(AND($W$49=0,$W$41=0,$W$33=0),$W$25/4*COS(RADIANS(180-$W$30)),$W$33/4*COS(RADIANS(180-$W$38))))))</f>
        <v>#VALUE!</v>
      </c>
      <c r="BW19" s="635" t="e">
        <f>IF(AND($W$49&gt;0,$W$41&gt;0),$W$41*-SIN(RADIANS(180-$W$46)),IF(AND($W$49=0,$W$41&gt;0),$W$41/2*-SIN(RADIANS(180-$W$46)),IF(AND($W$49&gt;0,$W$41=0),$W$49/2*-SIN(RADIANS(180-$W$54)),IF(AND($W$49=0,$W$41=0,$W$33=0),$W$25/4*-SIN(RADIANS(180-$W$30)),$W$33/4*-SIN(RADIANS(180-$W$38))))))</f>
        <v>#VALUE!</v>
      </c>
      <c r="BX19" s="634" t="e">
        <f>IF(AND($W$33&gt;0,$W$25&gt;0,OR($W$41&gt;0,$W$49&gt;0)),$W$33*COS(RADIANS(180-$W$38)),IF(AND($W$33=0,$W$25&gt;0,OR($W$41&gt;0,$W$49&gt;0)),$W$25/2*COS(RADIANS(180-$W$30)),IF(AND($W$33&gt;0,$W$25=0,OR($W$41&gt;0,$W$49&gt;0)),$W$33/2*COS(RADIANS(180-$W$38)),IF(AND($W$33&gt;0,$W$41=0,$W$49=0),$W$33/4*COS(RADIANS(180-$W$38)),$W$25/4*COS(RADIANS(180-$W$30))))))</f>
        <v>#VALUE!</v>
      </c>
      <c r="BY19" s="635" t="e">
        <f>IF(AND($W$33&gt;0,$W$25&gt;0,OR($W$41&gt;0,$W$49&gt;0)),$W$33*-SIN(RADIANS(180-$W$38)),IF(AND($W$33&gt;0,$W$25&gt;0,OR($W$41&gt;0,$W$49&gt;0)),$W$33*-SIN(RADIANS(180-$W$38)),IF(AND($W$33&gt;0,$W$25=0,OR($W$41&gt;0,$W$49&gt;0)),$W$33/2*-SIN(RADIANS(180-$W$38)),IF(AND($W$33&gt;0,$W$41=0,$W$49=0),$W$33/4*-SIN(RADIANS(180-$W$38)),$W$25/4*-SIN(RADIANS(180-$W$30))))))</f>
        <v>#VALUE!</v>
      </c>
      <c r="BZ19" s="634" t="e">
        <f>IF(AND($W$33&gt;0,$W$25&gt;0,OR($W$41&gt;0,$W$49&gt;0)),$W$25*COS(RADIANS(180-$W$30)),IF(AND($W$33=0,$W$25&gt;0,OR($W$41&gt;0,$W$49&gt;0)),$W$25/2*COS(RADIANS(180-$W$30)),IF(AND($W$33&gt;0,$W$25=0,OR($W$41&gt;0,$W$49&gt;0)),$W$33/2*COS(RADIANS(180-$W$38)),IF(AND($W$33&gt;0,$W$41=0,$W$49=0),$W$33/4*COS(RADIANS(180-$W$38)),$W$25/4*COS(RADIANS(180-$W$30))))))</f>
        <v>#VALUE!</v>
      </c>
      <c r="CA19" s="635" t="e">
        <f>IF(AND($W$33&gt;0,$W$25&gt;0,OR($W$41&gt;0,$W$49&gt;0)),$W$25*-SIN(RADIANS(180-$W$30)),IF(AND($W$33&gt;0,$W$25&gt;0,OR($W$41&gt;0,$W$49&gt;0)),$W$33*-SIN(RADIANS(180-$W$38)),IF(AND($W$33&gt;0,$W$25=0,OR($W$41&gt;0,$W$49&gt;0)),$W$33/2*-SIN(RADIANS(180-$W$38)),IF(AND($W$33&gt;0,$W$41=0,$W$49=0),$W$33/4*-SIN(RADIANS(180-$W$38)),$W$25/4*-SIN(RADIANS(180-$W$30))))))</f>
        <v>#VALUE!</v>
      </c>
    </row>
    <row r="20" spans="1:82" ht="12" customHeight="1" x14ac:dyDescent="0.25">
      <c r="B20" s="345"/>
      <c r="C20" s="344"/>
      <c r="D20" s="426" t="s">
        <v>398</v>
      </c>
      <c r="E20" s="293" t="e">
        <f>IF(NOT(ISBLANK(F20)),F20,DGET('Grid Numbers'!$A$2:$L$4952,'Grid Numbers'!$J$2,$L$66:$R$67))</f>
        <v>#VALUE!</v>
      </c>
      <c r="F20" s="486"/>
      <c r="G20" s="344"/>
      <c r="H20" s="344"/>
      <c r="I20" s="344"/>
      <c r="J20" s="426" t="s">
        <v>398</v>
      </c>
      <c r="K20" s="294" t="e">
        <f>IF(NOT(ISBLANK(L20)),L20,DGET('Grid Numbers'!$A$2:$L$4952,'Grid Numbers'!$J$2,$L$68:$R$69))</f>
        <v>#VALUE!</v>
      </c>
      <c r="L20" s="487"/>
      <c r="N20" s="426" t="s">
        <v>398</v>
      </c>
      <c r="O20" s="293" t="e">
        <f>IF(NOT(ISBLANK(P20)),P20,DGET('Grid Numbers'!$A$2:$L$4952,'Grid Numbers'!$J$2,$L$70:$R$71))</f>
        <v>#VALUE!</v>
      </c>
      <c r="P20" s="487"/>
      <c r="T20" s="426" t="s">
        <v>398</v>
      </c>
      <c r="U20" s="293" t="e">
        <f>IF(NOT(ISBLANK(V20)),V20,DGET('Grid Numbers'!$A$2:$L$4952,'Grid Numbers'!$J$2,$L$72:$R$73))</f>
        <v>#VALUE!</v>
      </c>
      <c r="V20" s="487"/>
      <c r="AA20" s="593"/>
      <c r="AB20" s="593"/>
      <c r="AC20" s="478">
        <v>1</v>
      </c>
      <c r="AD20" s="317" t="s">
        <v>399</v>
      </c>
      <c r="AE20" s="343" t="e">
        <f>IF($AE$48=1,$AE$52,IF($AE$48=2,$AE$53,IF($AE$48=3,$AE$54,IF($AE$48=4,$AE$55,""))))</f>
        <v>#VALUE!</v>
      </c>
      <c r="AF20" s="343" t="e">
        <f>IF($AE$48=1,$AF$52,IF($AE$48=2,$AF$53,IF($AE$48=3,$AF$54,IF($AE$48=4,$AF$55,""))))</f>
        <v>#VALUE!</v>
      </c>
      <c r="AG20" s="342" t="e">
        <f>IF($AE$20="","",$AY$26+$AE$20)</f>
        <v>#VALUE!</v>
      </c>
      <c r="AH20" s="342" t="e">
        <f>IF($AF$20="","",$AZ$26+$AF$20)</f>
        <v>#VALUE!</v>
      </c>
      <c r="AI20" s="342" t="e">
        <f>IF($AE$20="","",$BG$26+$AY$26+$AE$20)</f>
        <v>#VALUE!</v>
      </c>
      <c r="AJ20" s="342" t="e">
        <f>IF($AF$20="","",$AZ$26+$BH$26+$AF$20)</f>
        <v>#VALUE!</v>
      </c>
      <c r="AK20" s="342" t="e">
        <f>IF($AE$20="","",$BW$26+$AE$20)</f>
        <v>#VALUE!</v>
      </c>
      <c r="AL20" s="342" t="e">
        <f>IF($AF$20="","",$AF$20+$BX$26)</f>
        <v>#VALUE!</v>
      </c>
      <c r="AM20" s="342" t="e">
        <f>IF($AE$20="","",$AW$22+$AE$20)</f>
        <v>#VALUE!</v>
      </c>
      <c r="AN20" s="342" t="e">
        <f>IF($AF$20="","",$AX$22+$AF$20)</f>
        <v>#VALUE!</v>
      </c>
      <c r="AO20" s="342" t="e">
        <f>IF($AE$20="","",$AY$26+$AE$20+$BE$22)</f>
        <v>#VALUE!</v>
      </c>
      <c r="AP20" s="342" t="e">
        <f>IF($AF$20="","",$AZ$26+$AF$20+$BF$22)</f>
        <v>#VALUE!</v>
      </c>
      <c r="AQ20" s="342" t="e">
        <f>IF($AE$20="","",$BW$26+$AE$20+$BQ$22)</f>
        <v>#VALUE!</v>
      </c>
      <c r="AR20" s="342" t="e">
        <f>IF($AF$20="","",$AF$20+$BX$26+$BR$22)</f>
        <v>#VALUE!</v>
      </c>
      <c r="AS20" s="342" t="e">
        <f>IF($AE$20="","",$BY$22+$AE$20)</f>
        <v>#VALUE!</v>
      </c>
      <c r="AT20" s="342" t="e">
        <f>IF($AF$20="","",$AF$20+$BZ$22)</f>
        <v>#VALUE!</v>
      </c>
      <c r="AU20" s="333" t="s">
        <v>400</v>
      </c>
      <c r="AV20" s="761" t="s">
        <v>401</v>
      </c>
      <c r="AW20" s="735"/>
      <c r="AX20" s="735"/>
      <c r="AY20" s="757"/>
      <c r="AZ20" s="761" t="s">
        <v>402</v>
      </c>
      <c r="BA20" s="735"/>
      <c r="BB20" s="735"/>
      <c r="BC20" s="757"/>
      <c r="BD20" s="761" t="s">
        <v>403</v>
      </c>
      <c r="BE20" s="735"/>
      <c r="BF20" s="735"/>
      <c r="BG20" s="757"/>
      <c r="BH20" s="761" t="s">
        <v>404</v>
      </c>
      <c r="BI20" s="735"/>
      <c r="BJ20" s="735"/>
      <c r="BK20" s="757"/>
      <c r="BL20" s="761" t="s">
        <v>405</v>
      </c>
      <c r="BM20" s="735"/>
      <c r="BN20" s="735"/>
      <c r="BO20" s="757"/>
      <c r="BP20" s="761" t="s">
        <v>406</v>
      </c>
      <c r="BQ20" s="735"/>
      <c r="BR20" s="735"/>
      <c r="BS20" s="757"/>
      <c r="BT20" s="761" t="s">
        <v>407</v>
      </c>
      <c r="BU20" s="735"/>
      <c r="BV20" s="735"/>
      <c r="BW20" s="757"/>
      <c r="BX20" s="761" t="s">
        <v>408</v>
      </c>
      <c r="BY20" s="735"/>
      <c r="BZ20" s="735"/>
      <c r="CA20" s="757"/>
      <c r="CC20" s="459" t="s">
        <v>409</v>
      </c>
      <c r="CD20" s="637" t="e">
        <f>(CC22^2+CD22^2)^0.5</f>
        <v>#VALUE!</v>
      </c>
    </row>
    <row r="21" spans="1:82" ht="12" customHeight="1" x14ac:dyDescent="0.25">
      <c r="D21" s="426" t="s">
        <v>410</v>
      </c>
      <c r="E21" s="293" t="e">
        <f>IF(NOT(ISBLANK(F21)),F21,DGET('Grid Numbers'!$A$2:$L$4952,'Grid Numbers'!$K$2,$L$66:$R$67))</f>
        <v>#VALUE!</v>
      </c>
      <c r="F21" s="487"/>
      <c r="J21" s="426" t="s">
        <v>410</v>
      </c>
      <c r="K21" s="294" t="e">
        <f>IF(NOT(ISBLANK(L21)),L21,DGET('Grid Numbers'!$A$2:$L$4952,'Grid Numbers'!$K$2,$L$68:$R$69))</f>
        <v>#VALUE!</v>
      </c>
      <c r="L21" s="487"/>
      <c r="N21" s="426" t="s">
        <v>410</v>
      </c>
      <c r="O21" s="293" t="e">
        <f>IF(NOT(ISBLANK(P21)),P21,DGET('Grid Numbers'!$A$2:$L$4952,'Grid Numbers'!$K$2,$L$70:$R$71))</f>
        <v>#VALUE!</v>
      </c>
      <c r="P21" s="487"/>
      <c r="T21" s="426" t="s">
        <v>410</v>
      </c>
      <c r="U21" s="293" t="e">
        <f>IF(NOT(ISBLANK(V21)),V21,DGET('Grid Numbers'!$A$2:$L$4952,'Grid Numbers'!$K$2,$L$72:$R$73))</f>
        <v>#VALUE!</v>
      </c>
      <c r="V21" s="487"/>
      <c r="AA21" s="341"/>
      <c r="AB21" s="338"/>
      <c r="AC21" s="478">
        <v>2</v>
      </c>
      <c r="AD21" s="317" t="s">
        <v>399</v>
      </c>
      <c r="AE21" s="324" t="e">
        <f>IF($AG$21="","",$AG$21-$AY$26)</f>
        <v>#VALUE!</v>
      </c>
      <c r="AF21" s="324" t="e">
        <f>IF($AH$21="","",$AH$21-$AZ$26)</f>
        <v>#VALUE!</v>
      </c>
      <c r="AG21" s="325" t="e">
        <f>IF($AG$48=1,$AG$52,IF($AG$48=2,$AG$53,IF($AG$48=3,$AG$54,IF($AG$48=4,$AG$55,""))))</f>
        <v>#VALUE!</v>
      </c>
      <c r="AH21" s="325" t="e">
        <f>IF($AG$48=1,$AH$52,IF($AG$48=2,$AH$53,IF($AG$48=3,$AH$54,IF($AG$48=4,$AH$55,""))))</f>
        <v>#VALUE!</v>
      </c>
      <c r="AI21" s="324" t="e">
        <f>IF($AG$21="","",$BG$26+$AG$21)</f>
        <v>#VALUE!</v>
      </c>
      <c r="AJ21" s="324" t="e">
        <f>IF($AH$21="","",$AH$21+$BH$26)</f>
        <v>#VALUE!</v>
      </c>
      <c r="AK21" s="324" t="e">
        <f>IF($AG$21="","",$AG$21-$AY$26+$BW$26)</f>
        <v>#VALUE!</v>
      </c>
      <c r="AL21" s="324" t="e">
        <f>IF($AH$21="","",$AH$21-$AZ$26+$BX$26)</f>
        <v>#VALUE!</v>
      </c>
      <c r="AM21" s="324" t="e">
        <f>IF($AG$21="","",$AG$21-$BA$22)</f>
        <v>#VALUE!</v>
      </c>
      <c r="AN21" s="324" t="e">
        <f>IF($AH$21="","",AH$21-$BB$22)</f>
        <v>#VALUE!</v>
      </c>
      <c r="AO21" s="324" t="e">
        <f>IF($AG$21="","",$BE$22+$AG$21)</f>
        <v>#VALUE!</v>
      </c>
      <c r="AP21" s="324" t="e">
        <f>IF($AH$21="","",$AH$21+$BF$22)</f>
        <v>#VALUE!</v>
      </c>
      <c r="AQ21" s="324" t="e">
        <f>IF($AG$21="","",$BG$26+$AG$21-$BM$22)</f>
        <v>#VALUE!</v>
      </c>
      <c r="AR21" s="324" t="e">
        <f>IF($AH$21="","",$AH$21+$BH$26-$BN$22)</f>
        <v>#VALUE!</v>
      </c>
      <c r="AS21" s="324" t="e">
        <f>IF($AG$21="","",$AG$21-$AY$26+$BY$22)</f>
        <v>#VALUE!</v>
      </c>
      <c r="AT21" s="324" t="e">
        <f>IF($AH$21="","",$AH$21-$AZ$26+$BZ$22)</f>
        <v>#VALUE!</v>
      </c>
      <c r="AU21" s="333" t="s">
        <v>394</v>
      </c>
      <c r="AV21" s="476"/>
      <c r="AW21" s="464" t="s">
        <v>336</v>
      </c>
      <c r="AX21" s="465" t="s">
        <v>337</v>
      </c>
      <c r="AY21" s="479"/>
      <c r="AZ21" s="476"/>
      <c r="BA21" s="464" t="s">
        <v>336</v>
      </c>
      <c r="BB21" s="465" t="s">
        <v>337</v>
      </c>
      <c r="BC21" s="479"/>
      <c r="BD21" s="476"/>
      <c r="BE21" s="464" t="s">
        <v>336</v>
      </c>
      <c r="BF21" s="465" t="s">
        <v>337</v>
      </c>
      <c r="BG21" s="479"/>
      <c r="BH21" s="476"/>
      <c r="BI21" s="464" t="s">
        <v>336</v>
      </c>
      <c r="BJ21" s="465" t="s">
        <v>337</v>
      </c>
      <c r="BK21" s="479"/>
      <c r="BL21" s="476"/>
      <c r="BM21" s="464" t="s">
        <v>336</v>
      </c>
      <c r="BN21" s="465" t="s">
        <v>337</v>
      </c>
      <c r="BO21" s="479"/>
      <c r="BP21" s="476"/>
      <c r="BQ21" s="464" t="s">
        <v>336</v>
      </c>
      <c r="BR21" s="465" t="s">
        <v>337</v>
      </c>
      <c r="BS21" s="479"/>
      <c r="BT21" s="476"/>
      <c r="BU21" s="464" t="s">
        <v>336</v>
      </c>
      <c r="BV21" s="465" t="s">
        <v>337</v>
      </c>
      <c r="BW21" s="479"/>
      <c r="BX21" s="476"/>
      <c r="BY21" s="464" t="s">
        <v>336</v>
      </c>
      <c r="BZ21" s="465" t="s">
        <v>337</v>
      </c>
      <c r="CA21" s="479"/>
      <c r="CC21" s="464" t="s">
        <v>336</v>
      </c>
      <c r="CD21" s="465" t="s">
        <v>337</v>
      </c>
    </row>
    <row r="22" spans="1:82" ht="12" customHeight="1" x14ac:dyDescent="0.25">
      <c r="A22" s="339"/>
      <c r="B22" s="339"/>
      <c r="C22" s="339"/>
      <c r="D22" s="426" t="s">
        <v>411</v>
      </c>
      <c r="E22" s="319" t="e">
        <f>IF(NOT(ISBLANK(F22)),F22,DGET('Grid Numbers'!$A$2:$L$4952,'Grid Numbers'!$L$2,$L$66:$R$67))</f>
        <v>#VALUE!</v>
      </c>
      <c r="F22" s="490"/>
      <c r="G22" s="340"/>
      <c r="H22" s="340"/>
      <c r="I22" s="340"/>
      <c r="J22" s="426" t="s">
        <v>411</v>
      </c>
      <c r="K22" s="319" t="e">
        <f>IF(NOT(ISBLANK(L22)),L22,DGET('Grid Numbers'!$A$2:$L$4952,'Grid Numbers'!$L$2,$L$68:$R$69))</f>
        <v>#VALUE!</v>
      </c>
      <c r="L22" s="489"/>
      <c r="M22" s="339"/>
      <c r="N22" s="426" t="s">
        <v>411</v>
      </c>
      <c r="O22" s="319" t="e">
        <f>IF(NOT(ISBLANK(P22)),P22,DGET('Grid Numbers'!$A$2:$L$4952,'Grid Numbers'!$L$2,$L$70:$R$71))</f>
        <v>#VALUE!</v>
      </c>
      <c r="P22" s="490"/>
      <c r="Q22" s="340"/>
      <c r="R22" s="340"/>
      <c r="S22" s="340"/>
      <c r="T22" s="426" t="s">
        <v>411</v>
      </c>
      <c r="U22" s="319" t="e">
        <f>IF(NOT(ISBLANK(V22)),V22,DGET('Grid Numbers'!$A$2:$L$4952,'Grid Numbers'!$L$2,$L$72:$R$73))</f>
        <v>#VALUE!</v>
      </c>
      <c r="V22" s="489"/>
      <c r="W22" s="339"/>
      <c r="X22" s="339"/>
      <c r="AA22" s="593"/>
      <c r="AB22" s="593"/>
      <c r="AC22" s="478">
        <v>3</v>
      </c>
      <c r="AD22" s="317" t="s">
        <v>399</v>
      </c>
      <c r="AE22" s="324" t="e">
        <f>IF($AI$22="","",$AI$22-$BG$26-$AY$26)</f>
        <v>#VALUE!</v>
      </c>
      <c r="AF22" s="326" t="e">
        <f>IF($AJ$22="","",$AJ$22-$BH$26-$AZ$26)</f>
        <v>#VALUE!</v>
      </c>
      <c r="AG22" s="324" t="e">
        <f>IF($AI$22="","",$AI$22-$BG$26)</f>
        <v>#VALUE!</v>
      </c>
      <c r="AH22" s="324" t="e">
        <f>IF($AJ$22="","",$AJ$22-$BH$26)</f>
        <v>#VALUE!</v>
      </c>
      <c r="AI22" s="325" t="e">
        <f>IF($AI$48=1,$AI$52,IF($AI$48=2,$AI$53,IF($AI$48=3,$AI$54,IF($AI$48=4,$AI$55,""))))</f>
        <v>#VALUE!</v>
      </c>
      <c r="AJ22" s="325" t="e">
        <f>IF($AI$48=1,$AJ$52,IF($AI$48=2,$AJ$53,IF($AI$48=3,$AJ$54,IF($AI$48=4,$AJ$55,""))))</f>
        <v>#VALUE!</v>
      </c>
      <c r="AK22" s="324" t="e">
        <f>IF($AI$22="","",$AI$22-$BO$26)</f>
        <v>#VALUE!</v>
      </c>
      <c r="AL22" s="324" t="e">
        <f>IF($AJ$22="","",$AJ$22-$BP$26)</f>
        <v>#VALUE!</v>
      </c>
      <c r="AM22" s="324" t="e">
        <f>IF($AI$22="","",$AI$22-$BG$26-$BA$22)</f>
        <v>#VALUE!</v>
      </c>
      <c r="AN22" s="324" t="e">
        <f>IF($AJ$22="","",$AJ$22-$BH$26-$BB$22)</f>
        <v>#VALUE!</v>
      </c>
      <c r="AO22" s="324" t="e">
        <f>IF($AI$22="","",$AI$22-$BI$22)</f>
        <v>#VALUE!</v>
      </c>
      <c r="AP22" s="324" t="e">
        <f>IF($AJ$22="","",$AJ$22-$BJ$22)</f>
        <v>#VALUE!</v>
      </c>
      <c r="AQ22" s="324" t="e">
        <f>IF($AI$22="","",$AI$22-$BM$22)</f>
        <v>#VALUE!</v>
      </c>
      <c r="AR22" s="324" t="e">
        <f>IF($AJ$22="","",$AJ$22-$BN$22)</f>
        <v>#VALUE!</v>
      </c>
      <c r="AS22" s="324" t="e">
        <f>IF($AI$22="","",$AI$22-$BO$26-$BU$22)</f>
        <v>#VALUE!</v>
      </c>
      <c r="AT22" s="324" t="e">
        <f>IF($AJ$22="","",$AJ$22-$BP$26-$BV$22)</f>
        <v>#VALUE!</v>
      </c>
      <c r="AU22" s="333"/>
      <c r="AV22" s="476"/>
      <c r="AW22" s="638" t="e">
        <f>AV19+AX19</f>
        <v>#VALUE!</v>
      </c>
      <c r="AX22" s="639" t="e">
        <f>AW19+AY19</f>
        <v>#VALUE!</v>
      </c>
      <c r="AY22" s="479"/>
      <c r="AZ22" s="476"/>
      <c r="BA22" s="638" t="e">
        <f>AZ19+BB19</f>
        <v>#VALUE!</v>
      </c>
      <c r="BB22" s="639" t="e">
        <f>BA19+BC19</f>
        <v>#VALUE!</v>
      </c>
      <c r="BC22" s="479"/>
      <c r="BD22" s="476"/>
      <c r="BE22" s="638" t="e">
        <f>BD19+BF19</f>
        <v>#VALUE!</v>
      </c>
      <c r="BF22" s="639" t="e">
        <f>BE19+BG19</f>
        <v>#VALUE!</v>
      </c>
      <c r="BG22" s="479"/>
      <c r="BH22" s="476"/>
      <c r="BI22" s="638" t="e">
        <f>BH19+BJ19</f>
        <v>#VALUE!</v>
      </c>
      <c r="BJ22" s="639" t="e">
        <f>BI19+BK19</f>
        <v>#VALUE!</v>
      </c>
      <c r="BK22" s="479"/>
      <c r="BL22" s="476"/>
      <c r="BM22" s="638" t="e">
        <f>BL19+BN19</f>
        <v>#VALUE!</v>
      </c>
      <c r="BN22" s="639" t="e">
        <f>BM19+BO19</f>
        <v>#VALUE!</v>
      </c>
      <c r="BO22" s="479"/>
      <c r="BP22" s="476"/>
      <c r="BQ22" s="638" t="e">
        <f>BP19+BR19</f>
        <v>#VALUE!</v>
      </c>
      <c r="BR22" s="639" t="e">
        <f>BQ19+BS19</f>
        <v>#VALUE!</v>
      </c>
      <c r="BS22" s="479"/>
      <c r="BT22" s="476"/>
      <c r="BU22" s="638" t="e">
        <f>BT19+BV19</f>
        <v>#VALUE!</v>
      </c>
      <c r="BV22" s="639" t="e">
        <f>BU19+BW19</f>
        <v>#VALUE!</v>
      </c>
      <c r="BW22" s="479"/>
      <c r="BX22" s="476"/>
      <c r="BY22" s="638" t="e">
        <f>BX19+BZ19</f>
        <v>#VALUE!</v>
      </c>
      <c r="BZ22" s="639" t="e">
        <f>BY19+CA19</f>
        <v>#VALUE!</v>
      </c>
      <c r="CA22" s="479"/>
      <c r="CC22" s="640" t="e">
        <f>AY26+BG26-BO26-BW26</f>
        <v>#VALUE!</v>
      </c>
      <c r="CD22" s="641" t="e">
        <f>AZ26+BH26-BP26-BX26</f>
        <v>#VALUE!</v>
      </c>
    </row>
    <row r="23" spans="1:82" ht="12" customHeight="1" thickBot="1" x14ac:dyDescent="0.3">
      <c r="B23" s="759" t="str">
        <f>CONCATENATE("NW SC of ",$L$38)</f>
        <v>NW SC of 0</v>
      </c>
      <c r="C23" s="679"/>
      <c r="D23" s="491" t="s">
        <v>412</v>
      </c>
      <c r="E23" s="642" t="e">
        <f>IF(E19="","",IF(OR(E22=1,E22=4),180-(E19+E20/60+E21/3600),(E19+E20/60+E21/3600)))</f>
        <v>#VALUE!</v>
      </c>
      <c r="J23" s="426" t="s">
        <v>412</v>
      </c>
      <c r="K23" s="642" t="e">
        <f>IF(K19="","",IF(OR(K22=1,K22=4),180-(K19+K20/60+K21/3600),(K19+K20/60+K21/3600)))</f>
        <v>#VALUE!</v>
      </c>
      <c r="L23" s="759" t="str">
        <f>CONCATENATE("N QC of ",$L$38)</f>
        <v>N QC of 0</v>
      </c>
      <c r="M23" s="679"/>
      <c r="N23" s="426" t="s">
        <v>412</v>
      </c>
      <c r="O23" s="643" t="e">
        <f>IF(O19="","",IF(OR(O22=1,O22=4),180-(O19+O20/60+O21/3600),(O19+O20/60+O21/3600)))</f>
        <v>#VALUE!</v>
      </c>
      <c r="T23" s="426" t="s">
        <v>412</v>
      </c>
      <c r="U23" s="644" t="e">
        <f>IF(U19="","",IF(OR(U22=1,U22=4),180-(U19+U20/60+U21/3600),(U19+U20/60+U21/3600)))</f>
        <v>#VALUE!</v>
      </c>
      <c r="V23" s="760" t="str">
        <f>CONCATENATE("NE SC of ",$L$38)</f>
        <v>NE SC of 0</v>
      </c>
      <c r="W23" s="679"/>
      <c r="Y23" s="338"/>
      <c r="Z23" s="338"/>
      <c r="AA23" s="338"/>
      <c r="AB23" s="593"/>
      <c r="AC23" s="466">
        <v>4</v>
      </c>
      <c r="AD23" s="591" t="s">
        <v>399</v>
      </c>
      <c r="AE23" s="322" t="e">
        <f>IF($AK$23="","",$AK$23-$BW$26)</f>
        <v>#VALUE!</v>
      </c>
      <c r="AF23" s="322" t="e">
        <f>IF($AL$23="","",$AL$23-$BX$26)</f>
        <v>#VALUE!</v>
      </c>
      <c r="AG23" s="322" t="e">
        <f>IF($AK$23="","",$AK$23+$BO$26-$BG$26)</f>
        <v>#VALUE!</v>
      </c>
      <c r="AH23" s="322" t="e">
        <f>IF($AL$23="","",$AL$23+$BP$26+$BH$26)</f>
        <v>#VALUE!</v>
      </c>
      <c r="AI23" s="322" t="e">
        <f>IF($AK$23="","",$AK$23+$BO$26)</f>
        <v>#VALUE!</v>
      </c>
      <c r="AJ23" s="322" t="e">
        <f>IF($AL$23="","",$AL$23+$BP$26)</f>
        <v>#VALUE!</v>
      </c>
      <c r="AK23" s="323" t="e">
        <f>IF($AK$48=1,$AK$52,IF($AK$48=2,$AK$53,IF($AK$48=3,$AK$54,IF($AK$48=4,$AK$55,""))))</f>
        <v>#VALUE!</v>
      </c>
      <c r="AL23" s="323" t="e">
        <f>IF($AK$48=1,$AL$52,IF($AK$48=2,$AL$53,IF($AK$48=3,$AL$54,IF($AK$48=4,$AL$55,""))))</f>
        <v>#VALUE!</v>
      </c>
      <c r="AM23" s="322" t="e">
        <f>IF($AK$23="","",$AK$23-$BW$26+$AW$22)</f>
        <v>#VALUE!</v>
      </c>
      <c r="AN23" s="322" t="e">
        <f>IF($AL$23="","",$AL$23-$BX$26+$AX$22)</f>
        <v>#VALUE!</v>
      </c>
      <c r="AO23" s="322" t="e">
        <f>IF($AK$23="","",$AK$23+$BO$26-$BI$22)</f>
        <v>#VALUE!</v>
      </c>
      <c r="AP23" s="322" t="e">
        <f>IF($AL$23="","",$AL$23+$BP$26-$BJ$22)</f>
        <v>#VALUE!</v>
      </c>
      <c r="AQ23" s="322" t="e">
        <f>IF($AK$23="","",$AK$23+$BQ$22)</f>
        <v>#VALUE!</v>
      </c>
      <c r="AR23" s="322" t="e">
        <f>IF($AL$23="","",$AL$23+$BR$22)</f>
        <v>#VALUE!</v>
      </c>
      <c r="AS23" s="322" t="e">
        <f>IF($AK$23="","",$AK$23-$BU$22)</f>
        <v>#VALUE!</v>
      </c>
      <c r="AT23" s="322" t="e">
        <f>IF($AL$23="","",$AL$23-$BV$22)</f>
        <v>#VALUE!</v>
      </c>
      <c r="AU23" s="333"/>
      <c r="AV23" s="476"/>
      <c r="BD23" s="476"/>
      <c r="BL23" s="476"/>
      <c r="BT23" s="476"/>
      <c r="BZ23" s="596"/>
      <c r="CA23" s="596"/>
      <c r="CB23" s="595"/>
    </row>
    <row r="24" spans="1:82" ht="12" customHeight="1" x14ac:dyDescent="0.25">
      <c r="C24" s="429"/>
      <c r="D24" s="485" t="s">
        <v>366</v>
      </c>
      <c r="E24" s="583"/>
      <c r="F24" s="583"/>
      <c r="G24" s="583"/>
      <c r="H24" s="583"/>
      <c r="I24" s="583"/>
      <c r="J24" s="583"/>
      <c r="K24" s="583"/>
      <c r="L24" s="428"/>
      <c r="M24" s="427"/>
      <c r="N24" s="583"/>
      <c r="O24" s="583"/>
      <c r="P24" s="583"/>
      <c r="Q24" s="583"/>
      <c r="R24" s="583"/>
      <c r="S24" s="583"/>
      <c r="T24" s="583"/>
      <c r="U24" s="485" t="s">
        <v>366</v>
      </c>
      <c r="V24" s="585"/>
      <c r="AA24" s="593"/>
      <c r="AB24" s="593"/>
      <c r="AC24" s="762"/>
      <c r="AD24" s="683"/>
      <c r="AE24" s="321" t="str">
        <f>IF(ISNUMBER($AE$20),AE$20,IF(ISNUMBER($AG$21),AE$21,IF(ISNUMBER($AI$22),AE$22,IF(ISNUMBER($AK$23),AE$23,""))))</f>
        <v/>
      </c>
      <c r="AF24" s="321" t="str">
        <f>IF(ISNUMBER($AF$20),AF$20,IF(ISNUMBER($AH$21),AF$21,IF(ISNUMBER($AJ$22),AF$22,IF(ISNUMBER($AL$23),AF$23,""))))</f>
        <v/>
      </c>
      <c r="AG24" s="321" t="str">
        <f>IF(ISNUMBER($AE$20),AG$20,IF(ISNUMBER($AG$21),AG$21,IF(ISNUMBER($AI$22),AG$22,IF(ISNUMBER($AK$23),AG$23,""))))</f>
        <v/>
      </c>
      <c r="AH24" s="321" t="str">
        <f>IF(ISNUMBER($AF$20),AH$20,IF(ISNUMBER($AH$21),AH$21,IF(ISNUMBER($AJ$22),AH$22,IF(ISNUMBER($AL$23),AH$23,""))))</f>
        <v/>
      </c>
      <c r="AI24" s="321" t="str">
        <f>IF(ISNUMBER($AE$20),AI$20,IF(ISNUMBER($AG$21),AI$21,IF(ISNUMBER($AI$22),AI$22,IF(ISNUMBER($AK$23),AI$23,""))))</f>
        <v/>
      </c>
      <c r="AJ24" s="321" t="str">
        <f>IF(ISNUMBER($AF$20),AJ$20,IF(ISNUMBER($AH$21),AJ$21,IF(ISNUMBER($AJ$22),AJ$22,IF(ISNUMBER($AL$23),AJ$23,""))))</f>
        <v/>
      </c>
      <c r="AK24" s="321" t="str">
        <f>IF(ISNUMBER($AE$20),AK$20,IF(ISNUMBER($AG$21),AK$21,IF(ISNUMBER($AI$22),AK$22,IF(ISNUMBER($AK$23),AK$23,""))))</f>
        <v/>
      </c>
      <c r="AL24" s="321" t="str">
        <f>IF(ISNUMBER($AF$20),AL$20,IF(ISNUMBER($AH$21),AL$21,IF(ISNUMBER($AJ$22),AL$22,IF(ISNUMBER($AL$23),AL$23,""))))</f>
        <v/>
      </c>
      <c r="AM24" s="321" t="str">
        <f>IF(ISNUMBER($AE$20),AM$20,IF(ISNUMBER($AG$21),AM$21,IF(ISNUMBER($AI$22),AM$22,IF(ISNUMBER($AK$23),AM$23,""))))</f>
        <v/>
      </c>
      <c r="AN24" s="321" t="str">
        <f>IF(ISNUMBER($AF$20),AN$20,IF(ISNUMBER($AH$21),AN$21,IF(ISNUMBER($AJ$22),AN$22,IF(ISNUMBER($AL$23),AN$23,""))))</f>
        <v/>
      </c>
      <c r="AO24" s="321" t="str">
        <f>IF(ISNUMBER($AE$20),AO$20,IF(ISNUMBER($AG$21),AO$21,IF(ISNUMBER($AI$22),AO$22,IF(ISNUMBER($AK$23),AO$23,""))))</f>
        <v/>
      </c>
      <c r="AP24" s="321" t="str">
        <f>IF(ISNUMBER($AF$20),AP$20,IF(ISNUMBER($AH$21),AP$21,IF(ISNUMBER($AJ$22),AP$22,IF(ISNUMBER($AL$23),AP$23,""))))</f>
        <v/>
      </c>
      <c r="AQ24" s="321" t="str">
        <f>IF(ISNUMBER($AE$20),AQ$20,IF(ISNUMBER($AG$21),AQ$21,IF(ISNUMBER($AI$22),AQ$22,IF(ISNUMBER($AK$23),AQ$23,""))))</f>
        <v/>
      </c>
      <c r="AR24" s="321" t="str">
        <f>IF(ISNUMBER($AF$20),AR$20,IF(ISNUMBER($AH$21),AR$21,IF(ISNUMBER($AJ$22),AR$22,IF(ISNUMBER($AL$23),AR$23,""))))</f>
        <v/>
      </c>
      <c r="AS24" s="321" t="str">
        <f>IF(ISNUMBER($AE$20),AS$20,IF(ISNUMBER($AG$21),AS$21,IF(ISNUMBER($AI$22),AS$22,IF(ISNUMBER($AK$23),AS$23,""))))</f>
        <v/>
      </c>
      <c r="AT24" s="321" t="str">
        <f>IF(ISNUMBER($AF$20),AT$20,IF(ISNUMBER($AH$21),AT$21,IF(ISNUMBER($AJ$22),AT$22,IF(ISNUMBER($AL$23),AT$23,""))))</f>
        <v/>
      </c>
      <c r="AU24" s="333" t="s">
        <v>171</v>
      </c>
      <c r="AV24" s="761" t="s">
        <v>12</v>
      </c>
      <c r="AW24" s="735"/>
      <c r="AX24" s="735"/>
      <c r="AY24" s="735"/>
      <c r="AZ24" s="735"/>
      <c r="BA24" s="735"/>
      <c r="BB24" s="735"/>
      <c r="BC24" s="757"/>
      <c r="BD24" s="761" t="s">
        <v>413</v>
      </c>
      <c r="BE24" s="735"/>
      <c r="BF24" s="735"/>
      <c r="BG24" s="735"/>
      <c r="BH24" s="735"/>
      <c r="BI24" s="735"/>
      <c r="BJ24" s="735"/>
      <c r="BK24" s="757"/>
      <c r="BL24" s="761" t="s">
        <v>414</v>
      </c>
      <c r="BM24" s="735"/>
      <c r="BN24" s="735"/>
      <c r="BO24" s="735"/>
      <c r="BP24" s="735"/>
      <c r="BQ24" s="735"/>
      <c r="BR24" s="735"/>
      <c r="BS24" s="757"/>
      <c r="BT24" s="761" t="s">
        <v>311</v>
      </c>
      <c r="BU24" s="735"/>
      <c r="BV24" s="735"/>
      <c r="BW24" s="735"/>
      <c r="BX24" s="735"/>
      <c r="BY24" s="735"/>
      <c r="BZ24" s="735"/>
      <c r="CA24" s="757"/>
    </row>
    <row r="25" spans="1:82" ht="12" customHeight="1" x14ac:dyDescent="0.25">
      <c r="A25" s="426" t="s">
        <v>385</v>
      </c>
      <c r="B25" s="366" t="e">
        <f>IF(NOT(ISBLANK(D25)),D25,DGET('Grid Numbers'!$A$2:$L$4952,'Grid Numbers'!$H$2,$B$66:$H$67))</f>
        <v>#VALUE!</v>
      </c>
      <c r="C25" s="598"/>
      <c r="D25" s="486"/>
      <c r="L25" s="308"/>
      <c r="M25" s="307"/>
      <c r="U25" s="486"/>
      <c r="V25" s="581"/>
      <c r="W25" s="470" t="e">
        <f>IF(NOT(ISBLANK(U25)),U25,DGET('Grid Numbers'!$A$2:$L$4952,'Grid Numbers'!$H$2,$B$74:$H$75))</f>
        <v>#VALUE!</v>
      </c>
      <c r="X25" s="423" t="s">
        <v>385</v>
      </c>
      <c r="AA25" s="593"/>
      <c r="AB25" s="593"/>
      <c r="AC25" s="480"/>
      <c r="AD25" s="329"/>
      <c r="AE25" s="328"/>
      <c r="AF25" s="328"/>
      <c r="AG25" s="328"/>
      <c r="AH25" s="328"/>
      <c r="AI25" s="328"/>
      <c r="AJ25" s="328"/>
      <c r="AK25" s="328"/>
      <c r="AL25" s="328"/>
      <c r="AM25" s="328"/>
      <c r="AN25" s="328"/>
      <c r="AO25" s="328"/>
      <c r="AP25" s="328"/>
      <c r="AQ25" s="328"/>
      <c r="AR25" s="328"/>
      <c r="AS25" s="328"/>
      <c r="AT25" s="328"/>
      <c r="AU25" s="333" t="s">
        <v>394</v>
      </c>
      <c r="AV25" s="298"/>
      <c r="AW25" s="337"/>
      <c r="AX25" s="337"/>
      <c r="AY25" s="464" t="s">
        <v>336</v>
      </c>
      <c r="AZ25" s="465" t="s">
        <v>337</v>
      </c>
      <c r="BA25" s="337"/>
      <c r="BB25" s="337"/>
      <c r="BC25" s="336"/>
      <c r="BD25" s="298"/>
      <c r="BE25" s="337"/>
      <c r="BF25" s="337"/>
      <c r="BG25" s="464" t="s">
        <v>336</v>
      </c>
      <c r="BH25" s="465" t="s">
        <v>337</v>
      </c>
      <c r="BI25" s="337"/>
      <c r="BJ25" s="337"/>
      <c r="BK25" s="336"/>
      <c r="BL25" s="298"/>
      <c r="BM25" s="337"/>
      <c r="BN25" s="337"/>
      <c r="BO25" s="464" t="s">
        <v>336</v>
      </c>
      <c r="BP25" s="465" t="s">
        <v>337</v>
      </c>
      <c r="BQ25" s="337"/>
      <c r="BR25" s="337"/>
      <c r="BS25" s="336"/>
      <c r="BT25" s="298"/>
      <c r="BU25" s="337"/>
      <c r="BV25" s="337"/>
      <c r="BW25" s="464" t="s">
        <v>336</v>
      </c>
      <c r="BX25" s="465" t="s">
        <v>337</v>
      </c>
      <c r="BY25" s="337"/>
      <c r="BZ25" s="337"/>
      <c r="CA25" s="336"/>
    </row>
    <row r="26" spans="1:82" ht="12" customHeight="1" x14ac:dyDescent="0.25">
      <c r="A26" s="426" t="s">
        <v>395</v>
      </c>
      <c r="B26" s="293" t="e">
        <f>IF(NOT(ISBLANK(D26)),D26,DGET('Grid Numbers'!$A$2:$L$4952,'Grid Numbers'!$I$2,$B$66:$H$67))</f>
        <v>#VALUE!</v>
      </c>
      <c r="C26" s="598"/>
      <c r="D26" s="486"/>
      <c r="G26" s="747" t="s">
        <v>415</v>
      </c>
      <c r="H26" s="735"/>
      <c r="I26" s="335"/>
      <c r="L26" s="308"/>
      <c r="M26" s="307"/>
      <c r="Q26" s="747" t="s">
        <v>416</v>
      </c>
      <c r="R26" s="735"/>
      <c r="U26" s="486"/>
      <c r="V26" s="581"/>
      <c r="W26" s="471" t="e">
        <f>IF(NOT(ISBLANK(U26)),U26,DGET('Grid Numbers'!$A$2:$L$4952,'Grid Numbers'!$I$2,$B$74:$H$75))</f>
        <v>#VALUE!</v>
      </c>
      <c r="X26" s="423" t="s">
        <v>395</v>
      </c>
      <c r="AA26" s="593"/>
      <c r="AB26" s="593"/>
      <c r="AC26" s="478">
        <v>1</v>
      </c>
      <c r="AD26" s="317" t="s">
        <v>417</v>
      </c>
      <c r="AE26" s="325" t="e">
        <f>IF(AND($AS$24+$AI$8&gt;0,$AN$24+$AK$8&gt;0),$AE$24+$AI$8,"")</f>
        <v>#VALUE!</v>
      </c>
      <c r="AF26" s="325" t="e">
        <f>IF(AND($AS$24+$AI$8&gt;0,$AN$24+$AK$8&gt;0),$AF$24+$AK$8,"")</f>
        <v>#VALUE!</v>
      </c>
      <c r="AG26" s="324" t="e">
        <f>IF($AE$26="","",$AY$26+$AE$26)</f>
        <v>#VALUE!</v>
      </c>
      <c r="AH26" s="324" t="e">
        <f>IF($AF$26="","",$AZ$26+$AF$26)</f>
        <v>#VALUE!</v>
      </c>
      <c r="AI26" s="324" t="e">
        <f>IF($AE$26="","",$BG$26+$AY$26+$AE$26)</f>
        <v>#VALUE!</v>
      </c>
      <c r="AJ26" s="324" t="e">
        <f>IF($AF$26="","",$AZ$26+$BH$26+$AF$26)</f>
        <v>#VALUE!</v>
      </c>
      <c r="AK26" s="324" t="e">
        <f>IF($AE$26="","",$BW$26+$AE$26)</f>
        <v>#VALUE!</v>
      </c>
      <c r="AL26" s="324" t="e">
        <f>IF($AF$26="","",$AF$26+$BX$26)</f>
        <v>#VALUE!</v>
      </c>
      <c r="AM26" s="324" t="e">
        <f>IF($AE$26="","",$AW$22+$AE$26)</f>
        <v>#VALUE!</v>
      </c>
      <c r="AN26" s="324" t="e">
        <f>IF($AF$26="","",$AX$22+$AF$26)</f>
        <v>#VALUE!</v>
      </c>
      <c r="AO26" s="324" t="e">
        <f>IF($AE$26="","",$AY$26+$AE$26+$BE$22)</f>
        <v>#VALUE!</v>
      </c>
      <c r="AP26" s="324" t="e">
        <f>IF($AF$26="","",$AZ$26+$AF$26+$BF$22)</f>
        <v>#VALUE!</v>
      </c>
      <c r="AQ26" s="324" t="e">
        <f>IF($AE$26="","",$BW$26+$AE$26+$BQ$22)</f>
        <v>#VALUE!</v>
      </c>
      <c r="AR26" s="324" t="e">
        <f>IF($AF$26="","",$AF$26+$BX$26+$BR$22)</f>
        <v>#VALUE!</v>
      </c>
      <c r="AS26" s="324" t="e">
        <f>IF($AE$26="","",$BY$22+$AE$26)</f>
        <v>#VALUE!</v>
      </c>
      <c r="AT26" s="324" t="e">
        <f>IF($AF$26="","",$AF$26+$BZ$22)</f>
        <v>#VALUE!</v>
      </c>
      <c r="AU26" s="333"/>
      <c r="AV26" s="476"/>
      <c r="AY26" s="638" t="e">
        <f>AW22+BA22</f>
        <v>#VALUE!</v>
      </c>
      <c r="AZ26" s="639" t="e">
        <f>AX22+BB22</f>
        <v>#VALUE!</v>
      </c>
      <c r="BC26" s="479"/>
      <c r="BD26" s="476"/>
      <c r="BG26" s="638" t="e">
        <f>BE22+BI22</f>
        <v>#VALUE!</v>
      </c>
      <c r="BH26" s="639" t="e">
        <f>BF22+BJ22</f>
        <v>#VALUE!</v>
      </c>
      <c r="BK26" s="479"/>
      <c r="BL26" s="476"/>
      <c r="BO26" s="638" t="e">
        <f>BM22+BQ22</f>
        <v>#VALUE!</v>
      </c>
      <c r="BP26" s="639" t="e">
        <f>BN22+BR22</f>
        <v>#VALUE!</v>
      </c>
      <c r="BS26" s="479"/>
      <c r="BT26" s="476"/>
      <c r="BW26" s="638" t="e">
        <f>BU22+BY22</f>
        <v>#VALUE!</v>
      </c>
      <c r="BX26" s="639" t="e">
        <f>BV22+BZ22</f>
        <v>#VALUE!</v>
      </c>
      <c r="BZ26" s="596"/>
      <c r="CA26" s="479"/>
    </row>
    <row r="27" spans="1:82" ht="12" customHeight="1" x14ac:dyDescent="0.25">
      <c r="A27" s="426" t="s">
        <v>398</v>
      </c>
      <c r="B27" s="293" t="e">
        <f>IF(NOT(ISBLANK(D27)),D27,DGET('Grid Numbers'!$A$2:$L$4952,'Grid Numbers'!$J$2,$B$66:$H$67))</f>
        <v>#VALUE!</v>
      </c>
      <c r="C27" s="598"/>
      <c r="D27" s="486"/>
      <c r="G27" s="320" t="str">
        <f>IF(ISNUMBER($AG$48),$B$7,"")</f>
        <v/>
      </c>
      <c r="H27" s="312" t="str">
        <f>IF(AND(G28="",G28=""),"",IF($AG$48=1,"NE/NW",IF($AG$48=2,"NW/NW",IF($AG$48=3,"SW/NW",IF($AG$48=4,"SE/NW","")))))</f>
        <v/>
      </c>
      <c r="L27" s="308"/>
      <c r="M27" s="307"/>
      <c r="Q27" s="320" t="str">
        <f>IF(ISNUMBER($AE$48),$B$7,"")</f>
        <v/>
      </c>
      <c r="R27" s="312" t="str">
        <f>IF(AND(Q28="",Q28=""),"",IF($AE$48=1,"NE/NE",IF($AE$48=2,"NW/NE",IF($AE$48=3,"SW/NE",IF($AE$48=4,"SE/NE","")))))</f>
        <v/>
      </c>
      <c r="U27" s="486"/>
      <c r="V27" s="581"/>
      <c r="W27" s="471" t="e">
        <f>IF(NOT(ISBLANK(U27)),U27,DGET('Grid Numbers'!$A$2:$L$4952,'Grid Numbers'!$J$2,$B$74:$H$75))</f>
        <v>#VALUE!</v>
      </c>
      <c r="X27" s="423" t="s">
        <v>398</v>
      </c>
      <c r="AA27" s="593"/>
      <c r="AB27" s="593"/>
      <c r="AC27" s="478">
        <v>2</v>
      </c>
      <c r="AD27" s="317" t="s">
        <v>417</v>
      </c>
      <c r="AE27" s="324" t="e">
        <f>IF($AG$27="","",$AG$27-$AY$26)</f>
        <v>#VALUE!</v>
      </c>
      <c r="AF27" s="324" t="e">
        <f>IF($AH$27="","",$AH$27-$AZ$26)</f>
        <v>#VALUE!</v>
      </c>
      <c r="AG27" s="325" t="e">
        <f>IF(AND($AO$24+$AI$8&gt;0,$AN$24+$AK$8&lt;0),$AG$24+$AI$8,"")</f>
        <v>#VALUE!</v>
      </c>
      <c r="AH27" s="325" t="e">
        <f>IF(AND($AO$24+$AI$8&gt;0,$AN$24+$AK$8&lt;0),$AH$24+$AK$8,"")</f>
        <v>#VALUE!</v>
      </c>
      <c r="AI27" s="324" t="e">
        <f>IF($AG$27="","",$BG$26+$AG$27)</f>
        <v>#VALUE!</v>
      </c>
      <c r="AJ27" s="324" t="e">
        <f>IF($AH$27="","",$AH$27+$BH$26)</f>
        <v>#VALUE!</v>
      </c>
      <c r="AK27" s="324" t="e">
        <f>IF($AG$27="","",$AG$27-$AY$26+$BW$26)</f>
        <v>#VALUE!</v>
      </c>
      <c r="AL27" s="324" t="e">
        <f>IF($AH$27="","",$AH$27-$AZ$26+$BX$26)</f>
        <v>#VALUE!</v>
      </c>
      <c r="AM27" s="324" t="e">
        <f>IF($AG$27="","",$AG$27-$BA$22)</f>
        <v>#VALUE!</v>
      </c>
      <c r="AN27" s="324" t="e">
        <f>IF($AH$27="","",AH$27-$BB$22)</f>
        <v>#VALUE!</v>
      </c>
      <c r="AO27" s="324" t="e">
        <f>IF($AG$27="","",$BE$22+$AG$27)</f>
        <v>#VALUE!</v>
      </c>
      <c r="AP27" s="324" t="e">
        <f>IF($AH$27="","",$AH$27+$BF$22)</f>
        <v>#VALUE!</v>
      </c>
      <c r="AQ27" s="324" t="e">
        <f>IF($AG$27="","",$BG$26+$AG$27-$BM$22)</f>
        <v>#VALUE!</v>
      </c>
      <c r="AR27" s="324" t="e">
        <f>IF($AH$27="","",$AH$27+$BH$26-$BN$22)</f>
        <v>#VALUE!</v>
      </c>
      <c r="AS27" s="324" t="e">
        <f>IF($AG$27="","",$AG$27-$AY$26+$BY$22)</f>
        <v>#VALUE!</v>
      </c>
      <c r="AT27" s="324" t="e">
        <f>IF($AH$27="","",$AH$27-$AZ$26+$BZ$22)</f>
        <v>#VALUE!</v>
      </c>
      <c r="AU27" s="333"/>
      <c r="BZ27" s="596"/>
      <c r="CA27" s="596"/>
    </row>
    <row r="28" spans="1:82" ht="12" customHeight="1" x14ac:dyDescent="0.25">
      <c r="A28" s="426" t="s">
        <v>410</v>
      </c>
      <c r="B28" s="293" t="e">
        <f>IF(NOT(ISBLANK(D28)),D28,DGET('Grid Numbers'!$A$2:$L$4952,'Grid Numbers'!$K$2,$B$66:$H$67))</f>
        <v>#VALUE!</v>
      </c>
      <c r="C28" s="598"/>
      <c r="D28" s="487"/>
      <c r="G28" s="309" t="str">
        <f>IF(ISNUMBER($AG$48),$I$7,"")</f>
        <v/>
      </c>
      <c r="H28" s="309" t="str">
        <f>IF(ISNUMBER($AG$48),"FNL","")</f>
        <v/>
      </c>
      <c r="J28" s="596"/>
      <c r="K28" s="596"/>
      <c r="L28" s="308"/>
      <c r="M28" s="307"/>
      <c r="Q28" s="309" t="str">
        <f>IF(ISNUMBER($AE$48),$I$7,"")</f>
        <v/>
      </c>
      <c r="R28" s="309" t="str">
        <f>IF(ISNUMBER($AE$48),"FNL","")</f>
        <v/>
      </c>
      <c r="U28" s="487"/>
      <c r="V28" s="581"/>
      <c r="W28" s="471" t="e">
        <f>IF(NOT(ISBLANK(U28)),U28,DGET('Grid Numbers'!$A$2:$L$4952,'Grid Numbers'!$K$2,$B$74:$H$75))</f>
        <v>#VALUE!</v>
      </c>
      <c r="X28" s="423" t="s">
        <v>410</v>
      </c>
      <c r="AA28" s="593"/>
      <c r="AB28" s="593"/>
      <c r="AC28" s="478">
        <v>3</v>
      </c>
      <c r="AD28" s="317" t="s">
        <v>417</v>
      </c>
      <c r="AE28" s="324" t="e">
        <f>IF($AI$28="","",$AI$28-$BG$26-$AY$26)</f>
        <v>#VALUE!</v>
      </c>
      <c r="AF28" s="326" t="e">
        <f>IF($AJ$28="","",$AJ$28-$BH$26-$AZ$26)</f>
        <v>#VALUE!</v>
      </c>
      <c r="AG28" s="324" t="e">
        <f>IF($AI$28="","",$AI$28-$BG$26)</f>
        <v>#VALUE!</v>
      </c>
      <c r="AH28" s="324" t="e">
        <f>IF($AJ$28="","",$AJ$28-$BH$26)</f>
        <v>#VALUE!</v>
      </c>
      <c r="AI28" s="325" t="e">
        <f>IF(AND($AO$24+$AI$8&lt;0,$AR$24+$AK$8&lt;0),$AI$24+$AI$8,"")</f>
        <v>#VALUE!</v>
      </c>
      <c r="AJ28" s="325" t="e">
        <f>IF(AND($AO$24+$AI$8&lt;0,$AR$24+$AK$8&lt;0),$AJ$24+$AK$8,"")</f>
        <v>#VALUE!</v>
      </c>
      <c r="AK28" s="324" t="e">
        <f>IF($AI$28="","",$AI$28-$BO$26)</f>
        <v>#VALUE!</v>
      </c>
      <c r="AL28" s="324" t="e">
        <f>IF($AJ$28="","",$AJ$28-$BP$26)</f>
        <v>#VALUE!</v>
      </c>
      <c r="AM28" s="324" t="e">
        <f>IF($AI$28="","",$AI$28-$BG$26-$BA$26)</f>
        <v>#VALUE!</v>
      </c>
      <c r="AN28" s="324" t="e">
        <f>IF($AJ$28="","",$AJ$28-$BH$26-$BB$26)</f>
        <v>#VALUE!</v>
      </c>
      <c r="AO28" s="324" t="e">
        <f>IF($AI$28="","",$AI$28-$BI$26)</f>
        <v>#VALUE!</v>
      </c>
      <c r="AP28" s="324" t="e">
        <f>IF($AJ$28="","",$AJ$28-$BJ$26)</f>
        <v>#VALUE!</v>
      </c>
      <c r="AQ28" s="324" t="e">
        <f>IF($AI$28="","",$AI$28-$BM$26)</f>
        <v>#VALUE!</v>
      </c>
      <c r="AR28" s="324" t="e">
        <f>IF($AJ$28="","",$AJ$28-$BN$26)</f>
        <v>#VALUE!</v>
      </c>
      <c r="AS28" s="324" t="e">
        <f>IF($AI$28="","",$AI$28-$BO$26-$BU$26)</f>
        <v>#VALUE!</v>
      </c>
      <c r="AT28" s="324" t="e">
        <f>IF($AJ$28="","",$AJ$28-$BP$26-$BV$22)</f>
        <v>#VALUE!</v>
      </c>
      <c r="AU28" s="333" t="s">
        <v>418</v>
      </c>
      <c r="AV28" s="645" t="e">
        <f>$AW$19/($AV$19^2+$AW$19^2)^0.5</f>
        <v>#VALUE!</v>
      </c>
      <c r="AW28" s="645"/>
      <c r="AX28" s="645" t="e">
        <f>$AY$19/($AX$19^2+$AY$19^2)^0.5</f>
        <v>#VALUE!</v>
      </c>
      <c r="AY28" s="636"/>
      <c r="AZ28" s="645" t="e">
        <f>$BA$19/($AZ$19^2+$BA$19^2)^0.5</f>
        <v>#VALUE!</v>
      </c>
      <c r="BA28" s="645"/>
      <c r="BB28" s="645" t="e">
        <f>$BC$19/($BB$19^2+$BC$19^2)^0.5</f>
        <v>#VALUE!</v>
      </c>
      <c r="BC28" s="636"/>
      <c r="BD28" s="645" t="e">
        <f>$BD$19/($BD$19^2+$BE$19^2)^0.5</f>
        <v>#VALUE!</v>
      </c>
      <c r="BE28" s="645"/>
      <c r="BF28" s="645" t="e">
        <f>$BF$19/($BF$19^2+$BG$19^2)^0.5</f>
        <v>#VALUE!</v>
      </c>
      <c r="BG28" s="636"/>
      <c r="BH28" s="645" t="e">
        <f>$BH$19/($BH$19^2+$BI$19^2)^0.5</f>
        <v>#VALUE!</v>
      </c>
      <c r="BI28" s="645"/>
      <c r="BJ28" s="645" t="e">
        <f>$BJ$19/($BJ$19^2+$BK$19^2)^0.5</f>
        <v>#VALUE!</v>
      </c>
      <c r="BK28" s="636"/>
      <c r="BL28" s="645" t="e">
        <f>$BM$19/($BL$19^2+$BM$19^2)^0.5</f>
        <v>#VALUE!</v>
      </c>
      <c r="BM28" s="645"/>
      <c r="BN28" s="645" t="e">
        <f>$BO$19/($BN$19^2+$BO$19^2)^0.5</f>
        <v>#VALUE!</v>
      </c>
      <c r="BO28" s="636"/>
      <c r="BP28" s="645" t="e">
        <f>$BQ$19/($BP$19^2+$BQ$19^2)^0.5</f>
        <v>#VALUE!</v>
      </c>
      <c r="BQ28" s="645"/>
      <c r="BR28" s="645" t="e">
        <f>$BS$19/($BR$19^2+$BS$19^2)^0.5</f>
        <v>#VALUE!</v>
      </c>
      <c r="BS28" s="636"/>
      <c r="BT28" s="645" t="e">
        <f>$BT$19/($BT$19^2+$BU$19^2)^0.5</f>
        <v>#VALUE!</v>
      </c>
      <c r="BU28" s="645"/>
      <c r="BV28" s="645" t="e">
        <f>$BV$19/($BV$19^2+$BW$19^2)^0.5</f>
        <v>#VALUE!</v>
      </c>
      <c r="BW28" s="636"/>
      <c r="BX28" s="645" t="e">
        <f>$BX$19/($BX$19^2+$BY$19^2)^0.5</f>
        <v>#VALUE!</v>
      </c>
      <c r="BY28" s="645"/>
      <c r="BZ28" s="645" t="e">
        <f>$BZ$19/($BZ$19^2+$CA$19^2)^0.5</f>
        <v>#VALUE!</v>
      </c>
      <c r="CA28" s="636"/>
    </row>
    <row r="29" spans="1:82" ht="12" customHeight="1" x14ac:dyDescent="0.25">
      <c r="A29" s="426" t="s">
        <v>411</v>
      </c>
      <c r="B29" s="319" t="e">
        <f>IF(NOT(ISBLANK(D29)),D29,DGET('Grid Numbers'!$A$2:$L$4952,'Grid Numbers'!$L$2,$B$66:$H$67))</f>
        <v>#VALUE!</v>
      </c>
      <c r="C29" s="598"/>
      <c r="D29" s="490"/>
      <c r="G29" s="305" t="str">
        <f>IF(ISNUMBER($AG$48),$K$7,"")</f>
        <v/>
      </c>
      <c r="H29" s="305" t="str">
        <f>IF(ISNUMBER($AG$48),"FWL","")</f>
        <v/>
      </c>
      <c r="J29" s="596"/>
      <c r="K29" s="596"/>
      <c r="L29" s="308"/>
      <c r="M29" s="307"/>
      <c r="Q29" s="305" t="str">
        <f>IF(ISNUMBER($AE$48),$K$7,"")</f>
        <v/>
      </c>
      <c r="R29" s="305" t="str">
        <f>IF(ISNUMBER($AE$48),"FEL","")</f>
        <v/>
      </c>
      <c r="U29" s="490"/>
      <c r="V29" s="581"/>
      <c r="W29" s="319" t="e">
        <f>IF(NOT(ISBLANK(U29)),U29,DGET('Grid Numbers'!$A$2:$L$4952,'Grid Numbers'!$L$2,$B$74:$H$75))</f>
        <v>#VALUE!</v>
      </c>
      <c r="X29" s="423" t="s">
        <v>411</v>
      </c>
      <c r="AA29" s="593"/>
      <c r="AB29" s="593"/>
      <c r="AC29" s="466">
        <v>4</v>
      </c>
      <c r="AD29" s="591" t="s">
        <v>417</v>
      </c>
      <c r="AE29" s="322" t="e">
        <f>IF($AK$29="","",$AK$29-$BW$26)</f>
        <v>#VALUE!</v>
      </c>
      <c r="AF29" s="322" t="e">
        <f>IF($AL$29="","",$AL$29-$BX$26)</f>
        <v>#VALUE!</v>
      </c>
      <c r="AG29" s="322" t="e">
        <f>IF($AK$29="","",$AK$29+$BO$26-$BG$26)</f>
        <v>#VALUE!</v>
      </c>
      <c r="AH29" s="322" t="e">
        <f>IF($AL$29="","",$AL$29+$BP$26+$BH$26)</f>
        <v>#VALUE!</v>
      </c>
      <c r="AI29" s="322" t="e">
        <f>IF($AK$29="","",$AK$29+$BO$26)</f>
        <v>#VALUE!</v>
      </c>
      <c r="AJ29" s="322" t="e">
        <f>IF($AL$29="","",$AL$29+$BP$26)</f>
        <v>#VALUE!</v>
      </c>
      <c r="AK29" s="323" t="e">
        <f>IF(AND($AS$24+$AI$8&lt;0,$AR$24+$AK$8&gt;0),$AK$24+$AI$8,"")</f>
        <v>#VALUE!</v>
      </c>
      <c r="AL29" s="323" t="e">
        <f>IF(AND($AS$24+$AI$8&lt;0,$AR$24+$AK$8&gt;0),$AL$24+$AK$8,"")</f>
        <v>#VALUE!</v>
      </c>
      <c r="AM29" s="322" t="e">
        <f>IF($AK$29="","",$AK$29-$BW$26+$AW$22)</f>
        <v>#VALUE!</v>
      </c>
      <c r="AN29" s="322" t="e">
        <f>IF($AL$29="","",$AL$29-$BX$26+$AX$22)</f>
        <v>#VALUE!</v>
      </c>
      <c r="AO29" s="322" t="e">
        <f>IF($AK$29="","",$AK$29+$BO$26-$BI$22)</f>
        <v>#VALUE!</v>
      </c>
      <c r="AP29" s="322" t="e">
        <f>IF($AL$29="","",$AL$29+$BP$26-$BJ$22)</f>
        <v>#VALUE!</v>
      </c>
      <c r="AQ29" s="322" t="e">
        <f>IF($AK$29="","",$AK$29+$BQ$22)</f>
        <v>#VALUE!</v>
      </c>
      <c r="AR29" s="322" t="e">
        <f>IF($AL$29="","",$AL$29+$BR$22)</f>
        <v>#VALUE!</v>
      </c>
      <c r="AS29" s="322" t="e">
        <f>IF($AK$29="","",$AK$29-$BU$22)</f>
        <v>#VALUE!</v>
      </c>
      <c r="AT29" s="322" t="e">
        <f>IF($AL$29="","",$AL$29-$BV$22)</f>
        <v>#VALUE!</v>
      </c>
      <c r="AV29" s="636"/>
      <c r="AW29" s="636"/>
      <c r="AX29" s="636"/>
      <c r="AY29" s="636"/>
      <c r="AZ29" s="636"/>
      <c r="BA29" s="636"/>
      <c r="BB29" s="636"/>
      <c r="BC29" s="636"/>
      <c r="BD29" s="636"/>
      <c r="BE29" s="636"/>
      <c r="BF29" s="636"/>
      <c r="BG29" s="636"/>
      <c r="BH29" s="636"/>
      <c r="BI29" s="636"/>
      <c r="BJ29" s="636"/>
      <c r="BK29" s="636"/>
      <c r="BL29" s="636"/>
      <c r="BM29" s="636"/>
      <c r="BN29" s="636"/>
      <c r="BO29" s="636"/>
      <c r="BP29" s="636"/>
      <c r="BQ29" s="636"/>
      <c r="BR29" s="636"/>
      <c r="BS29" s="636"/>
      <c r="BT29" s="636"/>
      <c r="BU29" s="636"/>
      <c r="BV29" s="636"/>
      <c r="BW29" s="636"/>
      <c r="BX29" s="636"/>
      <c r="BY29" s="636"/>
      <c r="BZ29" s="636"/>
      <c r="CA29" s="636"/>
    </row>
    <row r="30" spans="1:82" ht="12" customHeight="1" x14ac:dyDescent="0.25">
      <c r="A30" s="426" t="s">
        <v>412</v>
      </c>
      <c r="B30" s="643" t="e">
        <f>IF(B26="","",IF(OR(B29=1,B29=4),180-(B26+B27/60+B28/3600),180+(B26+B27/60+B28/3600)))</f>
        <v>#VALUE!</v>
      </c>
      <c r="C30" s="598"/>
      <c r="G30" s="313" t="str">
        <f>IF(ISNUMBER($AG$58),$B$8,"")</f>
        <v/>
      </c>
      <c r="H30" s="312" t="str">
        <f>IF(AND(G31="",G32=""),"",IF($AG$58=1,"NE/NW",IF($AG$58=2,"NW/NW",IF($AG$58=3,"SW/NW",IF($AG$58=4,"SE/NW","")))))</f>
        <v/>
      </c>
      <c r="J30" s="424"/>
      <c r="K30" s="424"/>
      <c r="L30" s="308"/>
      <c r="M30" s="307"/>
      <c r="Q30" s="332" t="str">
        <f>IF(ISNUMBER($AE$58),$B$8,"")</f>
        <v/>
      </c>
      <c r="R30" s="312" t="str">
        <f>IF(AND(Q31="",Q32=""),"",IF($AE$58=1,"NE/NE",IF($AE$58=2,"NW/NE",IF($AE$58=3,"SW/NE",IF($AE$58=4,"SE/NE","")))))</f>
        <v/>
      </c>
      <c r="V30" s="581"/>
      <c r="W30" s="642" t="e">
        <f>IF(W26="","",IF(OR(W29=1,W29=4),180-(W26+W27/60+W28/3600),180+(W26+W27/60+W28/3600)))</f>
        <v>#VALUE!</v>
      </c>
      <c r="X30" s="423" t="s">
        <v>412</v>
      </c>
      <c r="AA30" s="593"/>
      <c r="AB30" s="593"/>
      <c r="AC30" s="762"/>
      <c r="AD30" s="683"/>
      <c r="AE30" s="321" t="str">
        <f>IF(ISNUMBER($AE$26),AE$26,IF(ISNUMBER($AG$27),AE$27,IF(ISNUMBER($AI$28),AE$28,IF(ISNUMBER($AK$29),AE$29,""))))</f>
        <v/>
      </c>
      <c r="AF30" s="321" t="str">
        <f>IF(ISNUMBER($AF$26),AF$26,IF(ISNUMBER($AH$27),AF$27,IF(ISNUMBER($AJ$28),AF$28,IF(ISNUMBER($AL$29),AF$29,""))))</f>
        <v/>
      </c>
      <c r="AG30" s="321" t="str">
        <f>IF(ISNUMBER($AE$26),AG$26,IF(ISNUMBER($AG$27),AG$27,IF(ISNUMBER($AI$28),AG$28,IF(ISNUMBER($AK$29),AG$29,""))))</f>
        <v/>
      </c>
      <c r="AH30" s="321" t="str">
        <f>IF(ISNUMBER($AF$26),AH$26,IF(ISNUMBER($AH$27),AH$27,IF(ISNUMBER($AJ$28),AH$28,IF(ISNUMBER($AL$29),AH$29,""))))</f>
        <v/>
      </c>
      <c r="AI30" s="321" t="str">
        <f>IF(ISNUMBER($AE$26),AI$26,IF(ISNUMBER($AG$27),AI$27,IF(ISNUMBER($AI$28),AI$28,IF(ISNUMBER($AK$29),AI$29,""))))</f>
        <v/>
      </c>
      <c r="AJ30" s="321" t="str">
        <f>IF(ISNUMBER($AF$26),AJ$26,IF(ISNUMBER($AH$27),AJ$27,IF(ISNUMBER($AJ$28),AJ$28,IF(ISNUMBER($AL$29),AJ$29,""))))</f>
        <v/>
      </c>
      <c r="AK30" s="321" t="str">
        <f>IF(ISNUMBER($AE$26),AK$26,IF(ISNUMBER($AG$27),AK$27,IF(ISNUMBER($AI$28),AK$28,IF(ISNUMBER($AK$29),AK$29,""))))</f>
        <v/>
      </c>
      <c r="AL30" s="321" t="str">
        <f>IF(ISNUMBER($AF$26),AL$26,IF(ISNUMBER($AH$27),AL$27,IF(ISNUMBER($AJ$28),AL$28,IF(ISNUMBER($AL$29),AL$29,""))))</f>
        <v/>
      </c>
      <c r="AM30" s="321" t="str">
        <f>IF(ISNUMBER($AE$26),AM$26,IF(ISNUMBER($AG$27),AM$27,IF(ISNUMBER($AI$28),AM$28,IF(ISNUMBER($AK$29),AM$29,""))))</f>
        <v/>
      </c>
      <c r="AN30" s="321" t="str">
        <f>IF(ISNUMBER($AF$26),AN$26,IF(ISNUMBER($AH$27),AN$27,IF(ISNUMBER($AJ$28),AN$28,IF(ISNUMBER($AL$29),AN$29,""))))</f>
        <v/>
      </c>
      <c r="AO30" s="321" t="str">
        <f>IF(ISNUMBER($AE$26),AO$26,IF(ISNUMBER($AG$27),AO$27,IF(ISNUMBER($AI$28),AO$28,IF(ISNUMBER($AK$29),AO$29,""))))</f>
        <v/>
      </c>
      <c r="AP30" s="321" t="str">
        <f>IF(ISNUMBER($AF$26),AP$26,IF(ISNUMBER($AH$27),AP$27,IF(ISNUMBER($AJ$28),AP$28,IF(ISNUMBER($AL$29),AP$29,""))))</f>
        <v/>
      </c>
      <c r="AQ30" s="321" t="str">
        <f>IF(ISNUMBER($AE$26),AQ$26,IF(ISNUMBER($AG$27),AQ$27,IF(ISNUMBER($AI$28),AQ$28,IF(ISNUMBER($AK$29),AQ$29,""))))</f>
        <v/>
      </c>
      <c r="AR30" s="321" t="str">
        <f>IF(ISNUMBER($AF$26),AR$26,IF(ISNUMBER($AH$27),AR$27,IF(ISNUMBER($AJ$28),AR$28,IF(ISNUMBER($AL$29),AR$29,""))))</f>
        <v/>
      </c>
      <c r="AS30" s="321" t="str">
        <f>IF(ISNUMBER($AE$26),AS$26,IF(ISNUMBER($AG$27),AS$27,IF(ISNUMBER($AI$28),AS$28,IF(ISNUMBER($AK$29),AS$29,""))))</f>
        <v/>
      </c>
      <c r="AT30" s="321" t="str">
        <f>IF(ISNUMBER($AF$26),AT$26,IF(ISNUMBER($AH$27),AT$27,IF(ISNUMBER($AJ$28),AT$28,IF(ISNUMBER($AL$29),AT$29,""))))</f>
        <v/>
      </c>
      <c r="AV30" s="636"/>
      <c r="AW30" s="636"/>
      <c r="AX30" s="636"/>
      <c r="AY30" s="636"/>
      <c r="AZ30" s="636"/>
      <c r="BA30" s="636"/>
      <c r="BB30" s="636"/>
      <c r="BC30" s="636"/>
      <c r="BD30" s="636"/>
      <c r="BE30" s="636"/>
      <c r="BF30" s="636"/>
      <c r="BG30" s="636"/>
      <c r="BH30" s="636"/>
      <c r="BI30" s="636"/>
      <c r="BJ30" s="636"/>
      <c r="BK30" s="636"/>
      <c r="BL30" s="636"/>
      <c r="BM30" s="636"/>
      <c r="BN30" s="636"/>
      <c r="BO30" s="636"/>
      <c r="BP30" s="636"/>
      <c r="BQ30" s="636"/>
      <c r="BR30" s="636"/>
      <c r="BS30" s="636"/>
      <c r="BT30" s="636"/>
      <c r="BU30" s="636"/>
      <c r="BV30" s="636"/>
      <c r="BW30" s="636"/>
      <c r="BX30" s="636"/>
      <c r="BY30" s="636"/>
      <c r="BZ30" s="636"/>
      <c r="CA30" s="636"/>
    </row>
    <row r="31" spans="1:82" ht="12" customHeight="1" x14ac:dyDescent="0.25">
      <c r="C31" s="598"/>
      <c r="G31" s="310" t="str">
        <f>IF(ISNUMBER($AG$58),$I$8,"")</f>
        <v/>
      </c>
      <c r="H31" s="309" t="str">
        <f>IF(ISNUMBER($AG$58),"FNL","")</f>
        <v/>
      </c>
      <c r="J31" s="424"/>
      <c r="K31" s="424"/>
      <c r="L31" s="308"/>
      <c r="M31" s="307"/>
      <c r="Q31" s="310" t="str">
        <f>IF(ISNUMBER($AE$58),$I$8,"")</f>
        <v/>
      </c>
      <c r="R31" s="309" t="str">
        <f>IF(ISNUMBER($AE$58),"FNL","")</f>
        <v/>
      </c>
      <c r="V31" s="581"/>
      <c r="AA31" s="593"/>
      <c r="AB31" s="593"/>
      <c r="AC31" s="480"/>
      <c r="AD31" s="329"/>
      <c r="AE31" s="328"/>
      <c r="AF31" s="328"/>
      <c r="AG31" s="328"/>
      <c r="AH31" s="328"/>
      <c r="AI31" s="328"/>
      <c r="AJ31" s="328"/>
      <c r="AK31" s="328"/>
      <c r="AL31" s="328"/>
      <c r="AM31" s="328"/>
      <c r="AN31" s="328"/>
      <c r="AO31" s="328"/>
      <c r="AP31" s="328"/>
      <c r="AQ31" s="328"/>
      <c r="AR31" s="328"/>
      <c r="AS31" s="328"/>
      <c r="AT31" s="328"/>
      <c r="AV31" s="636"/>
      <c r="AW31" s="636"/>
      <c r="AX31" s="636"/>
      <c r="AY31" s="636"/>
      <c r="AZ31" s="636"/>
      <c r="BA31" s="636"/>
      <c r="BB31" s="636"/>
      <c r="BC31" s="636"/>
      <c r="BD31" s="636"/>
      <c r="BE31" s="636"/>
      <c r="BF31" s="636"/>
      <c r="BG31" s="636"/>
      <c r="BH31" s="636"/>
      <c r="BI31" s="636"/>
      <c r="BJ31" s="636"/>
      <c r="BK31" s="636"/>
      <c r="BL31" s="636"/>
      <c r="BM31" s="636"/>
      <c r="BN31" s="636"/>
      <c r="BO31" s="636"/>
      <c r="BP31" s="636"/>
      <c r="BQ31" s="636"/>
      <c r="BR31" s="636"/>
      <c r="BS31" s="636"/>
      <c r="BT31" s="636"/>
      <c r="BU31" s="636"/>
      <c r="BV31" s="636"/>
      <c r="BW31" s="636"/>
      <c r="BX31" s="636"/>
      <c r="BY31" s="636"/>
      <c r="BZ31" s="636"/>
      <c r="CA31" s="636"/>
    </row>
    <row r="32" spans="1:82" ht="12" customHeight="1" x14ac:dyDescent="0.25">
      <c r="C32" s="598"/>
      <c r="D32" s="485" t="s">
        <v>366</v>
      </c>
      <c r="F32" s="596"/>
      <c r="G32" s="306" t="str">
        <f>IF(ISNUMBER($AG$58),$K$8,"")</f>
        <v/>
      </c>
      <c r="H32" s="305" t="str">
        <f>IF(ISNUMBER($AG$58),"FWL","")</f>
        <v/>
      </c>
      <c r="I32" s="425"/>
      <c r="J32" s="424"/>
      <c r="K32" s="424"/>
      <c r="L32" s="308"/>
      <c r="M32" s="307"/>
      <c r="Q32" s="306" t="str">
        <f>IF(ISNUMBER($AE$58),$K$8,"")</f>
        <v/>
      </c>
      <c r="R32" s="305" t="str">
        <f>IF(ISNUMBER($AE$58),"FEL","")</f>
        <v/>
      </c>
      <c r="U32" s="485" t="s">
        <v>366</v>
      </c>
      <c r="V32" s="581"/>
      <c r="AA32" s="593"/>
      <c r="AB32" s="593"/>
      <c r="AC32" s="478">
        <v>1</v>
      </c>
      <c r="AD32" s="317" t="s">
        <v>419</v>
      </c>
      <c r="AE32" s="325" t="e">
        <f>IF(AND($AS$24+$AI$9&gt;0,$AN$24+$AK$9&gt;0),$AE$24+$AI$9,"")</f>
        <v>#VALUE!</v>
      </c>
      <c r="AF32" s="325" t="e">
        <f>IF(AND($AS$24+$AI$9&gt;0,$AN$24+$AK$9&gt;0),$AF$24+$AK$9,"")</f>
        <v>#VALUE!</v>
      </c>
      <c r="AG32" s="324" t="e">
        <f>IF($AE$32="","",$AY$26+$AE$32)</f>
        <v>#VALUE!</v>
      </c>
      <c r="AH32" s="324" t="e">
        <f>IF($AF$32="","",$AZ$26+$AF$32)</f>
        <v>#VALUE!</v>
      </c>
      <c r="AI32" s="324" t="e">
        <f>IF($AE$32="","",$BG$26+$AY$26+$AE$32)</f>
        <v>#VALUE!</v>
      </c>
      <c r="AJ32" s="324" t="e">
        <f>IF($AF$32="","",$AZ$26+$BH$26+$AF$32)</f>
        <v>#VALUE!</v>
      </c>
      <c r="AK32" s="324" t="e">
        <f>IF($AE$32="","",$BW$26+$AE$32)</f>
        <v>#VALUE!</v>
      </c>
      <c r="AL32" s="324" t="e">
        <f>IF($AF$32="","",$AF$32+$BX$26)</f>
        <v>#VALUE!</v>
      </c>
      <c r="AM32" s="324" t="e">
        <f>IF($AE$32="","",$AW$22+$AE$32)</f>
        <v>#VALUE!</v>
      </c>
      <c r="AN32" s="324" t="e">
        <f>IF($AF$32="","",$AX$22+$AF$32)</f>
        <v>#VALUE!</v>
      </c>
      <c r="AO32" s="324" t="e">
        <f>IF($AE$32="","",$AY$26+$AE$32+$BE$22)</f>
        <v>#VALUE!</v>
      </c>
      <c r="AP32" s="324" t="e">
        <f>IF($AF$32="","",$AZ$26+$AF$32+$BF$22)</f>
        <v>#VALUE!</v>
      </c>
      <c r="AQ32" s="324" t="e">
        <f>IF($AE$32="","",$BW$26+$AE$32+$BQ$22)</f>
        <v>#VALUE!</v>
      </c>
      <c r="AR32" s="324" t="e">
        <f>IF($AF$32="","",$AF$32+$BX$26+$BR$22)</f>
        <v>#VALUE!</v>
      </c>
      <c r="AS32" s="324" t="e">
        <f>IF($AE$32="","",$BY$22+$AE$32)</f>
        <v>#VALUE!</v>
      </c>
      <c r="AT32" s="324" t="e">
        <f>IF($AF$32="","",$AF$32+$BZ$22)</f>
        <v>#VALUE!</v>
      </c>
      <c r="AV32" s="636"/>
      <c r="AW32" s="636"/>
      <c r="AX32" s="636"/>
      <c r="AY32" s="636"/>
      <c r="AZ32" s="636"/>
      <c r="BA32" s="636"/>
      <c r="BB32" s="636"/>
      <c r="BC32" s="636"/>
      <c r="BD32" s="636"/>
      <c r="BE32" s="636"/>
      <c r="BF32" s="636"/>
      <c r="BG32" s="636"/>
      <c r="BH32" s="636"/>
      <c r="BI32" s="636"/>
      <c r="BJ32" s="636"/>
      <c r="BK32" s="636"/>
      <c r="BL32" s="636"/>
      <c r="BM32" s="636"/>
      <c r="BN32" s="636"/>
      <c r="BO32" s="636"/>
      <c r="BP32" s="636"/>
      <c r="BQ32" s="636"/>
      <c r="BR32" s="636"/>
      <c r="BS32" s="636"/>
      <c r="BT32" s="636"/>
      <c r="BU32" s="636"/>
      <c r="BV32" s="636"/>
      <c r="BW32" s="636"/>
      <c r="BX32" s="636"/>
      <c r="BY32" s="636"/>
      <c r="BZ32" s="636"/>
      <c r="CA32" s="636"/>
    </row>
    <row r="33" spans="1:79" ht="12" customHeight="1" x14ac:dyDescent="0.25">
      <c r="A33" s="426" t="s">
        <v>385</v>
      </c>
      <c r="B33" s="301" t="e">
        <f>IF(NOT(ISBLANK(D33)),D33,DGET('Grid Numbers'!$A$2:$L$4952,'Grid Numbers'!$H$2,$B$68:$H$69))</f>
        <v>#VALUE!</v>
      </c>
      <c r="C33" s="598"/>
      <c r="D33" s="486"/>
      <c r="G33" s="313" t="str">
        <f>IF(ISNUMBER($AG$69),$B$9,"")</f>
        <v/>
      </c>
      <c r="H33" s="312" t="str">
        <f>IF(AND(G34="",G35=""),"",IF($AG$69=1,"NE/NW",IF($AG$69=2,"NW/NW",IF($AG$69=3,"SW/NW",IF($AG$69=4,"SE/NW","")))))</f>
        <v/>
      </c>
      <c r="J33" s="424"/>
      <c r="K33" s="424"/>
      <c r="L33" s="308"/>
      <c r="M33" s="307"/>
      <c r="Q33" s="332" t="str">
        <f>IF(ISNUMBER($AE$69),$B$9,"")</f>
        <v/>
      </c>
      <c r="R33" s="312" t="str">
        <f>IF(AND(Q34="",Q35=""),"",IF($AE$69=1,"NE/NE",IF($AE$69=2,"NW/NE",IF($AE$69=3,"SW/NE",IF($AE$69=4,"SE/NE","")))))</f>
        <v/>
      </c>
      <c r="S33" s="425"/>
      <c r="T33" s="424"/>
      <c r="U33" s="486"/>
      <c r="V33" s="581"/>
      <c r="W33" s="301" t="e">
        <f>IF(NOT(ISBLANK(U33)),U33,DGET('Grid Numbers'!$A$2:$L$4952,'Grid Numbers'!$H$2,$B$76:$H$77))</f>
        <v>#VALUE!</v>
      </c>
      <c r="X33" s="423" t="s">
        <v>385</v>
      </c>
      <c r="AA33" s="593"/>
      <c r="AB33" s="593"/>
      <c r="AC33" s="478">
        <v>2</v>
      </c>
      <c r="AD33" s="317" t="s">
        <v>419</v>
      </c>
      <c r="AE33" s="324" t="e">
        <f>IF($AG$33="","",$AG$33-$AY$26)</f>
        <v>#VALUE!</v>
      </c>
      <c r="AF33" s="324" t="e">
        <f>IF($AH$33="","",$AH$33-$AZ$26)</f>
        <v>#VALUE!</v>
      </c>
      <c r="AG33" s="325" t="e">
        <f>IF(AND($AO$24+$AI$9&gt;0,$AN$24+$AK$9&lt;0),$AG$24+$AI$9,"")</f>
        <v>#VALUE!</v>
      </c>
      <c r="AH33" s="325" t="e">
        <f>IF(AND($AO$24+$AI$9&gt;0,$AN$24+$AK$9&lt;0),$AH$24+$AK$9,"")</f>
        <v>#VALUE!</v>
      </c>
      <c r="AI33" s="324" t="e">
        <f>IF($AG$33="","",$BG$26+$AG$33)</f>
        <v>#VALUE!</v>
      </c>
      <c r="AJ33" s="324" t="e">
        <f>IF($AH$33="","",$AH$33+$BH$26)</f>
        <v>#VALUE!</v>
      </c>
      <c r="AK33" s="324" t="e">
        <f>IF($AG$33="","",$AG$33-$AY$26+$BW$26)</f>
        <v>#VALUE!</v>
      </c>
      <c r="AL33" s="324" t="e">
        <f>IF($AH$33="","",$AH$33-$AZ$26+$BX$26)</f>
        <v>#VALUE!</v>
      </c>
      <c r="AM33" s="324" t="e">
        <f>IF($AG$33="","",$AG$33-$BA$22)</f>
        <v>#VALUE!</v>
      </c>
      <c r="AN33" s="324" t="e">
        <f>IF($AH$33="","",AH$33-$BB$22)</f>
        <v>#VALUE!</v>
      </c>
      <c r="AO33" s="324" t="e">
        <f>IF($AG$33="","",$BE$22+$AG$33)</f>
        <v>#VALUE!</v>
      </c>
      <c r="AP33" s="324" t="e">
        <f>IF($AH$33="","",$AH$33+$BF$22)</f>
        <v>#VALUE!</v>
      </c>
      <c r="AQ33" s="324" t="e">
        <f>IF($AG$33="","",$BG$26+$AG$33-$BM$22)</f>
        <v>#VALUE!</v>
      </c>
      <c r="AR33" s="324" t="e">
        <f>IF($AH$33="","",$AH$33+$BH$26-$BN$22)</f>
        <v>#VALUE!</v>
      </c>
      <c r="AS33" s="324" t="e">
        <f>IF($AG$33="","",$AG$33-$AY$26+$BY$22)</f>
        <v>#VALUE!</v>
      </c>
      <c r="AT33" s="324" t="e">
        <f>IF($AH$33="","",$AH$33-$AZ$26+$BZ$22)</f>
        <v>#VALUE!</v>
      </c>
    </row>
    <row r="34" spans="1:79" ht="12" customHeight="1" x14ac:dyDescent="0.25">
      <c r="A34" s="426" t="s">
        <v>395</v>
      </c>
      <c r="B34" s="294" t="e">
        <f>IF(NOT(ISBLANK(D34)),D34,DGET('Grid Numbers'!$A$2:$L$4952,'Grid Numbers'!$I$2,$B$68:$H$69))</f>
        <v>#VALUE!</v>
      </c>
      <c r="C34" s="598"/>
      <c r="D34" s="486"/>
      <c r="G34" s="310" t="str">
        <f>IF(ISNUMBER($AG$69),$I$9,"")</f>
        <v/>
      </c>
      <c r="H34" s="309" t="str">
        <f>IF(ISNUMBER($AG$69),"FNL","")</f>
        <v/>
      </c>
      <c r="J34" s="424"/>
      <c r="K34" s="424"/>
      <c r="L34" s="308"/>
      <c r="M34" s="307"/>
      <c r="Q34" s="310" t="str">
        <f>IF(ISNUMBER($AE$69),$I$9,"")</f>
        <v/>
      </c>
      <c r="R34" s="309" t="str">
        <f>IF(ISNUMBER($AE$69),"FNL","")</f>
        <v/>
      </c>
      <c r="S34" s="425"/>
      <c r="T34" s="424"/>
      <c r="U34" s="486"/>
      <c r="V34" s="581"/>
      <c r="W34" s="469" t="e">
        <f>IF(NOT(ISBLANK(U34)),U34,DGET('Grid Numbers'!$A$2:$L$4952,'Grid Numbers'!$I$2,$B$76:$H$77))</f>
        <v>#VALUE!</v>
      </c>
      <c r="X34" s="423" t="s">
        <v>395</v>
      </c>
      <c r="AA34" s="593"/>
      <c r="AB34" s="593"/>
      <c r="AC34" s="478">
        <v>3</v>
      </c>
      <c r="AD34" s="317" t="s">
        <v>419</v>
      </c>
      <c r="AE34" s="324" t="e">
        <f>IF($AI$34="","",$AI$34-$BG$26-$AY$26)</f>
        <v>#VALUE!</v>
      </c>
      <c r="AF34" s="326" t="e">
        <f>IF($AJ$34="","",$AJ$34-$BH$26-$AZ$26)</f>
        <v>#VALUE!</v>
      </c>
      <c r="AG34" s="324" t="e">
        <f>IF($AI$34="","",$AI$34-$BG$26)</f>
        <v>#VALUE!</v>
      </c>
      <c r="AH34" s="324" t="e">
        <f>IF($AJ$34="","",$AJ$34-$BH$26)</f>
        <v>#VALUE!</v>
      </c>
      <c r="AI34" s="325" t="e">
        <f>IF(AND($AO$24+$AI$9&lt;0,$AR$24+$AK$9&lt;0),$AI$24+$AI$9,"")</f>
        <v>#VALUE!</v>
      </c>
      <c r="AJ34" s="325" t="e">
        <f>IF(AND($AO$24+$AI$9&lt;0,$AR$24+$AK$9&lt;0),$AJ$24+$AK$9,"")</f>
        <v>#VALUE!</v>
      </c>
      <c r="AK34" s="324" t="e">
        <f>IF($AI$34="","",$AI$34-$BO$26)</f>
        <v>#VALUE!</v>
      </c>
      <c r="AL34" s="324" t="e">
        <f>IF($AJ$34="","",$AJ$34-$BP$26)</f>
        <v>#VALUE!</v>
      </c>
      <c r="AM34" s="324" t="e">
        <f>IF($AI$34="","",$AI$34-$BG$26-$BA$26)</f>
        <v>#VALUE!</v>
      </c>
      <c r="AN34" s="324" t="e">
        <f>IF($AJ$34="","",$AJ$34-$BH$26-$BB$26)</f>
        <v>#VALUE!</v>
      </c>
      <c r="AO34" s="324" t="e">
        <f>IF($AI$34="","",$AI$34-$BI$26)</f>
        <v>#VALUE!</v>
      </c>
      <c r="AP34" s="324" t="e">
        <f>IF($AJ$34="","",$AJ$34-$BJ$26)</f>
        <v>#VALUE!</v>
      </c>
      <c r="AQ34" s="324" t="e">
        <f>IF($AI$34="","",$AI$34-$BM$26)</f>
        <v>#VALUE!</v>
      </c>
      <c r="AR34" s="324" t="e">
        <f>IF($AJ$34="","",$AJ$34-$BN$26)</f>
        <v>#VALUE!</v>
      </c>
      <c r="AS34" s="324" t="e">
        <f>IF($AI$34="","",$AI$34-$BO$26-$BU$26)</f>
        <v>#VALUE!</v>
      </c>
      <c r="AT34" s="324" t="e">
        <f>IF($AJ$34="","",$AJ$34-$BP$26-$BV$22)</f>
        <v>#VALUE!</v>
      </c>
      <c r="BE34" s="636"/>
      <c r="BF34" s="636"/>
      <c r="BG34" s="636"/>
      <c r="BH34" s="636"/>
      <c r="BI34" s="636"/>
      <c r="BJ34" s="636"/>
      <c r="BK34" s="636"/>
      <c r="BL34" s="636"/>
      <c r="BM34" s="636"/>
      <c r="BN34" s="636"/>
      <c r="BO34" s="636"/>
      <c r="BP34" s="636"/>
      <c r="BZ34" s="596"/>
      <c r="CA34" s="596"/>
    </row>
    <row r="35" spans="1:79" ht="12" customHeight="1" x14ac:dyDescent="0.25">
      <c r="A35" s="426" t="s">
        <v>398</v>
      </c>
      <c r="B35" s="294" t="e">
        <f>IF(NOT(ISBLANK(D35)),D35,DGET('Grid Numbers'!$A$2:$L$4952,'Grid Numbers'!$J$2,$B$68:$H$69))</f>
        <v>#VALUE!</v>
      </c>
      <c r="C35" s="598"/>
      <c r="D35" s="486"/>
      <c r="G35" s="306" t="str">
        <f>IF(ISNUMBER($AG$69),$K$9,"")</f>
        <v/>
      </c>
      <c r="H35" s="305" t="str">
        <f>IF(ISNUMBER($AG$69),"FWL","")</f>
        <v/>
      </c>
      <c r="J35" s="424"/>
      <c r="K35" s="424"/>
      <c r="L35" s="308"/>
      <c r="M35" s="307"/>
      <c r="Q35" s="306" t="str">
        <f>IF(ISNUMBER($AE$69),$K$9,"")</f>
        <v/>
      </c>
      <c r="R35" s="305" t="str">
        <f>IF(ISNUMBER($AE$69),"FEL","")</f>
        <v/>
      </c>
      <c r="S35" s="425"/>
      <c r="T35" s="424"/>
      <c r="U35" s="486"/>
      <c r="V35" s="581"/>
      <c r="W35" s="469" t="e">
        <f>IF(NOT(ISBLANK(U35)),U35,DGET('Grid Numbers'!$A$2:$L$4952,'Grid Numbers'!$J$2,$B$76:$H$77))</f>
        <v>#VALUE!</v>
      </c>
      <c r="X35" s="423" t="s">
        <v>398</v>
      </c>
      <c r="AA35" s="593"/>
      <c r="AB35" s="292"/>
      <c r="AC35" s="466">
        <v>4</v>
      </c>
      <c r="AD35" s="591" t="s">
        <v>419</v>
      </c>
      <c r="AE35" s="322" t="e">
        <f>IF($AK$35="","",$AK$35-$BW$26)</f>
        <v>#VALUE!</v>
      </c>
      <c r="AF35" s="322" t="e">
        <f>IF($AL$35="","",$AL$35-$BX$26)</f>
        <v>#VALUE!</v>
      </c>
      <c r="AG35" s="322" t="e">
        <f>IF($AK$35="","",$AK$35+$BO$26-$BG$26)</f>
        <v>#VALUE!</v>
      </c>
      <c r="AH35" s="322" t="e">
        <f>IF($AL$35="","",$AL$35+$BP$26+$BH$26)</f>
        <v>#VALUE!</v>
      </c>
      <c r="AI35" s="322" t="e">
        <f>IF($AK$35="","",$AK$35+$BO$26)</f>
        <v>#VALUE!</v>
      </c>
      <c r="AJ35" s="322" t="e">
        <f>IF($AL$35="","",$AL$35+$BP$26)</f>
        <v>#VALUE!</v>
      </c>
      <c r="AK35" s="323" t="e">
        <f>IF(AND($AS$24+$AI$9&lt;0,$AR$24+$AK$9&gt;0),$AK$24+$AI$9,"")</f>
        <v>#VALUE!</v>
      </c>
      <c r="AL35" s="323" t="e">
        <f>IF(AND($AS$24+$AI$9&lt;0,$AR$24+$AK$9&gt;0),$AL$24+$AK$9,"")</f>
        <v>#VALUE!</v>
      </c>
      <c r="AM35" s="322" t="e">
        <f>IF($AK$35="","",$AK$35-$BW$26+$AW$22)</f>
        <v>#VALUE!</v>
      </c>
      <c r="AN35" s="322" t="e">
        <f>IF($AL$35="","",$AL$35-$BX$26+$AX$22)</f>
        <v>#VALUE!</v>
      </c>
      <c r="AO35" s="322" t="e">
        <f>IF($AK$35="","",$AK$35+$BO$26-$BI$22)</f>
        <v>#VALUE!</v>
      </c>
      <c r="AP35" s="322" t="e">
        <f>IF($AL$35="","",$AL$35+$BP$26-$BJ$22)</f>
        <v>#VALUE!</v>
      </c>
      <c r="AQ35" s="322" t="e">
        <f>IF($AK$35="","",$AK$35+$BQ$22)</f>
        <v>#VALUE!</v>
      </c>
      <c r="AR35" s="322" t="e">
        <f>IF($AL$35="","",$AL$35+$BR$22)</f>
        <v>#VALUE!</v>
      </c>
      <c r="AS35" s="322" t="e">
        <f>IF($AK$35="","",$AK$35-$BU$22)</f>
        <v>#VALUE!</v>
      </c>
      <c r="AT35" s="322" t="e">
        <f>IF($AL$35="","",$AL$35-$BV$22)</f>
        <v>#VALUE!</v>
      </c>
      <c r="BG35" s="317">
        <v>1</v>
      </c>
      <c r="BH35" s="317">
        <v>2</v>
      </c>
      <c r="BI35" s="317">
        <v>3</v>
      </c>
      <c r="BJ35" s="317">
        <v>4</v>
      </c>
      <c r="BK35" s="317">
        <v>5</v>
      </c>
      <c r="BL35" s="317">
        <v>6</v>
      </c>
      <c r="BM35" s="317">
        <v>7</v>
      </c>
      <c r="BN35" s="317">
        <v>8</v>
      </c>
      <c r="BO35" s="317">
        <v>9</v>
      </c>
      <c r="BZ35" s="596"/>
      <c r="CA35" s="596"/>
    </row>
    <row r="36" spans="1:79" ht="12" customHeight="1" x14ac:dyDescent="0.25">
      <c r="A36" s="426" t="s">
        <v>410</v>
      </c>
      <c r="B36" s="294" t="e">
        <f>IF(NOT(ISBLANK(D36)),D36,DGET('Grid Numbers'!$A$2:$L$4952,'Grid Numbers'!$K$2,$B$68:$H$69))</f>
        <v>#VALUE!</v>
      </c>
      <c r="C36" s="598"/>
      <c r="D36" s="487"/>
      <c r="G36" s="313" t="str">
        <f>IF(ISNUMBER($AG$80),$B$10,"")</f>
        <v/>
      </c>
      <c r="H36" s="312" t="str">
        <f>IF(AND(G37="",G38=""),"",IF($AG$80=1,"NE/NW",IF($AG$80=2,"NW/NW",IF($AG$80=3,"SW/NW",IF($AG$80=4,"SE/NW","")))))</f>
        <v/>
      </c>
      <c r="J36" s="424"/>
      <c r="K36" s="424"/>
      <c r="L36" s="308"/>
      <c r="M36" s="307"/>
      <c r="Q36" s="332" t="str">
        <f>IF(ISNUMBER($AE$80),$B$10,"")</f>
        <v/>
      </c>
      <c r="R36" s="312" t="str">
        <f>IF(AND(Q37="",Q38=""),"",IF($AE$80=1,"NE/NE",IF($AE$80=2,"NW/NE",IF($AE$80=3,"SW/NE",IF($AE$80=4,"SE/NE","")))))</f>
        <v/>
      </c>
      <c r="S36" s="425"/>
      <c r="T36" s="424"/>
      <c r="U36" s="487"/>
      <c r="V36" s="581"/>
      <c r="W36" s="469" t="e">
        <f>IF(NOT(ISBLANK(U36)),U36,DGET('Grid Numbers'!$A$2:$L$4952,'Grid Numbers'!$K$2,$B$76:$H$77))</f>
        <v>#VALUE!</v>
      </c>
      <c r="X36" s="423" t="s">
        <v>410</v>
      </c>
      <c r="AA36" s="593"/>
      <c r="AB36" s="292"/>
      <c r="AC36" s="762"/>
      <c r="AD36" s="683"/>
      <c r="AE36" s="321" t="str">
        <f>IF(ISNUMBER($AE$32),AE$32,IF(ISNUMBER($AG$33),AE$33,IF(ISNUMBER($AI$34),AE$34,IF(ISNUMBER($AK$35),AE$35,""))))</f>
        <v/>
      </c>
      <c r="AF36" s="321" t="str">
        <f>IF(ISNUMBER($AF$32),AF$32,IF(ISNUMBER($AH$33),AF$33,IF(ISNUMBER($AJ$34),AF$34,IF(ISNUMBER($AL$35),AF$35,""))))</f>
        <v/>
      </c>
      <c r="AG36" s="321" t="str">
        <f>IF(ISNUMBER($AE$32),AG$32,IF(ISNUMBER($AG$33),AG$33,IF(ISNUMBER($AI$34),AG$34,IF(ISNUMBER($AK$35),AG$35,""))))</f>
        <v/>
      </c>
      <c r="AH36" s="321" t="str">
        <f>IF(ISNUMBER($AF$32),AH$32,IF(ISNUMBER($AH$33),AH$33,IF(ISNUMBER($AJ$34),AH$34,IF(ISNUMBER($AL$35),AH$35,""))))</f>
        <v/>
      </c>
      <c r="AI36" s="321" t="str">
        <f>IF(ISNUMBER($AE$32),AI$32,IF(ISNUMBER($AG$33),AI$33,IF(ISNUMBER($AI$34),AI$34,IF(ISNUMBER($AK$35),AI$35,""))))</f>
        <v/>
      </c>
      <c r="AJ36" s="321" t="str">
        <f>IF(ISNUMBER($AF$32),AJ$32,IF(ISNUMBER($AH$33),AJ$33,IF(ISNUMBER($AJ$34),AJ$34,IF(ISNUMBER($AL$35),AJ$35,""))))</f>
        <v/>
      </c>
      <c r="AK36" s="321" t="str">
        <f>IF(ISNUMBER($AE$32),AK$32,IF(ISNUMBER($AG$33),AK$33,IF(ISNUMBER($AI$34),AK$34,IF(ISNUMBER($AK$35),AK$35,""))))</f>
        <v/>
      </c>
      <c r="AL36" s="321" t="str">
        <f>IF(ISNUMBER($AF$32),AL$32,IF(ISNUMBER($AH$33),AL$33,IF(ISNUMBER($AJ$34),AL$34,IF(ISNUMBER($AL$35),AL$35,""))))</f>
        <v/>
      </c>
      <c r="AM36" s="321" t="str">
        <f>IF(ISNUMBER($AE$32),AM$32,IF(ISNUMBER($AG$33),AM$33,IF(ISNUMBER($AI$34),AM$34,IF(ISNUMBER($AK$35),AM$35,""))))</f>
        <v/>
      </c>
      <c r="AN36" s="321" t="str">
        <f>IF(ISNUMBER($AF$32),AN$32,IF(ISNUMBER($AH$33),AN$33,IF(ISNUMBER($AJ$34),AN$34,IF(ISNUMBER($AL$35),AN$35,""))))</f>
        <v/>
      </c>
      <c r="AO36" s="321" t="str">
        <f>IF(ISNUMBER($AE$32),AO$32,IF(ISNUMBER($AG$33),AO$33,IF(ISNUMBER($AI$34),AO$34,IF(ISNUMBER($AK$35),AO$35,""))))</f>
        <v/>
      </c>
      <c r="AP36" s="321" t="str">
        <f>IF(ISNUMBER($AF$32),AP$32,IF(ISNUMBER($AH$33),AP$33,IF(ISNUMBER($AJ$34),AP$34,IF(ISNUMBER($AL$35),AP$35,""))))</f>
        <v/>
      </c>
      <c r="AQ36" s="321" t="str">
        <f>IF(ISNUMBER($AE$32),AQ$32,IF(ISNUMBER($AG$33),AQ$33,IF(ISNUMBER($AI$34),AQ$34,IF(ISNUMBER($AK$35),AQ$35,""))))</f>
        <v/>
      </c>
      <c r="AR36" s="321" t="str">
        <f>IF(ISNUMBER($AF$32),AR$32,IF(ISNUMBER($AH$33),AR$33,IF(ISNUMBER($AJ$34),AR$34,IF(ISNUMBER($AL$35),AR$35,""))))</f>
        <v/>
      </c>
      <c r="AS36" s="321" t="str">
        <f>IF(ISNUMBER($AE$32),AS$32,IF(ISNUMBER($AG$33),AS$33,IF(ISNUMBER($AI$34),AS$34,IF(ISNUMBER($AK$35),AS$35,""))))</f>
        <v/>
      </c>
      <c r="AT36" s="321" t="str">
        <f>IF(ISNUMBER($AF$32),AT$32,IF(ISNUMBER($AH$33),AT$33,IF(ISNUMBER($AJ$34),AT$34,IF(ISNUMBER($AL$35),AT$35,""))))</f>
        <v/>
      </c>
      <c r="BD36" s="464" t="s">
        <v>396</v>
      </c>
      <c r="BE36" s="331" t="s">
        <v>420</v>
      </c>
      <c r="BF36" s="465" t="s">
        <v>421</v>
      </c>
      <c r="BG36" s="317" t="s">
        <v>399</v>
      </c>
      <c r="BH36" s="317" t="s">
        <v>12</v>
      </c>
      <c r="BI36" s="317" t="s">
        <v>422</v>
      </c>
      <c r="BJ36" s="317" t="s">
        <v>311</v>
      </c>
      <c r="BK36" s="317" t="s">
        <v>423</v>
      </c>
      <c r="BL36" s="317" t="s">
        <v>414</v>
      </c>
      <c r="BM36" s="317" t="s">
        <v>424</v>
      </c>
      <c r="BN36" s="317" t="s">
        <v>413</v>
      </c>
      <c r="BO36" s="317" t="s">
        <v>425</v>
      </c>
      <c r="BZ36" s="596"/>
      <c r="CA36" s="596"/>
    </row>
    <row r="37" spans="1:79" ht="12" customHeight="1" thickBot="1" x14ac:dyDescent="0.3">
      <c r="A37" s="426" t="s">
        <v>411</v>
      </c>
      <c r="B37" s="319" t="e">
        <f>IF(NOT(ISBLANK(D37)),D37,DGET('Grid Numbers'!$A$2:$L$4952,'Grid Numbers'!$L$2,$B$68:$H$69))</f>
        <v>#VALUE!</v>
      </c>
      <c r="C37" s="598"/>
      <c r="D37" s="490"/>
      <c r="G37" s="310" t="str">
        <f>IF(ISNUMBER($AG$80),$I$10,"")</f>
        <v/>
      </c>
      <c r="H37" s="309" t="str">
        <f>IF(ISNUMBER($AG$80),"FNL","")</f>
        <v/>
      </c>
      <c r="J37" s="424"/>
      <c r="K37" s="424"/>
      <c r="L37" s="308"/>
      <c r="M37" s="307"/>
      <c r="O37" s="596"/>
      <c r="P37" s="596"/>
      <c r="Q37" s="310" t="str">
        <f>IF(ISNUMBER($AE$80),$I$10,"")</f>
        <v/>
      </c>
      <c r="R37" s="309" t="str">
        <f>IF(ISNUMBER($AE$80),"FNL","")</f>
        <v/>
      </c>
      <c r="S37" s="425"/>
      <c r="T37" s="424"/>
      <c r="U37" s="490"/>
      <c r="V37" s="581"/>
      <c r="W37" s="319" t="e">
        <f>IF(NOT(ISBLANK(U37)),U37,DGET('Grid Numbers'!$A$2:$L$4952,'Grid Numbers'!$L$2,$B$76:$H$77))</f>
        <v>#VALUE!</v>
      </c>
      <c r="X37" s="423" t="s">
        <v>411</v>
      </c>
      <c r="AA37" s="593"/>
      <c r="AB37" s="593"/>
      <c r="AC37" s="480"/>
      <c r="AD37" s="329"/>
      <c r="AE37" s="328"/>
      <c r="AF37" s="328"/>
      <c r="AG37" s="328"/>
      <c r="AH37" s="328"/>
      <c r="AI37" s="328"/>
      <c r="AJ37" s="328"/>
      <c r="AK37" s="328"/>
      <c r="AL37" s="328"/>
      <c r="AM37" s="328"/>
      <c r="AN37" s="328"/>
      <c r="AO37" s="328"/>
      <c r="AP37" s="328"/>
      <c r="AQ37" s="328"/>
      <c r="AR37" s="328"/>
      <c r="AS37" s="328"/>
      <c r="AT37" s="328"/>
      <c r="AV37" s="311" t="s">
        <v>186</v>
      </c>
      <c r="AW37" s="327" t="s">
        <v>426</v>
      </c>
      <c r="AX37" s="311" t="s">
        <v>427</v>
      </c>
      <c r="AY37" s="311" t="s">
        <v>12</v>
      </c>
      <c r="AZ37" s="291" t="s">
        <v>422</v>
      </c>
      <c r="BA37" s="311" t="s">
        <v>428</v>
      </c>
      <c r="BB37" s="311" t="s">
        <v>429</v>
      </c>
      <c r="BD37" s="478">
        <v>1</v>
      </c>
      <c r="BE37" s="317" t="s">
        <v>417</v>
      </c>
      <c r="BF37" s="479" t="e">
        <f>IF(AND(MAX($AE$58:$AL$58)&lt;1,ISNUMBER($AE$26), ISNUMBER($AF$26)),IF(AND($AE$26&gt;0,$AF$26&gt;0),3,IF(AND($AE$26&lt;0,IF(-$AE$26&lt;$BZ$19,$AO$62,$AO$65)&lt;0),4,IF(AND(IF(-$AF$26&lt;$AW$19,$AN$62,$AN$63)&lt;0,$AF$26&lt;0),2,""))),"")</f>
        <v>#VALUE!</v>
      </c>
      <c r="BG37" s="291">
        <v>1</v>
      </c>
      <c r="BH37" s="291">
        <v>36</v>
      </c>
      <c r="BI37" s="291">
        <v>31</v>
      </c>
      <c r="BJ37" s="291">
        <v>6</v>
      </c>
      <c r="BK37" s="291">
        <v>7</v>
      </c>
      <c r="BL37" s="291">
        <v>12</v>
      </c>
      <c r="BM37" s="291">
        <v>11</v>
      </c>
      <c r="BN37" s="291">
        <v>2</v>
      </c>
      <c r="BO37" s="291">
        <v>35</v>
      </c>
      <c r="BZ37" s="596"/>
      <c r="CA37" s="596"/>
    </row>
    <row r="38" spans="1:79" ht="12" customHeight="1" thickBot="1" x14ac:dyDescent="0.3">
      <c r="A38" s="426" t="s">
        <v>412</v>
      </c>
      <c r="B38" s="643" t="e">
        <f>IF(B34="","",IF(OR(B37=1,B37=4),180-(B34+B35/60+B36/3600),180+(B34+B35/60+B36/3600)))</f>
        <v>#VALUE!</v>
      </c>
      <c r="C38" s="598"/>
      <c r="F38" s="646"/>
      <c r="G38" s="306" t="str">
        <f>IF(ISNUMBER($AG$80),$K$10,"")</f>
        <v/>
      </c>
      <c r="H38" s="305" t="str">
        <f>IF(ISNUMBER($AG$80),"FWL","")</f>
        <v/>
      </c>
      <c r="I38" s="425"/>
      <c r="J38" s="424"/>
      <c r="K38" s="424"/>
      <c r="L38" s="763">
        <f>$N$7</f>
        <v>0</v>
      </c>
      <c r="M38" s="706"/>
      <c r="P38" s="646"/>
      <c r="Q38" s="306" t="str">
        <f>IF(ISNUMBER($AE$80),$K$10,"")</f>
        <v/>
      </c>
      <c r="R38" s="305" t="str">
        <f>IF(ISNUMBER($AE$80),"FEL","")</f>
        <v/>
      </c>
      <c r="S38" s="425"/>
      <c r="T38" s="424"/>
      <c r="U38" s="593"/>
      <c r="V38" s="581"/>
      <c r="W38" s="642" t="e">
        <f>IF(W34="","",IF(OR(W37=1,W37=4),180-(W34+W35/60+W36/3600),180+(W34+W35/60+W36/3600)))</f>
        <v>#VALUE!</v>
      </c>
      <c r="X38" s="423" t="s">
        <v>412</v>
      </c>
      <c r="AA38" s="593"/>
      <c r="AB38" s="292"/>
      <c r="AC38" s="478">
        <v>1</v>
      </c>
      <c r="AD38" s="317" t="s">
        <v>430</v>
      </c>
      <c r="AE38" s="325" t="e">
        <f>IF(AND($AS$24+$AI$10&gt;0,$AN$24+$AK$10&gt;0),$AE$24+$AI$10,"")</f>
        <v>#VALUE!</v>
      </c>
      <c r="AF38" s="325" t="e">
        <f>IF(AND($AS$24+$AI$10&gt;0,$AN$24+$AK$10&gt;0),$AF$24+$AK$10,"")</f>
        <v>#VALUE!</v>
      </c>
      <c r="AG38" s="324" t="e">
        <f>IF($AE$38="","",$AY$26+$AE$38)</f>
        <v>#VALUE!</v>
      </c>
      <c r="AH38" s="324" t="e">
        <f>IF($AF$38="","",$AZ$26+$AF$38)</f>
        <v>#VALUE!</v>
      </c>
      <c r="AI38" s="324" t="e">
        <f>IF($AE$38="","",$BG$26+$AY$26+$AE$38)</f>
        <v>#VALUE!</v>
      </c>
      <c r="AJ38" s="324" t="e">
        <f>IF($AF$38="","",$AZ$26+$BH$26+$AF$38)</f>
        <v>#VALUE!</v>
      </c>
      <c r="AK38" s="324" t="e">
        <f>IF($AE$38="","",$BW$26+$AE$38)</f>
        <v>#VALUE!</v>
      </c>
      <c r="AL38" s="324" t="e">
        <f>IF($AF$38="","",$AF$38+$BX$26)</f>
        <v>#VALUE!</v>
      </c>
      <c r="AM38" s="324" t="e">
        <f>IF($AE$38="","",$AW$22+$AE$38)</f>
        <v>#VALUE!</v>
      </c>
      <c r="AN38" s="324" t="e">
        <f>IF($AF$38="","",$AX$22+$AF$38)</f>
        <v>#VALUE!</v>
      </c>
      <c r="AO38" s="324" t="e">
        <f>IF($AE$38="","",$AY$26+$AE$38+$BE$22)</f>
        <v>#VALUE!</v>
      </c>
      <c r="AP38" s="324" t="e">
        <f>IF($AF$38="","",$AZ$26+$AF$38+$BF$22)</f>
        <v>#VALUE!</v>
      </c>
      <c r="AQ38" s="324" t="e">
        <f>IF($AE$38="","",$BW$26+$AE$38+$BQ$22)</f>
        <v>#VALUE!</v>
      </c>
      <c r="AR38" s="324" t="e">
        <f>IF($AF$38="","",$AF$38+$BX$26+$BR$22)</f>
        <v>#VALUE!</v>
      </c>
      <c r="AS38" s="324" t="e">
        <f>IF($AE$38="","",$BY$22+$AE$38)</f>
        <v>#VALUE!</v>
      </c>
      <c r="AT38" s="324" t="e">
        <f>IF($AF$38="","",$AF$38+$BZ$22)</f>
        <v>#VALUE!</v>
      </c>
      <c r="AV38" s="311" t="s">
        <v>187</v>
      </c>
      <c r="AW38" s="311" t="s">
        <v>431</v>
      </c>
      <c r="AX38" s="311" t="s">
        <v>432</v>
      </c>
      <c r="AY38" s="311" t="s">
        <v>414</v>
      </c>
      <c r="AZ38" s="291" t="s">
        <v>425</v>
      </c>
      <c r="BA38" s="311" t="s">
        <v>433</v>
      </c>
      <c r="BB38" s="311" t="s">
        <v>434</v>
      </c>
      <c r="BD38" s="478">
        <v>2</v>
      </c>
      <c r="BE38" s="317" t="s">
        <v>417</v>
      </c>
      <c r="BF38" s="479" t="e">
        <f>IF(AND(MAX($AE$58:$AL$58)&lt;1,ISNUMBER($AG$27), ISNUMBER($AH$27)),IF(AND(IF($AH$27&lt;$BC$19,$AP$63,$AP$62)&lt;0,$AH$27&gt;0),2,IF(AND($AG$27&gt;0,$AH$27&lt;0),9,IF(AND($AG$27&lt;0,IF(-$AG$27&lt;$BD$19,$AQ$63,$AQ$64)&lt;0),8,""))),"")</f>
        <v>#VALUE!</v>
      </c>
      <c r="BG38" s="291">
        <v>2</v>
      </c>
      <c r="BH38" s="291">
        <v>35</v>
      </c>
      <c r="BI38" s="291">
        <v>36</v>
      </c>
      <c r="BJ38" s="291">
        <v>1</v>
      </c>
      <c r="BK38" s="291">
        <v>12</v>
      </c>
      <c r="BL38" s="291">
        <v>11</v>
      </c>
      <c r="BM38" s="291">
        <v>10</v>
      </c>
      <c r="BN38" s="291">
        <v>3</v>
      </c>
      <c r="BO38" s="291">
        <v>34</v>
      </c>
      <c r="BZ38" s="596"/>
      <c r="CA38" s="596"/>
    </row>
    <row r="39" spans="1:79" ht="12" customHeight="1" thickBot="1" x14ac:dyDescent="0.3">
      <c r="A39" s="748" t="str">
        <f>CONCATENATE("W QC of ",$L$38)</f>
        <v>W QC of 0</v>
      </c>
      <c r="B39" s="698"/>
      <c r="C39" s="422"/>
      <c r="D39" s="421"/>
      <c r="E39" s="421"/>
      <c r="F39" s="421"/>
      <c r="G39" s="421"/>
      <c r="H39" s="421"/>
      <c r="I39" s="421"/>
      <c r="J39" s="421"/>
      <c r="K39" s="421"/>
      <c r="L39" s="764"/>
      <c r="M39" s="698"/>
      <c r="N39" s="421"/>
      <c r="O39" s="421"/>
      <c r="P39" s="421"/>
      <c r="Q39" s="421"/>
      <c r="R39" s="421"/>
      <c r="S39" s="421"/>
      <c r="T39" s="421"/>
      <c r="U39" s="421"/>
      <c r="V39" s="420"/>
      <c r="W39" s="765" t="str">
        <f>CONCATENATE("E QC of ",$L$38)</f>
        <v>E QC of 0</v>
      </c>
      <c r="X39" s="679"/>
      <c r="AA39" s="593"/>
      <c r="AB39" s="292"/>
      <c r="AC39" s="478">
        <v>2</v>
      </c>
      <c r="AD39" s="317" t="s">
        <v>430</v>
      </c>
      <c r="AE39" s="324" t="e">
        <f>IF($AG$39="","",$AG$39-$AY$26)</f>
        <v>#VALUE!</v>
      </c>
      <c r="AF39" s="324" t="e">
        <f>IF($AH$39="","",$AH$39-$AZ$26)</f>
        <v>#VALUE!</v>
      </c>
      <c r="AG39" s="325" t="e">
        <f>IF(AND($AO$24+$AI$10&gt;0,$AN$24+$AK$10&lt;0),$AG$24+$AI$10,"")</f>
        <v>#VALUE!</v>
      </c>
      <c r="AH39" s="325" t="e">
        <f>IF(AND($AO$24+$AI$10&gt;0,$AN$24+$AK$10&lt;0),$AH$24+$AK$10,"")</f>
        <v>#VALUE!</v>
      </c>
      <c r="AI39" s="324" t="e">
        <f>IF($AG$39="","",$BG$26+$AG$39)</f>
        <v>#VALUE!</v>
      </c>
      <c r="AJ39" s="324" t="e">
        <f>IF($AH$39="","",$AH$39+$BH$26)</f>
        <v>#VALUE!</v>
      </c>
      <c r="AK39" s="324" t="e">
        <f>IF($AG$39="","",$AG$39-$AY$26+$BW$26)</f>
        <v>#VALUE!</v>
      </c>
      <c r="AL39" s="324" t="e">
        <f>IF($AH$39="","",$AH$39-$AZ$26+$BX$26)</f>
        <v>#VALUE!</v>
      </c>
      <c r="AM39" s="324" t="e">
        <f>IF($AG$39="","",$AG$39-$BA$22)</f>
        <v>#VALUE!</v>
      </c>
      <c r="AN39" s="324" t="e">
        <f>IF($AH$39="","",AH$39-$BB$22)</f>
        <v>#VALUE!</v>
      </c>
      <c r="AO39" s="324" t="e">
        <f>IF($AG$39="","",$BE$22+$AG$39)</f>
        <v>#VALUE!</v>
      </c>
      <c r="AP39" s="324" t="e">
        <f>IF($AH$39="","",$AH$39+$BF$22)</f>
        <v>#VALUE!</v>
      </c>
      <c r="AQ39" s="324" t="e">
        <f>IF($AG$39="","",$BG$26+$AG$39-$BM$22)</f>
        <v>#VALUE!</v>
      </c>
      <c r="AR39" s="324" t="e">
        <f>IF($AH$39="","",$AH$39+$BH$26-$BN$22)</f>
        <v>#VALUE!</v>
      </c>
      <c r="AS39" s="324" t="e">
        <f>IF($AG$39="","",$AG$39-$AY$26+$BY$22)</f>
        <v>#VALUE!</v>
      </c>
      <c r="AT39" s="324" t="e">
        <f>IF($AH$39="","",$AH$39-$AZ$26+$BZ$22)</f>
        <v>#VALUE!</v>
      </c>
      <c r="AV39" s="311" t="s">
        <v>188</v>
      </c>
      <c r="AW39" s="311" t="s">
        <v>435</v>
      </c>
      <c r="AX39" s="311" t="s">
        <v>436</v>
      </c>
      <c r="AY39" s="311" t="s">
        <v>311</v>
      </c>
      <c r="AZ39" s="291" t="s">
        <v>424</v>
      </c>
      <c r="BA39" s="311"/>
      <c r="BB39" s="311" t="s">
        <v>437</v>
      </c>
      <c r="BD39" s="478">
        <v>3</v>
      </c>
      <c r="BE39" s="317" t="s">
        <v>417</v>
      </c>
      <c r="BF39" s="479" t="e">
        <f>IF(AND(MAX($AE$58:$AL$58)&lt;1,ISNUMBER($AI$28), ISNUMBER($AJ$28)),IF(AND($AI$28&gt;0,IF($AI$28&lt;$BJ$19,$AS$64,$AS$63)&lt;0),8,IF(AND($AI$28&lt;0,$AJ$28&lt;0),7,IF(AND(IF($AJ$28&lt;$BM$19,$AR$64,$AR$65)&lt;0,$AJ$28&gt;0),6,""))),"")</f>
        <v>#VALUE!</v>
      </c>
      <c r="BG39" s="291">
        <v>3</v>
      </c>
      <c r="BH39" s="291">
        <v>34</v>
      </c>
      <c r="BI39" s="291">
        <v>35</v>
      </c>
      <c r="BJ39" s="291">
        <v>2</v>
      </c>
      <c r="BK39" s="291">
        <v>11</v>
      </c>
      <c r="BL39" s="291">
        <v>10</v>
      </c>
      <c r="BM39" s="291">
        <v>9</v>
      </c>
      <c r="BN39" s="291">
        <v>4</v>
      </c>
      <c r="BO39" s="291">
        <v>33</v>
      </c>
      <c r="BZ39" s="596"/>
      <c r="CA39" s="596"/>
    </row>
    <row r="40" spans="1:79" ht="12" customHeight="1" x14ac:dyDescent="0.25">
      <c r="A40" s="679"/>
      <c r="B40" s="698"/>
      <c r="C40" s="419"/>
      <c r="D40" s="485" t="s">
        <v>366</v>
      </c>
      <c r="E40" s="418"/>
      <c r="F40" s="418"/>
      <c r="G40" s="418"/>
      <c r="H40" s="418"/>
      <c r="I40" s="418"/>
      <c r="J40" s="418"/>
      <c r="K40" s="418"/>
      <c r="L40" s="764"/>
      <c r="M40" s="698"/>
      <c r="N40" s="418"/>
      <c r="O40" s="418"/>
      <c r="P40" s="418"/>
      <c r="Q40" s="418"/>
      <c r="R40" s="418"/>
      <c r="S40" s="418"/>
      <c r="T40" s="418"/>
      <c r="U40" s="485" t="s">
        <v>366</v>
      </c>
      <c r="V40" s="581"/>
      <c r="W40" s="679"/>
      <c r="X40" s="679"/>
      <c r="AA40" s="593"/>
      <c r="AB40" s="292"/>
      <c r="AC40" s="478">
        <v>3</v>
      </c>
      <c r="AD40" s="317" t="s">
        <v>430</v>
      </c>
      <c r="AE40" s="324" t="e">
        <f>IF($AI$40="","",$AI$40-$BG$26-$AY$26)</f>
        <v>#VALUE!</v>
      </c>
      <c r="AF40" s="326" t="e">
        <f>IF($AJ$40="","",$AJ$40-$BH$26-$AZ$26)</f>
        <v>#VALUE!</v>
      </c>
      <c r="AG40" s="324" t="e">
        <f>IF($AI$40="","",$AI$40-$BG$26)</f>
        <v>#VALUE!</v>
      </c>
      <c r="AH40" s="324" t="e">
        <f>IF($AJ$40="","",$AJ$40-$BH$26)</f>
        <v>#VALUE!</v>
      </c>
      <c r="AI40" s="325" t="e">
        <f>IF(AND($AO$24+$AI$10&lt;0,$AR$24+$AK$10&lt;0),$AI$24+$AI$10,"")</f>
        <v>#VALUE!</v>
      </c>
      <c r="AJ40" s="325" t="e">
        <f>IF(AND($AO$24+$AI$10&lt;0,$AR$24+$AK$10&lt;0),$AJ$24+$AK$10,"")</f>
        <v>#VALUE!</v>
      </c>
      <c r="AK40" s="324" t="e">
        <f>IF($AI$40="","",$AI$40-$BO$26)</f>
        <v>#VALUE!</v>
      </c>
      <c r="AL40" s="324" t="e">
        <f>IF($AJ$40="","",$AJ$40-$BP$26)</f>
        <v>#VALUE!</v>
      </c>
      <c r="AM40" s="324" t="e">
        <f>IF($AI$40="","",$AI$40-$BG$26-$BA$26)</f>
        <v>#VALUE!</v>
      </c>
      <c r="AN40" s="324" t="e">
        <f>IF($AJ$40="","",$AJ$40-$BH$26-$BB$26)</f>
        <v>#VALUE!</v>
      </c>
      <c r="AO40" s="324" t="e">
        <f>IF($AI$40="","",$AI$40-$BI$26)</f>
        <v>#VALUE!</v>
      </c>
      <c r="AP40" s="324" t="e">
        <f>IF($AJ$40="","",$AJ$40-$BJ$26)</f>
        <v>#VALUE!</v>
      </c>
      <c r="AQ40" s="324" t="e">
        <f>IF($AI$40="","",$AI$40-$BM$26)</f>
        <v>#VALUE!</v>
      </c>
      <c r="AR40" s="324" t="e">
        <f>IF($AJ$40="","",$AJ$40-$BN$26)</f>
        <v>#VALUE!</v>
      </c>
      <c r="AS40" s="324" t="e">
        <f>IF($AI$40="","",$AI$40-$BO$26-$BU$26)</f>
        <v>#VALUE!</v>
      </c>
      <c r="AT40" s="324" t="e">
        <f>IF($AJ$40="","",$AJ$40-$BP$26-$BV$22)</f>
        <v>#VALUE!</v>
      </c>
      <c r="AV40" s="311" t="s">
        <v>189</v>
      </c>
      <c r="AW40" s="311"/>
      <c r="AX40" s="311" t="s">
        <v>438</v>
      </c>
      <c r="AY40" s="311" t="s">
        <v>413</v>
      </c>
      <c r="AZ40" s="291" t="s">
        <v>423</v>
      </c>
      <c r="BA40" s="311"/>
      <c r="BB40" s="311" t="s">
        <v>439</v>
      </c>
      <c r="BD40" s="466">
        <v>4</v>
      </c>
      <c r="BE40" s="591" t="s">
        <v>417</v>
      </c>
      <c r="BF40" s="316" t="e">
        <f>IF(AND(MAX($AE$58:$AL$58)&lt;1,ISNUMBER($AK$29), ISNUMBER($AL$29)),IF(AND(IF(-$AL$29&lt;$BS$19,$AT$65,$AT$64)&lt;0,$AL$29&lt;0),6,IF(AND($AK$29&lt;0,$AL$29&gt;0),5,IF(AND($AK$29&gt;0,IF($AK$29&lt;$BT$19,$AU$65,$AU$62)&lt;0),4,""))),"")</f>
        <v>#VALUE!</v>
      </c>
      <c r="BG40" s="291">
        <v>4</v>
      </c>
      <c r="BH40" s="291">
        <v>33</v>
      </c>
      <c r="BI40" s="291">
        <v>34</v>
      </c>
      <c r="BJ40" s="291">
        <v>3</v>
      </c>
      <c r="BK40" s="291">
        <v>10</v>
      </c>
      <c r="BL40" s="291">
        <v>9</v>
      </c>
      <c r="BM40" s="291">
        <v>8</v>
      </c>
      <c r="BN40" s="291">
        <v>5</v>
      </c>
      <c r="BO40" s="291">
        <v>32</v>
      </c>
      <c r="BZ40" s="596"/>
      <c r="CA40" s="596"/>
    </row>
    <row r="41" spans="1:79" ht="12" customHeight="1" thickBot="1" x14ac:dyDescent="0.3">
      <c r="A41" s="426" t="s">
        <v>385</v>
      </c>
      <c r="B41" s="299" t="e">
        <f>IF(NOT(ISBLANK(D41)),D41,DGET('Grid Numbers'!$A$2:$L$4952,'Grid Numbers'!$H$2,$B$70:$H$71))</f>
        <v>#VALUE!</v>
      </c>
      <c r="C41" s="598"/>
      <c r="D41" s="486"/>
      <c r="L41" s="703"/>
      <c r="M41" s="707"/>
      <c r="U41" s="486"/>
      <c r="V41" s="581"/>
      <c r="W41" s="470" t="e">
        <f>IF(NOT(ISBLANK(U41)),U41,DGET('Grid Numbers'!$A$2:$L$4952,'Grid Numbers'!$H$2,$B$78:$H$79))</f>
        <v>#VALUE!</v>
      </c>
      <c r="X41" s="423" t="s">
        <v>385</v>
      </c>
      <c r="AA41" s="593"/>
      <c r="AB41" s="292"/>
      <c r="AC41" s="466">
        <v>4</v>
      </c>
      <c r="AD41" s="591" t="s">
        <v>430</v>
      </c>
      <c r="AE41" s="322" t="e">
        <f>IF($AK$41="","",$AK$41-$BW$26)</f>
        <v>#VALUE!</v>
      </c>
      <c r="AF41" s="322" t="e">
        <f>IF($AL$41="","",$AL$41-$BX$26)</f>
        <v>#VALUE!</v>
      </c>
      <c r="AG41" s="322" t="e">
        <f>IF($AK$41="","",$AK$41+$BO$26-$BG$26)</f>
        <v>#VALUE!</v>
      </c>
      <c r="AH41" s="322" t="e">
        <f>IF($AL$41="","",$AL$41+$BP$26+$BH$26)</f>
        <v>#VALUE!</v>
      </c>
      <c r="AI41" s="322" t="e">
        <f>IF($AK$41="","",$AK$41+$BO$26)</f>
        <v>#VALUE!</v>
      </c>
      <c r="AJ41" s="322" t="e">
        <f>IF($AL$41="","",$AL$41+$BP$26)</f>
        <v>#VALUE!</v>
      </c>
      <c r="AK41" s="323" t="e">
        <f>IF(AND($AS$24+$AI$10&lt;0,$AR$24+$AK$10&gt;0),$AK$24+$AI$10,"")</f>
        <v>#VALUE!</v>
      </c>
      <c r="AL41" s="323" t="e">
        <f>IF(AND($AS$24+$AI$10&lt;0,$AR$24+$AK$10&gt;0),$AL$24+$AK$10,"")</f>
        <v>#VALUE!</v>
      </c>
      <c r="AM41" s="322" t="e">
        <f>IF($AK$41="","",$AK$41-$BW$26+$AW$22)</f>
        <v>#VALUE!</v>
      </c>
      <c r="AN41" s="322" t="e">
        <f>IF($AL$41="","",$AL$41-$BX$26+$AX$22)</f>
        <v>#VALUE!</v>
      </c>
      <c r="AO41" s="322" t="e">
        <f>IF($AK$41="","",$AK$41+$BO$26-$BI$22)</f>
        <v>#VALUE!</v>
      </c>
      <c r="AP41" s="322" t="e">
        <f>IF($AL$41="","",$AL$41+$BP$26-$BJ$22)</f>
        <v>#VALUE!</v>
      </c>
      <c r="AQ41" s="322" t="e">
        <f>IF($AK$41="","",$AK$41+$BQ$22)</f>
        <v>#VALUE!</v>
      </c>
      <c r="AR41" s="322" t="e">
        <f>IF($AL$41="","",$AL$41+$BR$22)</f>
        <v>#VALUE!</v>
      </c>
      <c r="AS41" s="322" t="e">
        <f>IF($AK$41="","",$AK$41-$BU$22)</f>
        <v>#VALUE!</v>
      </c>
      <c r="AT41" s="322" t="e">
        <f>IF($AL$41="","",$AL$41-$BV$22)</f>
        <v>#VALUE!</v>
      </c>
      <c r="AV41" s="311"/>
      <c r="AW41" s="311"/>
      <c r="AX41" s="311"/>
      <c r="AY41" s="311"/>
      <c r="AZ41" s="311"/>
      <c r="BA41" s="311"/>
      <c r="BB41" s="311" t="s">
        <v>440</v>
      </c>
      <c r="BD41" s="478">
        <v>1</v>
      </c>
      <c r="BE41" s="317" t="s">
        <v>419</v>
      </c>
      <c r="BF41" s="479" t="e">
        <f>IF(AND(MAX($AE$69:$AL$69)&lt;1,ISNUMBER($AE$32), ISNUMBER($AF$32)),IF(AND($AE$32&gt;0,$AF$32&gt;0),3,IF(AND($AE$32&lt;0,IF(-$AE$32&lt;$BZ$19,$AO$73,$AO$76)&lt;0),4,IF(AND(IF(-$AF$32&lt;$AW$19,$AN$73,$AN$74)&lt;0,$AF$32&lt;0),2,""))),"")</f>
        <v>#VALUE!</v>
      </c>
      <c r="BG41" s="291">
        <v>5</v>
      </c>
      <c r="BH41" s="291">
        <v>32</v>
      </c>
      <c r="BI41" s="291">
        <v>33</v>
      </c>
      <c r="BJ41" s="291">
        <v>4</v>
      </c>
      <c r="BK41" s="291">
        <v>9</v>
      </c>
      <c r="BL41" s="291">
        <v>8</v>
      </c>
      <c r="BM41" s="291">
        <v>7</v>
      </c>
      <c r="BN41" s="291">
        <v>6</v>
      </c>
      <c r="BO41" s="291">
        <v>31</v>
      </c>
      <c r="BZ41" s="596"/>
      <c r="CA41" s="596"/>
    </row>
    <row r="42" spans="1:79" ht="12" customHeight="1" x14ac:dyDescent="0.25">
      <c r="A42" s="426" t="s">
        <v>395</v>
      </c>
      <c r="B42" s="293" t="e">
        <f>IF(NOT(ISBLANK(D42)),D42,DGET('Grid Numbers'!$A$2:$L$4952,'Grid Numbers'!$I$2,$B$70:$H$71))</f>
        <v>#VALUE!</v>
      </c>
      <c r="C42" s="598"/>
      <c r="D42" s="486"/>
      <c r="G42" s="747" t="s">
        <v>441</v>
      </c>
      <c r="H42" s="735"/>
      <c r="L42" s="308"/>
      <c r="M42" s="307"/>
      <c r="Q42" s="747" t="s">
        <v>442</v>
      </c>
      <c r="R42" s="735"/>
      <c r="U42" s="486"/>
      <c r="V42" s="581"/>
      <c r="W42" s="471" t="e">
        <f>IF(NOT(ISBLANK(U42)),U42,DGET('Grid Numbers'!$A$2:$L$4952,'Grid Numbers'!$I$2,$B$78:$H$79))</f>
        <v>#VALUE!</v>
      </c>
      <c r="X42" s="423" t="s">
        <v>395</v>
      </c>
      <c r="AA42" s="593"/>
      <c r="AB42" s="292"/>
      <c r="AC42" s="762"/>
      <c r="AD42" s="683"/>
      <c r="AE42" s="321" t="str">
        <f>IF(ISNUMBER($AE$38),AE$38,IF(ISNUMBER($AG$39),AE$39,IF(ISNUMBER($AI$40),AE$40,IF(ISNUMBER($AK$41),AE$41,""))))</f>
        <v/>
      </c>
      <c r="AF42" s="321" t="str">
        <f>IF(ISNUMBER($AF$38),AF$38,IF(ISNUMBER($AH$39),AF$39,IF(ISNUMBER($AJ$40),AF$40,IF(ISNUMBER($AL$41),AF$41,""))))</f>
        <v/>
      </c>
      <c r="AG42" s="321" t="str">
        <f>IF(ISNUMBER($AE$38),AG$38,IF(ISNUMBER($AG$39),AG$39,IF(ISNUMBER($AI$40),AG$40,IF(ISNUMBER($AK$41),AG$41,""))))</f>
        <v/>
      </c>
      <c r="AH42" s="321" t="str">
        <f>IF(ISNUMBER($AF$38),AH$38,IF(ISNUMBER($AH$39),AH$39,IF(ISNUMBER($AJ$40),AH$40,IF(ISNUMBER($AL$41),AH$41,""))))</f>
        <v/>
      </c>
      <c r="AI42" s="321" t="str">
        <f>IF(ISNUMBER($AE$38),AI$38,IF(ISNUMBER($AG$39),AI$39,IF(ISNUMBER($AI$40),AI$40,IF(ISNUMBER($AK$41),AI$41,""))))</f>
        <v/>
      </c>
      <c r="AJ42" s="321" t="str">
        <f>IF(ISNUMBER($AF$38),AJ$38,IF(ISNUMBER($AH$39),AJ$39,IF(ISNUMBER($AJ$40),AJ$40,IF(ISNUMBER($AL$41),AJ$41,""))))</f>
        <v/>
      </c>
      <c r="AK42" s="321" t="str">
        <f>IF(ISNUMBER($AE$38),AK$38,IF(ISNUMBER($AG$39),AK$39,IF(ISNUMBER($AI$40),AK$40,IF(ISNUMBER($AK$41),AK$41,""))))</f>
        <v/>
      </c>
      <c r="AL42" s="321" t="str">
        <f>IF(ISNUMBER($AF$38),AL$38,IF(ISNUMBER($AH$39),AL$39,IF(ISNUMBER($AJ$40),AL$40,IF(ISNUMBER($AL$41),AL$41,""))))</f>
        <v/>
      </c>
      <c r="AM42" s="321" t="str">
        <f>IF(ISNUMBER($AE$38),AM$38,IF(ISNUMBER($AG$39),AM$39,IF(ISNUMBER($AI$40),AM$40,IF(ISNUMBER($AK$41),AM$41,""))))</f>
        <v/>
      </c>
      <c r="AN42" s="321" t="str">
        <f>IF(ISNUMBER($AF$38),AN$38,IF(ISNUMBER($AH$39),AN$39,IF(ISNUMBER($AJ$40),AN$40,IF(ISNUMBER($AL$41),AN$41,""))))</f>
        <v/>
      </c>
      <c r="AO42" s="321" t="str">
        <f>IF(ISNUMBER($AE$38),AO$38,IF(ISNUMBER($AG$39),AO$39,IF(ISNUMBER($AI$40),AO$40,IF(ISNUMBER($AK$41),AO$41,""))))</f>
        <v/>
      </c>
      <c r="AP42" s="321" t="str">
        <f>IF(ISNUMBER($AF$38),AP$38,IF(ISNUMBER($AH$39),AP$39,IF(ISNUMBER($AJ$40),AP$40,IF(ISNUMBER($AL$41),AP$41,""))))</f>
        <v/>
      </c>
      <c r="AQ42" s="321" t="str">
        <f>IF(ISNUMBER($AE$38),AQ$38,IF(ISNUMBER($AG$39),AQ$39,IF(ISNUMBER($AI$40),AQ$40,IF(ISNUMBER($AK$41),AQ$41,""))))</f>
        <v/>
      </c>
      <c r="AR42" s="321" t="str">
        <f>IF(ISNUMBER($AF$38),AR$38,IF(ISNUMBER($AH$39),AR$39,IF(ISNUMBER($AJ$40),AR$40,IF(ISNUMBER($AL$41),AR$41,""))))</f>
        <v/>
      </c>
      <c r="AS42" s="321" t="str">
        <f>IF(ISNUMBER($AE$38),AS$38,IF(ISNUMBER($AG$39),AS$39,IF(ISNUMBER($AI$40),AS$40,IF(ISNUMBER($AK$41),AS$41,""))))</f>
        <v/>
      </c>
      <c r="AT42" s="321" t="str">
        <f>IF(ISNUMBER($AF$38),AT$38,IF(ISNUMBER($AH$39),AT$39,IF(ISNUMBER($AJ$40),AT$40,IF(ISNUMBER($AL$41),AT$41,""))))</f>
        <v/>
      </c>
      <c r="AV42" s="311"/>
      <c r="AW42" s="311"/>
      <c r="AX42" s="311"/>
      <c r="AY42" s="311"/>
      <c r="AZ42" s="311"/>
      <c r="BA42" s="311"/>
      <c r="BB42" s="311" t="s">
        <v>443</v>
      </c>
      <c r="BD42" s="478">
        <v>2</v>
      </c>
      <c r="BE42" s="317" t="s">
        <v>419</v>
      </c>
      <c r="BF42" s="479" t="e">
        <f>IF(AND(MAX($AE$69:$AL$69)&lt;1,ISNUMBER($AG$33), ISNUMBER($AH$33)),IF(AND(IF($AH$33&lt;$BC$19,$AP$74,$AP$73)&lt;0,$AH$33&gt;0),2,IF(AND($AG$33&gt;0,$AH$33&lt;0),9,IF(AND($AG$33&lt;0,IF(-$AG$33&lt;$BD$19,$AQ$74,$AQ$75)&lt;0),8,""))),"")</f>
        <v>#VALUE!</v>
      </c>
      <c r="BG42" s="291">
        <v>6</v>
      </c>
      <c r="BH42" s="291">
        <v>31</v>
      </c>
      <c r="BI42" s="291">
        <v>32</v>
      </c>
      <c r="BJ42" s="291">
        <v>5</v>
      </c>
      <c r="BK42" s="291">
        <v>8</v>
      </c>
      <c r="BL42" s="291">
        <v>7</v>
      </c>
      <c r="BM42" s="291">
        <v>12</v>
      </c>
      <c r="BN42" s="291">
        <v>1</v>
      </c>
      <c r="BO42" s="291">
        <v>36</v>
      </c>
      <c r="BZ42" s="596"/>
      <c r="CA42" s="596"/>
    </row>
    <row r="43" spans="1:79" ht="12" customHeight="1" x14ac:dyDescent="0.25">
      <c r="A43" s="426" t="s">
        <v>398</v>
      </c>
      <c r="B43" s="293" t="e">
        <f>IF(NOT(ISBLANK(D43)),D43,DGET('Grid Numbers'!$A$2:$L$4952,'Grid Numbers'!$J$2,$B$70:$H$71))</f>
        <v>#VALUE!</v>
      </c>
      <c r="C43" s="598"/>
      <c r="D43" s="486"/>
      <c r="G43" s="320" t="str">
        <f>IF(ISNUMBER($AI$48),$B$7,"")</f>
        <v/>
      </c>
      <c r="H43" s="312" t="str">
        <f>IF(AND(G44="",G44=""),"",IF($AI$48=1,"NE/SW",IF($AI$48=2,"NW/SW",IF($AI$48=3,"SW/SW",IF($AI$48=4,"SE/SW","")))))</f>
        <v/>
      </c>
      <c r="L43" s="308"/>
      <c r="M43" s="307"/>
      <c r="Q43" s="320" t="str">
        <f>IF(ISNUMBER($AK$48),$B$7,"")</f>
        <v/>
      </c>
      <c r="R43" s="312" t="str">
        <f>IF(AND(Q44="",Q44=""),"",IF($AK$48=1,"NE/SE",IF($AK$48=2,"NW/SE",IF($AK$48=3,"SW/SE",IF($AK$48=4,"SE/SE","")))))</f>
        <v/>
      </c>
      <c r="U43" s="486"/>
      <c r="V43" s="581"/>
      <c r="W43" s="471" t="e">
        <f>IF(NOT(ISBLANK(U43)),U43,DGET('Grid Numbers'!$A$2:$L$4952,'Grid Numbers'!$J$2,$B$78:$H$79))</f>
        <v>#VALUE!</v>
      </c>
      <c r="X43" s="423" t="s">
        <v>398</v>
      </c>
      <c r="AA43" s="593"/>
      <c r="AB43" s="292"/>
      <c r="AV43" s="311"/>
      <c r="AW43" s="311"/>
      <c r="AX43" s="311"/>
      <c r="AY43" s="311"/>
      <c r="AZ43" s="311"/>
      <c r="BA43" s="311"/>
      <c r="BB43" s="311" t="s">
        <v>444</v>
      </c>
      <c r="BD43" s="478">
        <v>3</v>
      </c>
      <c r="BE43" s="317" t="s">
        <v>419</v>
      </c>
      <c r="BF43" s="479" t="e">
        <f>IF(AND(MAX($AE$69:$AL$69)&lt;1,ISNUMBER($AI$34), ISNUMBER($AJ$34)),IF(AND($AI$34&gt;0,IF($AI$34&lt;$BJ$19,$AS$75,$AS$74)&lt;0),8,IF(AND($AI$34&lt;0,$AJ$34&lt;0),7,IF(AND(IF($AJ$34&lt;$BM$19,$AR$75,$AR$76)&lt;0,$AJ$34&gt;0),6,""))),"")</f>
        <v>#VALUE!</v>
      </c>
      <c r="BG43" s="291">
        <v>7</v>
      </c>
      <c r="BH43" s="291">
        <v>6</v>
      </c>
      <c r="BI43" s="291">
        <v>5</v>
      </c>
      <c r="BJ43" s="291">
        <v>8</v>
      </c>
      <c r="BK43" s="291">
        <v>17</v>
      </c>
      <c r="BL43" s="291">
        <v>18</v>
      </c>
      <c r="BM43" s="291">
        <v>13</v>
      </c>
      <c r="BN43" s="291">
        <v>12</v>
      </c>
      <c r="BO43" s="291">
        <v>1</v>
      </c>
      <c r="BZ43" s="596"/>
      <c r="CA43" s="596"/>
    </row>
    <row r="44" spans="1:79" ht="12" customHeight="1" x14ac:dyDescent="0.25">
      <c r="A44" s="426" t="s">
        <v>410</v>
      </c>
      <c r="B44" s="293" t="e">
        <f>IF(NOT(ISBLANK(D44)),D44,DGET('Grid Numbers'!$A$2:$L$4952,'Grid Numbers'!$K$2,$B$70:$H$71))</f>
        <v>#VALUE!</v>
      </c>
      <c r="C44" s="598"/>
      <c r="D44" s="487"/>
      <c r="G44" s="309" t="str">
        <f>IF(ISNUMBER($AI$48),$I$7,"")</f>
        <v/>
      </c>
      <c r="H44" s="309" t="str">
        <f>IF(ISNUMBER($AI$48),"FSL","")</f>
        <v/>
      </c>
      <c r="J44" s="596"/>
      <c r="K44" s="596"/>
      <c r="L44" s="308"/>
      <c r="M44" s="307"/>
      <c r="Q44" s="309" t="str">
        <f>IF(ISNUMBER($AK$48),$I$7,"")</f>
        <v/>
      </c>
      <c r="R44" s="309" t="str">
        <f>IF(ISNUMBER($AK$48),"FSL","")</f>
        <v/>
      </c>
      <c r="T44" s="596"/>
      <c r="U44" s="487"/>
      <c r="V44" s="581"/>
      <c r="W44" s="471" t="e">
        <f>IF(NOT(ISBLANK(U44)),U44,DGET('Grid Numbers'!$A$2:$L$4952,'Grid Numbers'!$K$2,$B$78:$H$79))</f>
        <v>#VALUE!</v>
      </c>
      <c r="X44" s="423" t="s">
        <v>410</v>
      </c>
      <c r="AA44" s="593"/>
      <c r="AB44" s="292"/>
      <c r="AV44" s="311"/>
      <c r="AW44" s="311"/>
      <c r="AX44" s="311"/>
      <c r="AY44" s="311"/>
      <c r="AZ44" s="311"/>
      <c r="BA44" s="311"/>
      <c r="BB44" s="311" t="s">
        <v>445</v>
      </c>
      <c r="BD44" s="466">
        <v>4</v>
      </c>
      <c r="BE44" s="591" t="s">
        <v>419</v>
      </c>
      <c r="BF44" s="316" t="e">
        <f>IF(AND(MAX($AE$69:$AL$69)&lt;1,ISNUMBER($AK$35), ISNUMBER($AL$35)),IF(AND(IF(-$AL$35&lt;$BS$19,$AT$76,$AT$75)&lt;0,$AL$35&lt;0),6,IF(AND($AK$35&lt;0,$AL$35&gt;0),5,IF(AND($AK$35&gt;0,IF($AK$35&lt;$BT$19,$AU$76,$AU$73)&lt;0),4,""))),"")</f>
        <v>#VALUE!</v>
      </c>
      <c r="BG44" s="291">
        <v>8</v>
      </c>
      <c r="BH44" s="291">
        <v>5</v>
      </c>
      <c r="BI44" s="291">
        <v>4</v>
      </c>
      <c r="BJ44" s="291">
        <v>9</v>
      </c>
      <c r="BK44" s="291">
        <v>16</v>
      </c>
      <c r="BL44" s="291">
        <v>17</v>
      </c>
      <c r="BM44" s="291">
        <v>18</v>
      </c>
      <c r="BN44" s="291">
        <v>7</v>
      </c>
      <c r="BO44" s="291">
        <v>6</v>
      </c>
      <c r="BZ44" s="596"/>
      <c r="CA44" s="596"/>
    </row>
    <row r="45" spans="1:79" ht="12" customHeight="1" x14ac:dyDescent="0.25">
      <c r="A45" s="426" t="s">
        <v>411</v>
      </c>
      <c r="B45" s="319" t="e">
        <f>IF(NOT(ISBLANK(D45)),D45,DGET('Grid Numbers'!$A$2:$L$4952,'Grid Numbers'!$L$2,$B$70:$H$71))</f>
        <v>#VALUE!</v>
      </c>
      <c r="C45" s="598"/>
      <c r="D45" s="490"/>
      <c r="G45" s="305" t="str">
        <f>IF(ISNUMBER($AI$48),$K$7,"")</f>
        <v/>
      </c>
      <c r="H45" s="305" t="str">
        <f>IF(ISNUMBER($AI$48),"FWL","")</f>
        <v/>
      </c>
      <c r="J45" s="596"/>
      <c r="K45" s="596"/>
      <c r="L45" s="308"/>
      <c r="M45" s="307"/>
      <c r="Q45" s="305" t="str">
        <f>IF(ISNUMBER($AK$48),$K$7,"")</f>
        <v/>
      </c>
      <c r="R45" s="305" t="str">
        <f>IF(ISNUMBER($AK$48),"FEL","")</f>
        <v/>
      </c>
      <c r="T45" s="596"/>
      <c r="U45" s="490"/>
      <c r="V45" s="581"/>
      <c r="W45" s="319" t="e">
        <f>IF(NOT(ISBLANK(U45)),U45,DGET('Grid Numbers'!$A$2:$L$4952,'Grid Numbers'!$L$2,$B$78:$H$79))</f>
        <v>#VALUE!</v>
      </c>
      <c r="X45" s="423" t="s">
        <v>411</v>
      </c>
      <c r="AA45" s="593"/>
      <c r="AB45" s="292"/>
      <c r="AC45" s="317"/>
      <c r="AD45" s="317"/>
      <c r="AE45" s="772" t="s">
        <v>446</v>
      </c>
      <c r="AF45" s="683"/>
      <c r="AG45" s="768" t="s">
        <v>447</v>
      </c>
      <c r="AH45" s="682"/>
      <c r="AI45" s="772" t="s">
        <v>448</v>
      </c>
      <c r="AJ45" s="683"/>
      <c r="AK45" s="772" t="s">
        <v>449</v>
      </c>
      <c r="AL45" s="683"/>
      <c r="AV45" s="311"/>
      <c r="AW45" s="311"/>
      <c r="AX45" s="311"/>
      <c r="AY45" s="311"/>
      <c r="AZ45" s="311"/>
      <c r="BA45" s="311"/>
      <c r="BB45" s="311" t="s">
        <v>450</v>
      </c>
      <c r="BD45" s="478">
        <v>1</v>
      </c>
      <c r="BE45" s="317" t="s">
        <v>430</v>
      </c>
      <c r="BF45" s="479" t="e">
        <f>IF(AND(MAX($AE$80:$AL$80)&lt;1,ISNUMBER($AE$38), ISNUMBER($AF$38)),IF(AND($AE$38&gt;0,$AF$38&gt;0),3,IF(AND($AE$38&lt;0,IF(-$AE$38&lt;$BZ$19,$AO$84,$AO$87)&lt;0),4,IF(AND(IF(-$AF$38&lt;$AW$19,$AN$84,$AN$85)&lt;0,$AF$38&lt;0),2,""))),"")</f>
        <v>#VALUE!</v>
      </c>
      <c r="BG45" s="291">
        <v>9</v>
      </c>
      <c r="BH45" s="291">
        <v>4</v>
      </c>
      <c r="BI45" s="291">
        <v>3</v>
      </c>
      <c r="BJ45" s="291">
        <v>10</v>
      </c>
      <c r="BK45" s="291">
        <v>15</v>
      </c>
      <c r="BL45" s="291">
        <v>16</v>
      </c>
      <c r="BM45" s="291">
        <v>17</v>
      </c>
      <c r="BN45" s="291">
        <v>8</v>
      </c>
      <c r="BO45" s="291">
        <v>5</v>
      </c>
      <c r="BZ45" s="596"/>
      <c r="CA45" s="596"/>
    </row>
    <row r="46" spans="1:79" ht="12" customHeight="1" x14ac:dyDescent="0.25">
      <c r="A46" s="426" t="s">
        <v>412</v>
      </c>
      <c r="B46" s="643" t="e">
        <f>IF(B42="","",IF(OR(B45=1,B45=4),180-(B42+B43/60+B44/3600),180+(B42+B43/60+B44/3600)))</f>
        <v>#VALUE!</v>
      </c>
      <c r="C46" s="598"/>
      <c r="G46" s="313" t="str">
        <f>IF(ISNUMBER($AI$58),$B$8,"")</f>
        <v/>
      </c>
      <c r="H46" s="312" t="str">
        <f>IF(AND(G47="",G48=""),"",IF($AI$58=1,"NE/SW",IF($AI$58=2,"NW/SW",IF($AI$58=3,"SW/SW",IF($AI$58=4,"SE/SW","")))))</f>
        <v/>
      </c>
      <c r="I46" s="425"/>
      <c r="J46" s="424"/>
      <c r="K46" s="424"/>
      <c r="L46" s="308"/>
      <c r="M46" s="307"/>
      <c r="Q46" s="313" t="str">
        <f>IF(ISNUMBER($AK$58),$B$8,"")</f>
        <v/>
      </c>
      <c r="R46" s="312" t="str">
        <f>IF(AND(Q47="",Q48=""),"",IF($AK$58=1,"NE/SE",IF($AK$58=2,"NW/SE",IF($AK$58=3,"SW/SE",IF($AK$58=4,"SE/SE","")))))</f>
        <v/>
      </c>
      <c r="S46" s="425"/>
      <c r="T46" s="424"/>
      <c r="U46" s="459"/>
      <c r="V46" s="581"/>
      <c r="W46" s="642" t="e">
        <f>IF(W42="","",IF(OR(W45=1,W45=4),180-(W42+W43/60+W44/3600),180+(W42+W43/60+W44/3600)))</f>
        <v>#VALUE!</v>
      </c>
      <c r="X46" s="423" t="s">
        <v>412</v>
      </c>
      <c r="AA46" s="593"/>
      <c r="AB46" s="292"/>
      <c r="AD46" s="317"/>
      <c r="AE46" s="772">
        <v>1</v>
      </c>
      <c r="AF46" s="683"/>
      <c r="AG46" s="772">
        <v>2</v>
      </c>
      <c r="AH46" s="683"/>
      <c r="AI46" s="772">
        <v>3</v>
      </c>
      <c r="AJ46" s="683"/>
      <c r="AK46" s="772">
        <v>4</v>
      </c>
      <c r="AL46" s="683"/>
      <c r="AV46" s="311"/>
      <c r="AW46" s="311"/>
      <c r="AX46" s="311"/>
      <c r="AY46" s="311"/>
      <c r="AZ46" s="311"/>
      <c r="BA46" s="311"/>
      <c r="BB46" s="311" t="s">
        <v>451</v>
      </c>
      <c r="BD46" s="478">
        <v>2</v>
      </c>
      <c r="BE46" s="317" t="s">
        <v>430</v>
      </c>
      <c r="BF46" s="479" t="e">
        <f>IF(AND(MAX($AE$80:$AL$80)&lt;1,ISNUMBER($AG$39), ISNUMBER($AH$39)),IF(AND(IF($AH$39&lt;$BC$19,$AP$85,$AP$84)&lt;0,$AH$39&gt;0),2,IF(AND($AG$39&gt;0,$AH$39&lt;0),9,IF(AND($AG$39&lt;0,IF(-$AG$39&lt;$BD$19,$AQ$85,$AQ$86)&lt;0),8,""))),"")</f>
        <v>#VALUE!</v>
      </c>
      <c r="BG46" s="291">
        <v>10</v>
      </c>
      <c r="BH46" s="291">
        <v>3</v>
      </c>
      <c r="BI46" s="291">
        <v>2</v>
      </c>
      <c r="BJ46" s="291">
        <v>11</v>
      </c>
      <c r="BK46" s="291">
        <v>14</v>
      </c>
      <c r="BL46" s="291">
        <v>15</v>
      </c>
      <c r="BM46" s="291">
        <v>16</v>
      </c>
      <c r="BN46" s="291">
        <v>9</v>
      </c>
      <c r="BO46" s="291">
        <v>4</v>
      </c>
      <c r="BZ46" s="596"/>
      <c r="CA46" s="596"/>
    </row>
    <row r="47" spans="1:79" ht="12" customHeight="1" x14ac:dyDescent="0.25">
      <c r="C47" s="598"/>
      <c r="G47" s="310" t="str">
        <f>IF(ISNUMBER($AI$58),$I$8,"")</f>
        <v/>
      </c>
      <c r="H47" s="309" t="str">
        <f>IF(ISNUMBER($AI$58),"FSL","")</f>
        <v/>
      </c>
      <c r="I47" s="425"/>
      <c r="J47" s="424"/>
      <c r="K47" s="424"/>
      <c r="L47" s="308"/>
      <c r="M47" s="307"/>
      <c r="Q47" s="310" t="str">
        <f>IF(ISNUMBER($AK$58),$I$8,"")</f>
        <v/>
      </c>
      <c r="R47" s="309" t="str">
        <f>IF(ISNUMBER($AK$58),"FSL","")</f>
        <v/>
      </c>
      <c r="S47" s="425"/>
      <c r="T47" s="424"/>
      <c r="V47" s="581"/>
      <c r="AA47" s="593"/>
      <c r="AE47" s="761" t="s">
        <v>452</v>
      </c>
      <c r="AF47" s="757"/>
      <c r="AG47" s="767" t="s">
        <v>452</v>
      </c>
      <c r="AH47" s="735"/>
      <c r="AI47" s="761" t="s">
        <v>452</v>
      </c>
      <c r="AJ47" s="757"/>
      <c r="AK47" s="761" t="s">
        <v>452</v>
      </c>
      <c r="AL47" s="757"/>
      <c r="AV47" s="311"/>
      <c r="AW47" s="311"/>
      <c r="AX47" s="311"/>
      <c r="AY47" s="311"/>
      <c r="AZ47" s="311"/>
      <c r="BA47" s="311"/>
      <c r="BB47" s="311" t="s">
        <v>453</v>
      </c>
      <c r="BD47" s="478">
        <v>3</v>
      </c>
      <c r="BE47" s="317" t="s">
        <v>430</v>
      </c>
      <c r="BF47" s="479" t="e">
        <f>IF(AND(MAX($AE$80:$AL$80)&lt;1,ISNUMBER($AI$40), ISNUMBER($AJ$40)),IF(AND($AI$40&gt;0,IF($AI$40&lt;$BJ$19,$AS$86,$AS$85)&lt;0),8,IF(AND($AI$40&lt;0,$AJ$40&lt;0),7,IF(AND(IF($AJ$40&lt;$BM$19,$AR$86,$AR$87)&lt;0,$AJ$40&gt;0),6,""))),"")</f>
        <v>#VALUE!</v>
      </c>
      <c r="BG47" s="291">
        <v>11</v>
      </c>
      <c r="BH47" s="291">
        <v>2</v>
      </c>
      <c r="BI47" s="291">
        <v>1</v>
      </c>
      <c r="BJ47" s="291">
        <v>12</v>
      </c>
      <c r="BK47" s="291">
        <v>13</v>
      </c>
      <c r="BL47" s="291">
        <v>14</v>
      </c>
      <c r="BM47" s="291">
        <v>15</v>
      </c>
      <c r="BN47" s="291">
        <v>10</v>
      </c>
      <c r="BO47" s="291">
        <v>3</v>
      </c>
      <c r="BZ47" s="596"/>
      <c r="CA47" s="596"/>
    </row>
    <row r="48" spans="1:79" ht="12" customHeight="1" x14ac:dyDescent="0.25">
      <c r="C48" s="598"/>
      <c r="D48" s="485" t="s">
        <v>366</v>
      </c>
      <c r="G48" s="306" t="str">
        <f>IF(ISNUMBER($AI$58),$K$8,"")</f>
        <v/>
      </c>
      <c r="H48" s="305" t="str">
        <f>IF(ISNUMBER($AI$58),"FWL","")</f>
        <v/>
      </c>
      <c r="I48" s="425"/>
      <c r="J48" s="424"/>
      <c r="K48" s="424"/>
      <c r="L48" s="308"/>
      <c r="M48" s="307"/>
      <c r="Q48" s="306" t="str">
        <f>IF(ISNUMBER($AK$58),$K$8,"")</f>
        <v/>
      </c>
      <c r="R48" s="305" t="str">
        <f>IF(ISNUMBER($AK$58),"FEL","")</f>
        <v/>
      </c>
      <c r="S48" s="425"/>
      <c r="T48" s="424"/>
      <c r="U48" s="485" t="s">
        <v>366</v>
      </c>
      <c r="V48" s="581"/>
      <c r="AA48" s="593"/>
      <c r="AE48" s="762" t="e">
        <f>IF(AND($J$7=1,$L$7=1,$I$7/$AX$28&lt;$BY$22-($K$7/$BX$28+$BZ$22)*$AW$22/$AX$22,$K$7/$BX$28&lt;$AX$22-($I$7/$AX$28+$AW$22)*$BZ$22/$BY$22),IF(AND($I$7/$AX$28&gt;$BZ$19-$AV$19,$K$7/$BX$28&gt;$AW$19-$CA$19),3,IF(AND($I$7/$AX$28&lt;$BZ$19-$AV$19,$K$7/$BZ$28&gt;$AW$19-$CA$19),2,IF(AND($I$7/$AV$28&gt;$BZ$19-$AV$19,$K$7/$BX$28&lt;$AW$19-$CA$19),4,1))),"")</f>
        <v>#VALUE!</v>
      </c>
      <c r="AF48" s="683"/>
      <c r="AG48" s="762" t="e">
        <f>IF(AND($J$7=1,$L$7=2,$I$7/$AZ$28&lt;$BE$22+($K$7/$BF$28-$BF$22)*$BA$22/$BB$22,$K$7/$BF$28&lt;$BB$22+($I$7/$AZ$28-$BA$22)*$BF$22/$BE$22),IF(AND($I$7/$AZ$28&gt;$BD$19+$BB$19,$K$7/$BF$28&gt;$BC$19+$BE$19),4,IF(AND($I$7/$AZ$28&lt;$BD$19+$BB$19,$K$7/$BD$28&gt;$BC$19+$BE$19),1,IF(AND($I$7/$BB$28&gt;$BD$19+$BB$19,$K$7/$BF$28&lt;$BC$19+$BE$19),3,2))),"")</f>
        <v>#VALUE!</v>
      </c>
      <c r="AH48" s="683"/>
      <c r="AI48" s="762" t="e">
        <f>IF(AND($J$7=2,$L$7=2,$I$7/$BN$28&lt;$BI$22-($K$7/$BH$28+$BJ$22)*$BM$22/$BN$22,$K$7/$BH$28&lt;$BN$22-($I$7/$BN$28+$BM$22)*$BJ$22/$BI$22),IF(AND($I$7/$BN$28&gt;$BJ$19-$BL$19,$K$7/$BH$28&gt;$BM$19-$BK$19),1,IF(AND($I$7/$BL$28&gt;$BJ$19-$BL$19,$K$7/$BH$28&lt;$BM$19-$BK$19),2,IF(AND($I$7/$BL$28&lt;$BJ$19-$BL$19,$K$7/$BJ$28&lt;$BM$19-$BK$19),3,4))),"")</f>
        <v>#VALUE!</v>
      </c>
      <c r="AJ48" s="683"/>
      <c r="AK48" s="762" t="e">
        <f>IF(AND($J$7=2,$L$7=1,$I$7/$BP$28&lt;$BU$22+($K$7/$BV$28-$BV$22)*$BQ$22/$BR$22,$K$7/$BV$28&lt;$BR$22+($I$7/$BP$28-$BQ$22)*$BV$22/$BU$22),IF(AND($I$7/$BR$28&gt;$BT$19+$BR$19,$K$7/$BV$28&lt;$BS$19+$BU$19),1,IF(AND($I$7/$BP$28&gt;$BT$19+$BR$19,$K$7/$BT$28&gt;$BS$19+$BU$19),2,IF(AND($I$7/$BP$28&lt;$BT$19+$BR$19,$K$7/$BT$28&gt;$BS$19+$BU$19),3,4))),"")</f>
        <v>#VALUE!</v>
      </c>
      <c r="AL48" s="683"/>
      <c r="AV48" s="311"/>
      <c r="AW48" s="311"/>
      <c r="AX48" s="311"/>
      <c r="AY48" s="311"/>
      <c r="AZ48" s="311"/>
      <c r="BA48" s="311"/>
      <c r="BB48" s="311" t="s">
        <v>454</v>
      </c>
      <c r="BD48" s="466">
        <v>4</v>
      </c>
      <c r="BE48" s="591" t="s">
        <v>430</v>
      </c>
      <c r="BF48" s="316" t="e">
        <f>IF(AND(MAX($AE$80:$AL$80)&lt;1,ISNUMBER($AK$41), ISNUMBER($AL$41)),IF(AND(IF(-$AL$41&lt;$BS$19,$AT$87,$AT$86)&lt;0,$AL$41&lt;0),6,IF(AND($AK$41&lt;0,$AL$41&gt;0),5,IF(AND($AK$41&gt;0,IF($AK$41&lt;$BT$19,$AU$87,$AU$84)&lt;0),4,""))),"")</f>
        <v>#VALUE!</v>
      </c>
      <c r="BG48" s="291">
        <v>12</v>
      </c>
      <c r="BH48" s="291">
        <v>1</v>
      </c>
      <c r="BI48" s="291">
        <v>6</v>
      </c>
      <c r="BJ48" s="291">
        <v>7</v>
      </c>
      <c r="BK48" s="291">
        <v>18</v>
      </c>
      <c r="BL48" s="291">
        <v>13</v>
      </c>
      <c r="BM48" s="291">
        <v>14</v>
      </c>
      <c r="BN48" s="291">
        <v>11</v>
      </c>
      <c r="BO48" s="291">
        <v>2</v>
      </c>
      <c r="BZ48" s="596"/>
      <c r="CA48" s="596"/>
    </row>
    <row r="49" spans="1:79" ht="12" customHeight="1" x14ac:dyDescent="0.25">
      <c r="A49" s="426" t="s">
        <v>385</v>
      </c>
      <c r="B49" s="299" t="e">
        <f>IF(NOT(ISBLANK(D49)),D49,DGET('Grid Numbers'!$A$2:$L$4952,'Grid Numbers'!$H$2,$B$72:$H$73))</f>
        <v>#VALUE!</v>
      </c>
      <c r="C49" s="598"/>
      <c r="D49" s="486"/>
      <c r="G49" s="313" t="str">
        <f>IF(ISNUMBER($AI$69),$B$9,"")</f>
        <v/>
      </c>
      <c r="H49" s="312" t="str">
        <f>IF(AND(G50="",G51=""),"",IF($AI$69=1,"NE/SW",IF($AI$69=2,"NW/SW",IF($AI$69=3,"SW/SW",IF($AI$69=4,"SE/SW","")))))</f>
        <v/>
      </c>
      <c r="I49" s="425"/>
      <c r="J49" s="424"/>
      <c r="K49" s="424"/>
      <c r="L49" s="308"/>
      <c r="M49" s="307"/>
      <c r="Q49" s="313" t="str">
        <f>IF(ISNUMBER($AK$69),$B$9,"")</f>
        <v/>
      </c>
      <c r="R49" s="312" t="str">
        <f>IF(AND(Q50="",Q51=""),"",IF($AK$69=1,"NE/SE",IF($AK$69=2,"NW/SE",IF($AK$69=3,"SW/SE",IF($AK$69=4,"SE/SE","")))))</f>
        <v/>
      </c>
      <c r="S49" s="425"/>
      <c r="T49" s="424"/>
      <c r="U49" s="486"/>
      <c r="V49" s="581"/>
      <c r="W49" s="299" t="e">
        <f>IF(NOT(ISBLANK(U49)),U49,DGET('Grid Numbers'!$A$2:$L$4952,'Grid Numbers'!$H$2,$B$80:$H$81))</f>
        <v>#VALUE!</v>
      </c>
      <c r="X49" s="423" t="s">
        <v>385</v>
      </c>
      <c r="AA49" s="593"/>
      <c r="AE49" s="289"/>
      <c r="AF49" s="288"/>
      <c r="AG49" s="290"/>
      <c r="AH49" s="290"/>
      <c r="AI49" s="289"/>
      <c r="AJ49" s="288"/>
      <c r="AK49" s="289"/>
      <c r="AL49" s="288"/>
      <c r="AV49" s="311"/>
      <c r="AW49" s="311"/>
      <c r="AX49" s="311"/>
      <c r="AY49" s="311"/>
      <c r="AZ49" s="311"/>
      <c r="BA49" s="311"/>
      <c r="BB49" s="311" t="s">
        <v>455</v>
      </c>
      <c r="BG49" s="291">
        <v>13</v>
      </c>
      <c r="BH49" s="291">
        <v>12</v>
      </c>
      <c r="BI49" s="291">
        <v>7</v>
      </c>
      <c r="BJ49" s="291">
        <v>18</v>
      </c>
      <c r="BK49" s="291">
        <v>19</v>
      </c>
      <c r="BL49" s="291">
        <v>24</v>
      </c>
      <c r="BM49" s="291">
        <v>23</v>
      </c>
      <c r="BN49" s="291">
        <v>14</v>
      </c>
      <c r="BO49" s="291">
        <v>11</v>
      </c>
      <c r="BZ49" s="596"/>
      <c r="CA49" s="596"/>
    </row>
    <row r="50" spans="1:79" ht="12" customHeight="1" x14ac:dyDescent="0.25">
      <c r="A50" s="426" t="s">
        <v>395</v>
      </c>
      <c r="B50" s="293" t="e">
        <f>IF(NOT(ISBLANK(D50)),D50,DGET('Grid Numbers'!$A$2:$L$4952,'Grid Numbers'!$I$2,$B$72:$H$73))</f>
        <v>#VALUE!</v>
      </c>
      <c r="C50" s="598"/>
      <c r="D50" s="486"/>
      <c r="G50" s="310" t="str">
        <f>IF(ISNUMBER($AI$69),$I$9,"")</f>
        <v/>
      </c>
      <c r="H50" s="309" t="str">
        <f>IF(ISNUMBER($AI$69),"FSL","")</f>
        <v/>
      </c>
      <c r="I50" s="425"/>
      <c r="J50" s="424"/>
      <c r="K50" s="424"/>
      <c r="L50" s="308"/>
      <c r="M50" s="307"/>
      <c r="Q50" s="310" t="str">
        <f>IF(ISNUMBER($AK$69),$I$9,"")</f>
        <v/>
      </c>
      <c r="R50" s="309" t="str">
        <f>IF(ISNUMBER($AK$69),"FSL","")</f>
        <v/>
      </c>
      <c r="S50" s="425"/>
      <c r="T50" s="424"/>
      <c r="U50" s="486"/>
      <c r="V50" s="581"/>
      <c r="W50" s="471" t="e">
        <f>IF(NOT(ISBLANK(U50)),U50,DGET('Grid Numbers'!$A$2:$L$4952,'Grid Numbers'!$I$2,$B$80:$H$81))</f>
        <v>#VALUE!</v>
      </c>
      <c r="X50" s="423" t="s">
        <v>395</v>
      </c>
      <c r="AA50" s="593"/>
      <c r="AE50" s="761" t="s">
        <v>456</v>
      </c>
      <c r="AF50" s="757"/>
      <c r="AG50" s="767" t="s">
        <v>457</v>
      </c>
      <c r="AH50" s="735"/>
      <c r="AI50" s="761" t="s">
        <v>458</v>
      </c>
      <c r="AJ50" s="757"/>
      <c r="AK50" s="761" t="s">
        <v>459</v>
      </c>
      <c r="AL50" s="757"/>
      <c r="AV50" s="311"/>
      <c r="AW50" s="311"/>
      <c r="AX50" s="315" t="s">
        <v>460</v>
      </c>
      <c r="AY50" s="314">
        <v>1</v>
      </c>
      <c r="AZ50" s="311"/>
      <c r="BA50" s="311"/>
      <c r="BB50" s="311" t="s">
        <v>461</v>
      </c>
      <c r="BD50" s="298" t="s">
        <v>462</v>
      </c>
      <c r="BE50" s="336" t="e">
        <f>IF(MAX($AE$58:$AL$58)&gt;0,$N$7,VLOOKUP($N$7,$BG$37:$BO$72,MAX($BF$37:$BF$40),FALSE))</f>
        <v>#VALUE!</v>
      </c>
      <c r="BG50" s="291">
        <v>14</v>
      </c>
      <c r="BH50" s="291">
        <v>11</v>
      </c>
      <c r="BI50" s="291">
        <v>12</v>
      </c>
      <c r="BJ50" s="291">
        <v>13</v>
      </c>
      <c r="BK50" s="291">
        <v>24</v>
      </c>
      <c r="BL50" s="291">
        <v>23</v>
      </c>
      <c r="BM50" s="291">
        <v>22</v>
      </c>
      <c r="BN50" s="291">
        <v>15</v>
      </c>
      <c r="BO50" s="291">
        <v>10</v>
      </c>
      <c r="BZ50" s="596"/>
      <c r="CA50" s="596"/>
    </row>
    <row r="51" spans="1:79" ht="12" customHeight="1" x14ac:dyDescent="0.25">
      <c r="A51" s="426" t="s">
        <v>398</v>
      </c>
      <c r="B51" s="293" t="e">
        <f>IF(NOT(ISBLANK(D51)),D51,DGET('Grid Numbers'!$A$2:$L$4952,'Grid Numbers'!$J$2,$B$72:$H$73))</f>
        <v>#VALUE!</v>
      </c>
      <c r="C51" s="598"/>
      <c r="D51" s="486"/>
      <c r="G51" s="306" t="str">
        <f>IF(ISNUMBER($AI$69),$K$9,"")</f>
        <v/>
      </c>
      <c r="H51" s="305" t="str">
        <f>IF(ISNUMBER($AI$69),"FWL","")</f>
        <v/>
      </c>
      <c r="I51" s="425"/>
      <c r="J51" s="424"/>
      <c r="K51" s="424"/>
      <c r="L51" s="308"/>
      <c r="M51" s="307"/>
      <c r="Q51" s="306" t="str">
        <f>IF(ISNUMBER($AK$69),$K$9,"")</f>
        <v/>
      </c>
      <c r="R51" s="305" t="str">
        <f>IF(ISNUMBER($AK$69),"FEL","")</f>
        <v/>
      </c>
      <c r="S51" s="425"/>
      <c r="T51" s="424"/>
      <c r="U51" s="486"/>
      <c r="V51" s="581"/>
      <c r="W51" s="471" t="e">
        <f>IF(NOT(ISBLANK(U51)),U51,DGET('Grid Numbers'!$A$2:$L$4952,'Grid Numbers'!$J$2,$B$80:$H$81))</f>
        <v>#VALUE!</v>
      </c>
      <c r="X51" s="423" t="s">
        <v>398</v>
      </c>
      <c r="AA51" s="593"/>
      <c r="AB51" s="292"/>
      <c r="AC51" s="292"/>
      <c r="AD51" s="467" t="s">
        <v>340</v>
      </c>
      <c r="AE51" s="588" t="s">
        <v>336</v>
      </c>
      <c r="AF51" s="588" t="s">
        <v>337</v>
      </c>
      <c r="AG51" s="465" t="s">
        <v>336</v>
      </c>
      <c r="AH51" s="464" t="s">
        <v>337</v>
      </c>
      <c r="AI51" s="588" t="s">
        <v>336</v>
      </c>
      <c r="AJ51" s="588" t="s">
        <v>337</v>
      </c>
      <c r="AK51" s="588" t="s">
        <v>336</v>
      </c>
      <c r="AL51" s="588" t="s">
        <v>337</v>
      </c>
      <c r="AV51" s="311"/>
      <c r="AW51" s="311"/>
      <c r="AX51" s="311"/>
      <c r="AY51" s="311"/>
      <c r="AZ51" s="311"/>
      <c r="BA51" s="311"/>
      <c r="BB51" s="311" t="s">
        <v>463</v>
      </c>
      <c r="BD51" s="476"/>
      <c r="BE51" s="479" t="e">
        <f>IF(MAX('BHL Section 1'!$AE$58:$AL$58)&gt;0,'BHL Section 1'!$L$38,VLOOKUP('BHL Section 1'!$L$38,$BG$37:$BO$72,MAX('BHL Section 1'!$BF$37:$BF$40),FALSE))</f>
        <v>#VALUE!</v>
      </c>
      <c r="BG51" s="291">
        <v>15</v>
      </c>
      <c r="BH51" s="291">
        <v>10</v>
      </c>
      <c r="BI51" s="291">
        <v>11</v>
      </c>
      <c r="BJ51" s="291">
        <v>14</v>
      </c>
      <c r="BK51" s="291">
        <v>23</v>
      </c>
      <c r="BL51" s="291">
        <v>22</v>
      </c>
      <c r="BM51" s="291">
        <v>21</v>
      </c>
      <c r="BN51" s="291">
        <v>16</v>
      </c>
      <c r="BO51" s="291">
        <v>9</v>
      </c>
      <c r="BZ51" s="596"/>
      <c r="CA51" s="596"/>
    </row>
    <row r="52" spans="1:79" ht="12" customHeight="1" x14ac:dyDescent="0.25">
      <c r="A52" s="426" t="s">
        <v>410</v>
      </c>
      <c r="B52" s="293" t="e">
        <f>IF(NOT(ISBLANK(D52)),D52,DGET('Grid Numbers'!$A$2:$L$4952,'Grid Numbers'!$K$2,$B$72:$H$73))</f>
        <v>#VALUE!</v>
      </c>
      <c r="C52" s="598"/>
      <c r="D52" s="487"/>
      <c r="G52" s="313" t="str">
        <f>IF(ISNUMBER($AI$80),$B$10,"")</f>
        <v/>
      </c>
      <c r="H52" s="312" t="str">
        <f>IF(AND(G53="",G54=""),"",IF($AI$80=1,"NE/SW",IF($AI$80=2,"NW/SW",IF($AI$80=3,"SW/SW",IF($AI$80=4,"SE/SW","")))))</f>
        <v/>
      </c>
      <c r="I52" s="425"/>
      <c r="J52" s="424"/>
      <c r="K52" s="424"/>
      <c r="L52" s="308"/>
      <c r="M52" s="307"/>
      <c r="P52" s="596"/>
      <c r="Q52" s="313" t="str">
        <f>IF(ISNUMBER($AK$80),$B$10,"")</f>
        <v/>
      </c>
      <c r="R52" s="312" t="str">
        <f>IF(AND(Q53="",Q54=""),"",IF($AK$80=1,"NE/SE",IF($AK$80=2,"NW/SE",IF($AK$80=3,"SW/SE",IF($AK$80=4,"SE/SE","")))))</f>
        <v/>
      </c>
      <c r="S52" s="425"/>
      <c r="T52" s="424"/>
      <c r="U52" s="487"/>
      <c r="V52" s="581"/>
      <c r="W52" s="471" t="e">
        <f>IF(NOT(ISBLANK(U52)),U52,DGET('Grid Numbers'!$A$2:$L$4952,'Grid Numbers'!$K$2,$B$80:$H$81))</f>
        <v>#VALUE!</v>
      </c>
      <c r="X52" s="423" t="s">
        <v>410</v>
      </c>
      <c r="AA52" s="593"/>
      <c r="AB52" s="593"/>
      <c r="AD52" s="317">
        <v>1</v>
      </c>
      <c r="AE52" s="481" t="e">
        <f>IF($AD52=AE$48,-($Q$28/$AV$28+$Q$29/$BZ$28*$AV$19/$AW$19)/(1-$AV$19/$AW$19*$CA$19/$BZ$19),"")</f>
        <v>#VALUE!</v>
      </c>
      <c r="AF52" s="482" t="e">
        <f>IF($AD52=AE$48,-($Q$29/$BZ$28+$Q$28/$AV$28*$CA$19/$BZ$19)/(1-$AV$19/$AW$19*$CA$19/$BZ$19),"")</f>
        <v>#VALUE!</v>
      </c>
      <c r="AG52" s="417" t="e">
        <f>IF($AD52=AG$48,-($G$28/$AZ$28-$BB$19-($G$29/$BD$28-$BC$19)*$AZ$19/$BA$19)/(1-$AZ$19/$BA$19*$BE$19/$BD$19),"")</f>
        <v>#VALUE!</v>
      </c>
      <c r="AH52" s="417" t="e">
        <f>IF($AD52=AG$48,($G$29/$BD$28-$BC$19-($G$28/$AZ$28-$BB$19)*$BE$19/$BD$19)/(1-$AZ$19/$BA$19*$BE$19/$BD$19)+$BC$19,"")</f>
        <v>#VALUE!</v>
      </c>
      <c r="AI52" s="481" t="e">
        <f>IF($AD52=AI$48,($G$44/$BN$28-$BJ$19+$BL$19+($G$45/$BH$28-$BM$19+$BK$19)*$BN$19/$BO$19)/(1-$BI$19/$BH$19*$BN$19/$BO$19)+$BJ$19,"")</f>
        <v>#VALUE!</v>
      </c>
      <c r="AJ52" s="482" t="e">
        <f>IF($AD52=AI$48,($G$45/$BH$28-$BM$19+$BK$19+($G$44/$BN$28-$BJ$19+$BL$19)*$BI$19/$BH$19)/(1-$BI$19/$BH$19*$BN$19/$BO$19)+$BM$19,"")</f>
        <v>#VALUE!</v>
      </c>
      <c r="AK52" s="481" t="e">
        <f>IF($AD52=AK$48,($Q$44/$BR$28-$BT$19-($Q$45/$BV$28-$BU$19)*$BR$19/$BS$19)/(1-$BW$19/$BV$19*$BR$19/$BS$19)+$BT$19,"")</f>
        <v>#VALUE!</v>
      </c>
      <c r="AL52" s="482" t="e">
        <f>IF($AD52=AK$48,-($Q$45/$BV$28-$BU$19-($Q$44/$BR$28-$BT$19)*$BW$19/$BV$19)/(1-$BW$19/$BV$19*$BR$19/$BS$19),"")</f>
        <v>#VALUE!</v>
      </c>
      <c r="AV52" s="311"/>
      <c r="AW52" s="311"/>
      <c r="AX52" s="311"/>
      <c r="AY52" s="311"/>
      <c r="AZ52" s="311"/>
      <c r="BA52" s="311"/>
      <c r="BB52" s="311" t="s">
        <v>464</v>
      </c>
      <c r="BD52" s="295"/>
      <c r="BE52" s="316" t="e">
        <f>IF(MAX('BHL Section 2'!$AE$58:$AL$58)&gt;0,'BHL Section 2'!$L$38,VLOOKUP('BHL Section 2'!$L$38,$BG$37:$BO$72,MAX('BHL Section 2'!$BF$37:$BF$40),FALSE))</f>
        <v>#VALUE!</v>
      </c>
      <c r="BG52" s="291">
        <v>16</v>
      </c>
      <c r="BH52" s="291">
        <v>9</v>
      </c>
      <c r="BI52" s="291">
        <v>10</v>
      </c>
      <c r="BJ52" s="291">
        <v>15</v>
      </c>
      <c r="BK52" s="291">
        <v>22</v>
      </c>
      <c r="BL52" s="291">
        <v>21</v>
      </c>
      <c r="BM52" s="291">
        <v>20</v>
      </c>
      <c r="BN52" s="291">
        <v>17</v>
      </c>
      <c r="BO52" s="291">
        <v>8</v>
      </c>
      <c r="BZ52" s="596"/>
      <c r="CA52" s="596"/>
    </row>
    <row r="53" spans="1:79" ht="12" customHeight="1" x14ac:dyDescent="0.25">
      <c r="A53" s="426" t="s">
        <v>411</v>
      </c>
      <c r="B53" s="319" t="e">
        <f>IF(NOT(ISBLANK(D53)),D53,DGET('Grid Numbers'!$A$2:$L$4952,'Grid Numbers'!$L$2,$B$72:$H$73))</f>
        <v>#VALUE!</v>
      </c>
      <c r="C53" s="598"/>
      <c r="D53" s="490"/>
      <c r="G53" s="310" t="str">
        <f>IF(ISNUMBER($AI$80),$I$10,"")</f>
        <v/>
      </c>
      <c r="H53" s="309" t="str">
        <f>IF(ISNUMBER($AI$80),"FSL","")</f>
        <v/>
      </c>
      <c r="I53" s="425"/>
      <c r="J53" s="424"/>
      <c r="K53" s="424"/>
      <c r="L53" s="308"/>
      <c r="M53" s="307"/>
      <c r="P53" s="596"/>
      <c r="Q53" s="310" t="str">
        <f>IF(ISNUMBER($AK$80),$I$10,"")</f>
        <v/>
      </c>
      <c r="R53" s="309" t="str">
        <f>IF(ISNUMBER($AK$80),"FSL","")</f>
        <v/>
      </c>
      <c r="S53" s="425"/>
      <c r="T53" s="424"/>
      <c r="U53" s="490"/>
      <c r="V53" s="581"/>
      <c r="W53" s="319" t="e">
        <f>IF(NOT(ISBLANK(U53)),U53,DGET('Grid Numbers'!$A$2:$L$4952,'Grid Numbers'!$L$2,$B$80:$H$81))</f>
        <v>#VALUE!</v>
      </c>
      <c r="X53" s="423" t="s">
        <v>411</v>
      </c>
      <c r="AA53" s="593"/>
      <c r="AB53" s="593"/>
      <c r="AD53" s="317">
        <v>2</v>
      </c>
      <c r="AE53" s="481" t="e">
        <f>IF($AD53=AE$48,-($Q$28/$AX$28+$AV$19+($Q$29/$BZ$28-$AW$19)*$AX$19/$AY$19)/(1-$AX$19/$AY$19*$CA$19/$BZ$19),"")</f>
        <v>#VALUE!</v>
      </c>
      <c r="AF53" s="482" t="e">
        <f>IF($AD53=AE$48,-($Q$29/$BZ$28-$AW$19+($Q$28/$AX$28+$AV$19)*$CA$19/$BZ$19)/(1-$AX$19/$AY$19*$CA$19/$BZ$19)-$AW$19,"")</f>
        <v>#VALUE!</v>
      </c>
      <c r="AG53" s="417" t="e">
        <f>IF($AD53=AG$48,-($G$28/$BB$28-$G$29/$BD$28*$BB$19/$BC$19)/(1-$BE$19/$BD$19*$BB$19/$BC$19),"")</f>
        <v>#VALUE!</v>
      </c>
      <c r="AH53" s="417" t="e">
        <f>IF($AD53=AG$48,($G$29/$BD$28-$G$28/$BB$28*$BE$19/$BD$19)/(1-$BE$19/$BD$19*$BB$19/$BC$19),"")</f>
        <v>#VALUE!</v>
      </c>
      <c r="AI53" s="481" t="e">
        <f>IF($AD53=AI$48,($G$44/$BL$28-$BJ$19+($G$45/$BH$28+$BK$19)*$BL$19/$BM$19)/(1-$BI$19/$BH$19*$BL$19/$BM$19)+$BJ$19,"")</f>
        <v>#VALUE!</v>
      </c>
      <c r="AJ53" s="482" t="e">
        <f>IF($AD53=AI$48,($G$45/$BH$28+$BK$19+($G$44/$BL$28-$BJ$19)*$BI$19/$BH$19)/(1-$BI$19/$BH$19*$BL$19/$BM$19),"")</f>
        <v>#VALUE!</v>
      </c>
      <c r="AK53" s="481" t="e">
        <f>IF($AD53=AK$48,($Q$44/$BP$28-$BT19-$BR$19-($Q$45/$BV$28-$BS$19-$BU$19)*$BP$19/$BQ$19)/(1-$BW$19/$BV$19*$BP$19/$BQ$19)+$BT$19,"")</f>
        <v>#VALUE!</v>
      </c>
      <c r="AL53" s="482" t="e">
        <f>IF($AD53=AK$48,-($Q$45/$BV$28-$BS$19-$BU$19-($Q$44/$BP$28-$BT$19-$BR$19)*$BW$19/$BV$19)/(1-$BW$19/$BV$19*$BP$19/$BQ$19)-$BS$19,"")</f>
        <v>#VALUE!</v>
      </c>
      <c r="BD53" s="298" t="s">
        <v>465</v>
      </c>
      <c r="BE53" s="336" t="e">
        <f>IF(MAX($AE$69:$AL$69)&gt;0,$N$7,VLOOKUP($N$7,$BG$37:$BO$72,MAX($BF$41:$BF$44),FALSE))</f>
        <v>#VALUE!</v>
      </c>
      <c r="BG53" s="291">
        <v>17</v>
      </c>
      <c r="BH53" s="291">
        <v>8</v>
      </c>
      <c r="BI53" s="291">
        <v>9</v>
      </c>
      <c r="BJ53" s="291">
        <v>16</v>
      </c>
      <c r="BK53" s="291">
        <v>21</v>
      </c>
      <c r="BL53" s="291">
        <v>20</v>
      </c>
      <c r="BM53" s="291">
        <v>19</v>
      </c>
      <c r="BN53" s="291">
        <v>18</v>
      </c>
      <c r="BO53" s="291">
        <v>7</v>
      </c>
      <c r="BZ53" s="596"/>
      <c r="CA53" s="596"/>
    </row>
    <row r="54" spans="1:79" ht="12" customHeight="1" x14ac:dyDescent="0.25">
      <c r="A54" s="426" t="s">
        <v>412</v>
      </c>
      <c r="B54" s="643" t="e">
        <f>IF(B50="","",IF(OR(B53=1,B53=4),180-(B50+B51/60+B52/3600),180+(B50+B51/60+B52/3600)))</f>
        <v>#VALUE!</v>
      </c>
      <c r="C54" s="598"/>
      <c r="F54" s="646"/>
      <c r="G54" s="306" t="str">
        <f>IF(ISNUMBER($AI$80),$K$10,"")</f>
        <v/>
      </c>
      <c r="H54" s="305" t="str">
        <f>IF(ISNUMBER($AI$80),"FWL","")</f>
        <v/>
      </c>
      <c r="I54" s="425"/>
      <c r="J54" s="424"/>
      <c r="K54" s="424"/>
      <c r="L54" s="308"/>
      <c r="M54" s="307"/>
      <c r="P54" s="646"/>
      <c r="Q54" s="306" t="str">
        <f>IF(ISNUMBER($AK$80),$K$10,"")</f>
        <v/>
      </c>
      <c r="R54" s="305" t="str">
        <f>IF(ISNUMBER($AK$80),"FEL","")</f>
        <v/>
      </c>
      <c r="S54" s="425"/>
      <c r="T54" s="424"/>
      <c r="U54" s="593"/>
      <c r="V54" s="581"/>
      <c r="W54" s="642" t="e">
        <f>IF(W50="","",IF(OR(W53=1,W53=4),180-(W50+W51/60+W52/3600),180+(W50+W51/60+W52/3600)))</f>
        <v>#VALUE!</v>
      </c>
      <c r="X54" s="423" t="s">
        <v>412</v>
      </c>
      <c r="AA54" s="593"/>
      <c r="AB54" s="593"/>
      <c r="AD54" s="317">
        <v>3</v>
      </c>
      <c r="AE54" s="481" t="e">
        <f>IF($AD54=AE$48,-($Q$28/$AX$28+$AV$19-$BZ$19+($Q$29/$BX$28+$CA$19-$AW$19)*$AX$19/$AY$19)/(1-$AX$19/$AY$19*$BY$19/$BX$19)-$BZ$19,"")</f>
        <v>#VALUE!</v>
      </c>
      <c r="AF54" s="482" t="e">
        <f>IF($AD54=AE$48,-($Q$29/$BX$28+$CA$19-$AW$19+($Q$28/$AX$28+$AV$19-$BZ$19)*$BY$19/$BX$19)/(1-$AX$19/$AY$19*$BY$19/$BX$19)-$AW$19,"")</f>
        <v>#VALUE!</v>
      </c>
      <c r="AG54" s="417" t="e">
        <f>IF($AD54=AG$48,-($G$28/$BB$28-$BD$19-($G$29/$BF$28-$BE$19)*$BB$19/$BC$19)/(1-$BG$19/$BF$19*$BB$19/$BC$19)-$BD$19,"")</f>
        <v>#VALUE!</v>
      </c>
      <c r="AH54" s="417" t="e">
        <f>IF($AD54=AG$48,($G$29/$BF$28-$BE$19-($G$28/$BB$28-$BD$19)*$BG$19/$BF$19)/(1-$BG$19/$BF$19*$BB$19/$BC$19),"")</f>
        <v>#VALUE!</v>
      </c>
      <c r="AI54" s="481" t="e">
        <f>IF($AD54=AI$48,($G$44/$BL$28+$G$45/$BJ$28*$BL$19/$BM$19)/(1-$BK$19/$BJ$19*$BL$19/$BM$19),"")</f>
        <v>#VALUE!</v>
      </c>
      <c r="AJ54" s="482" t="e">
        <f>IF($AD54=AI$48,($G$45/$BJ$28+$G$44/$BL$28*$BK$19/$BJ$19)/(1-$BK$19/$BJ$19*$BL$19/$BM$19),"")</f>
        <v>#VALUE!</v>
      </c>
      <c r="AK54" s="481" t="e">
        <f>IF($AD54=AK$48,($Q$44/$BP$28-$BR$19-($Q$45/$BT$28-$BS$19)*$BP$19/$BQ$19)/(1-$BU$19/$BT$19*$BP$19/$BQ$19),"")</f>
        <v>#VALUE!</v>
      </c>
      <c r="AL54" s="482" t="e">
        <f>IF($AD54=AK$48,-($Q$45/$BT$28-$BS$19-($Q$44/$BP$28-$BR$19)*$BU$19/$BT$19)/(1-$BU$19/$BT$19*$BP$19/$BQ$19)-$BS$19,"")</f>
        <v>#VALUE!</v>
      </c>
      <c r="BD54" s="476"/>
      <c r="BE54" s="479" t="e">
        <f>IF(MAX('BHL Section 1'!$AE$69:$AL$69)&gt;0,'BHL Section 1'!$L$38,VLOOKUP('BHL Section 1'!$L$38,$BG$37:$BO$72,MAX('BHL Section 1'!$BF$41:$BF$44),FALSE))</f>
        <v>#VALUE!</v>
      </c>
      <c r="BG54" s="291">
        <v>18</v>
      </c>
      <c r="BH54" s="291">
        <v>7</v>
      </c>
      <c r="BI54" s="291">
        <v>8</v>
      </c>
      <c r="BJ54" s="291">
        <v>17</v>
      </c>
      <c r="BK54" s="291">
        <v>20</v>
      </c>
      <c r="BL54" s="291">
        <v>19</v>
      </c>
      <c r="BM54" s="291">
        <v>24</v>
      </c>
      <c r="BN54" s="291">
        <v>13</v>
      </c>
      <c r="BO54" s="291">
        <v>12</v>
      </c>
      <c r="BZ54" s="596"/>
      <c r="CA54" s="596"/>
    </row>
    <row r="55" spans="1:79" ht="12" customHeight="1" thickBot="1" x14ac:dyDescent="0.3">
      <c r="C55" s="584"/>
      <c r="D55" s="576"/>
      <c r="E55" s="576"/>
      <c r="F55" s="576"/>
      <c r="G55" s="576"/>
      <c r="H55" s="576"/>
      <c r="I55" s="576"/>
      <c r="J55" s="576"/>
      <c r="K55" s="576"/>
      <c r="L55" s="303"/>
      <c r="M55" s="302"/>
      <c r="N55" s="576"/>
      <c r="O55" s="576"/>
      <c r="P55" s="576"/>
      <c r="Q55" s="576"/>
      <c r="R55" s="576"/>
      <c r="S55" s="576"/>
      <c r="T55" s="576"/>
      <c r="U55" s="576"/>
      <c r="V55" s="577"/>
      <c r="AA55" s="593"/>
      <c r="AB55" s="593"/>
      <c r="AD55" s="317">
        <v>4</v>
      </c>
      <c r="AE55" s="481" t="e">
        <f>IF($AD55=AE$48,-($Q$28/$AV$28-$BZ$19+($Q$29/$BX$28+$CA$19)*$AV$19/$AW$19)/(1-$AV$19/$AW$19*$BY$19/$BX$19)-$BZ$19,"")</f>
        <v>#VALUE!</v>
      </c>
      <c r="AF55" s="482" t="e">
        <f>IF($AD55=AE$48,-($Q$29/$BX$28+$CA$19+($Q$28/$AV$28-$BZ$19)*$BY$19/$BX$19)/(1-$AV$19/$AW$19*$BY$19/$BX$19),"")</f>
        <v>#VALUE!</v>
      </c>
      <c r="AG55" s="417" t="e">
        <f>IF($AD55=AG$48,-($G$28/$AZ$28-$BD$19-$BB$19-($G$29/$BF$28-$BC$19-$BE$19)*$AZ$19/$BA$19)/(1-$AZ$19/$BA$19*$BG$19/$BF$19)-$BD$19,"")</f>
        <v>#VALUE!</v>
      </c>
      <c r="AH55" s="417" t="e">
        <f>IF($AD55=AG$48,($G$29/$BF$28-$BC$19-$BE$19-($G$28/$AZ$28-$BD$19-$BB$19)*$BG$19/$BF$19)/(1-$AZ$19/$BA$19*$BG$19/$BF$19)+$BC$19,"")</f>
        <v>#VALUE!</v>
      </c>
      <c r="AI55" s="481" t="e">
        <f>IF($AD55=AI$48,($G$44/$BN$28+$BL$19+($G$45/$BJ$28-$BM$19)*$BN$19/$BO$19)/(1-$BK$19/$BJ$19*$BN$19/$BO$19),"")</f>
        <v>#VALUE!</v>
      </c>
      <c r="AJ55" s="482" t="e">
        <f>IF($AD55=AI$48,($G$45/$BJ$28-$BM$19+($G$44/$BN$28+$BL$19)*$BK$19/$BJ$19)/(1-$BK$19/$BJ$19*$BN$19/$BO$19)+$BM$19,"")</f>
        <v>#VALUE!</v>
      </c>
      <c r="AK55" s="481" t="e">
        <f>IF($AD55=AK$48,($Q$44/$BR$28-$Q$45/$BT$28*$BR$19/$BS$19)/(1-$BU$19/$BT$19*$BR$19/$BS$19),"")</f>
        <v>#VALUE!</v>
      </c>
      <c r="AL55" s="482" t="e">
        <f>IF($AD55=AK$48,-($Q$45/$BT$28-$Q$44/$BR$28*$BU$19/$BT$19)/(1-$BU$19/$BT$19*$BR$19/$BS$19),"")</f>
        <v>#VALUE!</v>
      </c>
      <c r="AW55" s="596">
        <v>1</v>
      </c>
      <c r="AX55" s="596">
        <v>2</v>
      </c>
      <c r="AY55" s="596">
        <v>3</v>
      </c>
      <c r="AZ55" s="596">
        <v>4</v>
      </c>
      <c r="BD55" s="295"/>
      <c r="BE55" s="316" t="e">
        <f>IF(MAX('BHL Section 2'!$AE$69:$AL$69)&gt;0,'BHL Section 2'!$L$38,VLOOKUP('BHL Section 2'!$L$38,$BG$37:$BO$72,MAX('BHL Section 2'!$BF$41:$BF$44),FALSE))</f>
        <v>#VALUE!</v>
      </c>
      <c r="BG55" s="291">
        <v>19</v>
      </c>
      <c r="BH55" s="291">
        <v>18</v>
      </c>
      <c r="BI55" s="291">
        <v>17</v>
      </c>
      <c r="BJ55" s="291">
        <v>20</v>
      </c>
      <c r="BK55" s="291">
        <v>29</v>
      </c>
      <c r="BL55" s="291">
        <v>30</v>
      </c>
      <c r="BM55" s="291">
        <v>25</v>
      </c>
      <c r="BN55" s="291">
        <v>24</v>
      </c>
      <c r="BO55" s="291">
        <v>13</v>
      </c>
      <c r="BZ55" s="596"/>
      <c r="CA55" s="596"/>
    </row>
    <row r="56" spans="1:79" ht="15.75" customHeight="1" thickBot="1" x14ac:dyDescent="0.3">
      <c r="B56" s="775" t="str">
        <f>CONCATENATE("SW SC of ",$L$38)</f>
        <v>SW SC of 0</v>
      </c>
      <c r="C56" s="679"/>
      <c r="L56" s="774" t="str">
        <f>CONCATENATE("S QC of ",$L$38)</f>
        <v>S QC of 0</v>
      </c>
      <c r="M56" s="702"/>
      <c r="V56" s="766" t="str">
        <f>CONCATENATE("SE SC of ",$L$38)</f>
        <v>SE SC of 0</v>
      </c>
      <c r="W56" s="679"/>
      <c r="AA56" s="593"/>
      <c r="AB56" s="593"/>
      <c r="AE56" s="289"/>
      <c r="AF56" s="288"/>
      <c r="AG56" s="290"/>
      <c r="AH56" s="290"/>
      <c r="AI56" s="289"/>
      <c r="AJ56" s="288"/>
      <c r="AK56" s="289"/>
      <c r="AL56" s="288"/>
      <c r="AV56" s="596">
        <v>1</v>
      </c>
      <c r="AW56" s="291" t="s">
        <v>429</v>
      </c>
      <c r="AX56" s="291" t="s">
        <v>440</v>
      </c>
      <c r="AY56" s="291" t="s">
        <v>450</v>
      </c>
      <c r="AZ56" s="291" t="s">
        <v>455</v>
      </c>
      <c r="BD56" s="298" t="s">
        <v>466</v>
      </c>
      <c r="BE56" s="336" t="e">
        <f>IF(MAX($AE$80:$AL$80)&gt;0,$N$7,VLOOKUP($N$7,$BG$37:$BO$72,MAX($BF$45:$BF$48),FALSE))</f>
        <v>#VALUE!</v>
      </c>
      <c r="BG56" s="291">
        <v>20</v>
      </c>
      <c r="BH56" s="291">
        <v>17</v>
      </c>
      <c r="BI56" s="291">
        <v>16</v>
      </c>
      <c r="BJ56" s="291">
        <v>21</v>
      </c>
      <c r="BK56" s="291">
        <v>28</v>
      </c>
      <c r="BL56" s="291">
        <v>29</v>
      </c>
      <c r="BM56" s="291">
        <v>30</v>
      </c>
      <c r="BN56" s="291">
        <v>19</v>
      </c>
      <c r="BO56" s="291">
        <v>18</v>
      </c>
      <c r="BZ56" s="596"/>
      <c r="CA56" s="596"/>
    </row>
    <row r="57" spans="1:79" ht="12" customHeight="1" x14ac:dyDescent="0.25">
      <c r="D57" s="426" t="s">
        <v>385</v>
      </c>
      <c r="E57" s="300" t="e">
        <f>IF(NOT(ISBLANK(F57)),F57,DGET('Grid Numbers'!$A$2:$L$4952,'Grid Numbers'!$H$2,$L$74:$R$75))</f>
        <v>#VALUE!</v>
      </c>
      <c r="F57" s="486"/>
      <c r="H57" s="297"/>
      <c r="I57" s="297"/>
      <c r="J57" s="426" t="s">
        <v>385</v>
      </c>
      <c r="K57" s="301" t="e">
        <f>IF(NOT(ISBLANK(L57)),L57,DGET('Grid Numbers'!$A$2:$L$4952,'Grid Numbers'!$H$2,$L$76:$R$77))</f>
        <v>#VALUE!</v>
      </c>
      <c r="L57" s="486"/>
      <c r="N57" s="426" t="s">
        <v>385</v>
      </c>
      <c r="O57" s="300" t="e">
        <f>IF(NOT(ISBLANK(P57)),P57,DGET('Grid Numbers'!$A$2:$L$4952,'Grid Numbers'!$H$2,$L$78:$R$79))</f>
        <v>#VALUE!</v>
      </c>
      <c r="P57" s="486"/>
      <c r="Q57" s="297"/>
      <c r="R57" s="297"/>
      <c r="T57" s="426" t="s">
        <v>385</v>
      </c>
      <c r="U57" s="299" t="e">
        <f>IF(NOT(ISBLANK(V57)),V57,DGET('Grid Numbers'!$A$2:$L$4952,'Grid Numbers'!$H$2,$L$80:$R$81))</f>
        <v>#VALUE!</v>
      </c>
      <c r="V57" s="486"/>
      <c r="AA57" s="593"/>
      <c r="AB57" s="593"/>
      <c r="AE57" s="761" t="s">
        <v>467</v>
      </c>
      <c r="AF57" s="757"/>
      <c r="AG57" s="767" t="s">
        <v>467</v>
      </c>
      <c r="AH57" s="735"/>
      <c r="AI57" s="761" t="s">
        <v>467</v>
      </c>
      <c r="AJ57" s="757"/>
      <c r="AK57" s="761" t="s">
        <v>467</v>
      </c>
      <c r="AL57" s="757"/>
      <c r="AV57" s="596">
        <v>2</v>
      </c>
      <c r="AW57" s="291" t="s">
        <v>434</v>
      </c>
      <c r="AX57" s="291" t="s">
        <v>443</v>
      </c>
      <c r="AY57" s="291" t="s">
        <v>451</v>
      </c>
      <c r="AZ57" s="291" t="s">
        <v>461</v>
      </c>
      <c r="BD57" s="476"/>
      <c r="BE57" s="479" t="e">
        <f>IF(MAX('BHL Section 1'!$AE$80:$AL$80)&gt;0,'BHL Section 1'!$L$38,VLOOKUP('BHL Section 1'!$L$38,$BG$37:$BO$72,MAX('BHL Section 1'!$BF$45:$BF$48),FALSE))</f>
        <v>#VALUE!</v>
      </c>
      <c r="BG57" s="291">
        <v>21</v>
      </c>
      <c r="BH57" s="291">
        <v>16</v>
      </c>
      <c r="BI57" s="291">
        <v>15</v>
      </c>
      <c r="BJ57" s="291">
        <v>22</v>
      </c>
      <c r="BK57" s="291">
        <v>27</v>
      </c>
      <c r="BL57" s="291">
        <v>28</v>
      </c>
      <c r="BM57" s="291">
        <v>29</v>
      </c>
      <c r="BN57" s="291">
        <v>20</v>
      </c>
      <c r="BO57" s="291">
        <v>17</v>
      </c>
      <c r="BZ57" s="596"/>
      <c r="CA57" s="596"/>
    </row>
    <row r="58" spans="1:79" ht="12" customHeight="1" x14ac:dyDescent="0.25">
      <c r="D58" s="426" t="s">
        <v>395</v>
      </c>
      <c r="E58" s="293" t="e">
        <f>IF(NOT(ISBLANK(F58)),F58,DGET('Grid Numbers'!$A$2:$L$4952,'Grid Numbers'!$I$2,$L$74:$R$75))</f>
        <v>#VALUE!</v>
      </c>
      <c r="F58" s="486"/>
      <c r="J58" s="426" t="s">
        <v>395</v>
      </c>
      <c r="K58" s="294" t="e">
        <f>IF(NOT(ISBLANK(L58)),L58,DGET('Grid Numbers'!$A$2:$L$4952,'Grid Numbers'!$I$2,$L$76:$R$77))</f>
        <v>#VALUE!</v>
      </c>
      <c r="L58" s="486"/>
      <c r="N58" s="426" t="s">
        <v>395</v>
      </c>
      <c r="O58" s="293" t="e">
        <f>IF(NOT(ISBLANK(P58)),P58,DGET('Grid Numbers'!$A$2:$L$4952,'Grid Numbers'!$I$2,$L$78:$R$79))</f>
        <v>#VALUE!</v>
      </c>
      <c r="P58" s="486"/>
      <c r="T58" s="426" t="s">
        <v>395</v>
      </c>
      <c r="U58" s="293" t="e">
        <f>IF(NOT(ISBLANK(V58)),V58,DGET('Grid Numbers'!$A$2:$L$4952,'Grid Numbers'!$I$2,$L$80:$R$81))</f>
        <v>#VALUE!</v>
      </c>
      <c r="V58" s="486"/>
      <c r="AA58" s="593"/>
      <c r="AB58" s="593"/>
      <c r="AE58" s="762" t="e">
        <f>IF($AE$26="","",IF(AND((-$AE$26+$AF$26*$AV$19/$AW$19)&gt;0,-$AE$26&lt;$BZ$19,(-$AF$26+$AE$26*$CA$19/$BZ$19)&gt;0,-$AF$26&lt;$AW$19),1,IF(AND((-$AE$26-$AV$19+($AF$26+$AW$19)*$AX$19/$AY$19)&gt;0,-$AE$26&lt;$BZ$19,-$AF$26&gt;$AW$19,-$AF$26&lt;$AX$22),2,IF(AND(-$AE$26&lt;$BY$22,-$AE$26&gt;$BZ$19,-$AF$26&gt;$AW$19,-$AF$26&lt;$AX$22),3,IF(AND(-$AE$26&lt;$BY$22,-$AE$26&gt;$BZ$19,(-$AF$26-$CA$19-(-$AE$26-$BZ$19)*$BY$19/$BX$19)&gt;0,-$AF$26&lt;$AW$19),4,"")))))</f>
        <v>#VALUE!</v>
      </c>
      <c r="AF58" s="683"/>
      <c r="AG58" s="762" t="e">
        <f>IF($AG$27="","",IF(AND((-$AG$27+$BB$19+($AH$27-$BC$19)*$AZ$19/$BA$19)&gt;0,-$AG$27&lt;$BD$19,$AH$27&gt;$BC$19,$AH$27&lt;$BB$22),1,IF(AND((-$AG$27+$AH$27*$BB$19/$BC$19)&gt;0,-$AG$27&lt;$BD$19,($AH$27-$AG$27*$BE$19/$BD$19)&gt;0,$AH$27&lt;$BC$19),2,IF(AND(-$AG$27&gt;$BD$19,-$AG$27&lt;$BE$22,($AH$27+$BE$19+(-$AG$27-$BD$19)*$BG$19/$BF$19)&gt;0,$AH$27&lt;$BC$19),3,IF(AND(-$AG$27&gt;$BD$19,-$AG$27&lt;$BE$22,$AH$27&gt;$BC$19,$AH$27&lt;$BB$22),4,"")))))</f>
        <v>#VALUE!</v>
      </c>
      <c r="AH58" s="683"/>
      <c r="AI58" s="762" t="e">
        <f>IF($AI$28="","",IF(AND($AI$28&gt;$BJ$19,$AI$28&lt;$BI$22,$AJ$28&gt;$BM$19,$AJ$28&lt;$BN$22),1,IF(AND($AI$28&gt;$BJ$19,$AI$28&lt;$BI$22,($AJ$28-$BK$19-($AI$28-$BJ$19)*$BI$19/$BH$19)&gt;0,$AJ$28&lt;$BM$19),2,IF(AND(($AI$28-$AJ$28*$BL$19/$BM$19)&gt;0,$AI$28&lt;$BJ$19,($AJ$28-$AI$28*$BK$19/$BJ$19)&gt;0,$AJ$28&lt;$BM$19),3,IF(AND(($AI$28-$BL$19-($AJ$28-$BM$19)*$BN$19/$BO$19)&gt;0,$AI$28&lt;$BJ$19,$AJ$28&gt;$BM$19,$AJ$28&lt;$BN$22),4,"")))))</f>
        <v>#VALUE!</v>
      </c>
      <c r="AJ58" s="683"/>
      <c r="AK58" s="762" t="e">
        <f>IF($AK$29="","",IF(AND($AK$29&gt;$BT$19,$AK$29&lt;$BU$22,(-$AL$29+$BU$19+($AK$29-$BT$19)*$BW$19/$BV$19)&gt;0,-$AL$29&lt;$BS$19),1,IF(AND($AK$29&gt;$BT$19,$AK$29&lt;$BU$22,-$AL$29&gt;$BS$19,-$AL$29&lt;$BR$22),2,IF(AND(($AK$29+$BR$19+(-$AL$29-$BS$19)*$BP$19/$BQ$19)&gt;0,$AK$29&lt;$BT$19,-$AL$29&gt;$BS$19,-$AL$29&lt;$BR$22),3,IF(AND(($AK$29-$AL$29*$BR$19/$BS$19)&gt;0,$AK$29&lt;$BT$19,(-$AL$29+$AK$29*$BU$19/$BT$19)&gt;0,-$AL$29&lt;$BS$19),4,"")))))</f>
        <v>#VALUE!</v>
      </c>
      <c r="AL58" s="683"/>
      <c r="AV58" s="596">
        <v>3</v>
      </c>
      <c r="AW58" s="291" t="s">
        <v>437</v>
      </c>
      <c r="AX58" s="291" t="s">
        <v>444</v>
      </c>
      <c r="AY58" s="291" t="s">
        <v>453</v>
      </c>
      <c r="AZ58" s="291" t="s">
        <v>463</v>
      </c>
      <c r="BD58" s="295"/>
      <c r="BE58" s="316" t="e">
        <f>IF(MAX('BHL Section 2'!$AE$80:$AL$80)&gt;0,'BHL Section 2'!$L$38,VLOOKUP('BHL Section 2'!$L$38,$BG$37:$BO$72,MAX('BHL Section 2'!$BF$45:$BF$48),FALSE))</f>
        <v>#VALUE!</v>
      </c>
      <c r="BG58" s="291">
        <v>22</v>
      </c>
      <c r="BH58" s="291">
        <v>15</v>
      </c>
      <c r="BI58" s="291">
        <v>14</v>
      </c>
      <c r="BJ58" s="291">
        <v>23</v>
      </c>
      <c r="BK58" s="291">
        <v>26</v>
      </c>
      <c r="BL58" s="291">
        <v>27</v>
      </c>
      <c r="BM58" s="291">
        <v>28</v>
      </c>
      <c r="BN58" s="291">
        <v>21</v>
      </c>
      <c r="BO58" s="291">
        <v>16</v>
      </c>
      <c r="BZ58" s="596"/>
      <c r="CA58" s="596"/>
    </row>
    <row r="59" spans="1:79" ht="12" customHeight="1" x14ac:dyDescent="0.25">
      <c r="D59" s="426" t="s">
        <v>398</v>
      </c>
      <c r="E59" s="293" t="e">
        <f>IF(NOT(ISBLANK(F59)),F59,DGET('Grid Numbers'!$A$2:$L$4952,'Grid Numbers'!$J$2,$L$74:$R$75))</f>
        <v>#VALUE!</v>
      </c>
      <c r="F59" s="486"/>
      <c r="J59" s="426" t="s">
        <v>398</v>
      </c>
      <c r="K59" s="294" t="e">
        <f>IF(NOT(ISBLANK(L59)),L59,DGET('Grid Numbers'!$A$2:$L$4952,'Grid Numbers'!$J$2,$L$76:$R$77))</f>
        <v>#VALUE!</v>
      </c>
      <c r="L59" s="486"/>
      <c r="N59" s="426" t="s">
        <v>398</v>
      </c>
      <c r="O59" s="293" t="e">
        <f>IF(NOT(ISBLANK(P59)),P59,DGET('Grid Numbers'!$A$2:$L$4952,'Grid Numbers'!$J$2,$L$78:$R$79))</f>
        <v>#VALUE!</v>
      </c>
      <c r="P59" s="486"/>
      <c r="T59" s="426" t="s">
        <v>398</v>
      </c>
      <c r="U59" s="293" t="e">
        <f>IF(NOT(ISBLANK(V59)),V59,DGET('Grid Numbers'!$A$2:$L$4952,'Grid Numbers'!$J$2,$L$80:$R$81))</f>
        <v>#VALUE!</v>
      </c>
      <c r="V59" s="486"/>
      <c r="AA59" s="593"/>
      <c r="AB59" s="593"/>
      <c r="AE59" s="289"/>
      <c r="AF59" s="288"/>
      <c r="AG59" s="290"/>
      <c r="AH59" s="290"/>
      <c r="AI59" s="289"/>
      <c r="AJ59" s="288"/>
      <c r="AK59" s="289"/>
      <c r="AL59" s="288"/>
      <c r="AV59" s="596">
        <v>4</v>
      </c>
      <c r="AW59" s="291" t="s">
        <v>439</v>
      </c>
      <c r="AX59" s="291" t="s">
        <v>445</v>
      </c>
      <c r="AY59" s="291" t="s">
        <v>454</v>
      </c>
      <c r="AZ59" s="291" t="s">
        <v>464</v>
      </c>
      <c r="BG59" s="291">
        <v>23</v>
      </c>
      <c r="BH59" s="291">
        <v>14</v>
      </c>
      <c r="BI59" s="291">
        <v>13</v>
      </c>
      <c r="BJ59" s="291">
        <v>24</v>
      </c>
      <c r="BK59" s="291">
        <v>25</v>
      </c>
      <c r="BL59" s="291">
        <v>26</v>
      </c>
      <c r="BM59" s="291">
        <v>27</v>
      </c>
      <c r="BN59" s="291">
        <v>22</v>
      </c>
      <c r="BO59" s="291">
        <v>15</v>
      </c>
      <c r="BZ59" s="596"/>
      <c r="CA59" s="596"/>
    </row>
    <row r="60" spans="1:79" ht="12" customHeight="1" x14ac:dyDescent="0.25">
      <c r="D60" s="426" t="s">
        <v>410</v>
      </c>
      <c r="E60" s="293" t="e">
        <f>IF(NOT(ISBLANK(F60)),F60,DGET('Grid Numbers'!$A$2:$L$4952,'Grid Numbers'!$K$2,$L$74:$R$75))</f>
        <v>#VALUE!</v>
      </c>
      <c r="F60" s="487"/>
      <c r="J60" s="426" t="s">
        <v>410</v>
      </c>
      <c r="K60" s="294" t="e">
        <f>IF(NOT(ISBLANK(L60)),L60,DGET('Grid Numbers'!$A$2:$L$4952,'Grid Numbers'!$K$2,$L$76:$R$77))</f>
        <v>#VALUE!</v>
      </c>
      <c r="L60" s="487"/>
      <c r="N60" s="426" t="s">
        <v>410</v>
      </c>
      <c r="O60" s="293" t="e">
        <f>IF(NOT(ISBLANK(P60)),P60,DGET('Grid Numbers'!$A$2:$L$4952,'Grid Numbers'!$K$2,$L$78:$R$79))</f>
        <v>#VALUE!</v>
      </c>
      <c r="P60" s="487"/>
      <c r="T60" s="426" t="s">
        <v>410</v>
      </c>
      <c r="U60" s="293" t="e">
        <f>IF(NOT(ISBLANK(V60)),V60,DGET('Grid Numbers'!$A$2:$L$4952,'Grid Numbers'!$K$2,$L$80:$R$81))</f>
        <v>#VALUE!</v>
      </c>
      <c r="V60" s="487"/>
      <c r="AA60" s="593"/>
      <c r="AB60" s="593"/>
      <c r="AE60" s="761" t="s">
        <v>468</v>
      </c>
      <c r="AF60" s="757"/>
      <c r="AG60" s="761" t="s">
        <v>469</v>
      </c>
      <c r="AH60" s="757"/>
      <c r="AI60" s="761" t="s">
        <v>470</v>
      </c>
      <c r="AJ60" s="757"/>
      <c r="AK60" s="761" t="s">
        <v>471</v>
      </c>
      <c r="AL60" s="757"/>
      <c r="BG60" s="291">
        <v>24</v>
      </c>
      <c r="BH60" s="291">
        <v>13</v>
      </c>
      <c r="BI60" s="291">
        <v>18</v>
      </c>
      <c r="BJ60" s="291">
        <v>19</v>
      </c>
      <c r="BK60" s="291">
        <v>30</v>
      </c>
      <c r="BL60" s="291">
        <v>25</v>
      </c>
      <c r="BM60" s="291">
        <v>26</v>
      </c>
      <c r="BN60" s="291">
        <v>23</v>
      </c>
      <c r="BO60" s="291">
        <v>14</v>
      </c>
      <c r="BZ60" s="596"/>
      <c r="CA60" s="596"/>
    </row>
    <row r="61" spans="1:79" ht="12" customHeight="1" x14ac:dyDescent="0.25">
      <c r="D61" s="426" t="s">
        <v>411</v>
      </c>
      <c r="E61" s="319" t="e">
        <f>IF(NOT(ISBLANK(F61)),F61,DGET('Grid Numbers'!$A$2:$L$4952,'Grid Numbers'!$L$2,$L$74:$R$75))</f>
        <v>#VALUE!</v>
      </c>
      <c r="F61" s="490"/>
      <c r="J61" s="426" t="s">
        <v>411</v>
      </c>
      <c r="K61" s="319" t="e">
        <f>IF(NOT(ISBLANK(L61)),L61,DGET('Grid Numbers'!$A$2:$L$4952,'Grid Numbers'!$L$2,$L$76:$R$77))</f>
        <v>#VALUE!</v>
      </c>
      <c r="L61" s="490"/>
      <c r="N61" s="426" t="s">
        <v>411</v>
      </c>
      <c r="O61" s="319" t="e">
        <f>IF(NOT(ISBLANK(P61)),P61,DGET('Grid Numbers'!$A$2:$L$4952,'Grid Numbers'!$L$2,$L$78:$R$79))</f>
        <v>#VALUE!</v>
      </c>
      <c r="P61" s="490"/>
      <c r="T61" s="426" t="s">
        <v>411</v>
      </c>
      <c r="U61" s="319" t="e">
        <f>IF(NOT(ISBLANK(V61)),V61,DGET('Grid Numbers'!$A$2:$L$4952,'Grid Numbers'!$L$2,$L$80:$R$81))</f>
        <v>#VALUE!</v>
      </c>
      <c r="V61" s="490"/>
      <c r="AA61" s="593"/>
      <c r="AB61" s="593"/>
      <c r="AD61" s="467" t="s">
        <v>340</v>
      </c>
      <c r="AE61" s="588" t="s">
        <v>186</v>
      </c>
      <c r="AF61" s="588" t="s">
        <v>188</v>
      </c>
      <c r="AG61" s="465" t="s">
        <v>186</v>
      </c>
      <c r="AH61" s="464" t="s">
        <v>189</v>
      </c>
      <c r="AI61" s="588" t="s">
        <v>187</v>
      </c>
      <c r="AJ61" s="588" t="s">
        <v>189</v>
      </c>
      <c r="AK61" s="588" t="s">
        <v>187</v>
      </c>
      <c r="AL61" s="588" t="s">
        <v>188</v>
      </c>
      <c r="AN61" s="596" t="s">
        <v>472</v>
      </c>
      <c r="AW61" s="292" t="e">
        <f>VLOOKUP(MAX($AE$48:$AL$48),$AV$56:$AZ$59,MAX($AE$48:$AL$48)+1,FALSE)</f>
        <v>#VALUE!</v>
      </c>
      <c r="BG61" s="291">
        <v>25</v>
      </c>
      <c r="BH61" s="291">
        <v>24</v>
      </c>
      <c r="BI61" s="291">
        <v>19</v>
      </c>
      <c r="BJ61" s="291">
        <v>30</v>
      </c>
      <c r="BK61" s="291">
        <v>31</v>
      </c>
      <c r="BL61" s="291">
        <v>36</v>
      </c>
      <c r="BM61" s="291">
        <v>35</v>
      </c>
      <c r="BN61" s="291">
        <v>26</v>
      </c>
      <c r="BO61" s="291">
        <v>23</v>
      </c>
      <c r="BZ61" s="596"/>
      <c r="CA61" s="596"/>
    </row>
    <row r="62" spans="1:79" ht="12" customHeight="1" x14ac:dyDescent="0.25">
      <c r="D62" s="426" t="s">
        <v>412</v>
      </c>
      <c r="E62" s="642" t="e">
        <f>IF(E58="","",IF(OR(E61=1,E61=4),180-(E58+E59/60+E60/3600),(E58+E59/60+E60/3600)))</f>
        <v>#VALUE!</v>
      </c>
      <c r="F62" s="485" t="s">
        <v>366</v>
      </c>
      <c r="J62" s="426" t="s">
        <v>412</v>
      </c>
      <c r="K62" s="642" t="e">
        <f>IF(K58="","",IF(OR(K61=1,K61=4),180-(K58+K59/60+K60/3600),(K58+K59/60+K60/3600)))</f>
        <v>#VALUE!</v>
      </c>
      <c r="L62" s="485" t="s">
        <v>366</v>
      </c>
      <c r="N62" s="426" t="s">
        <v>412</v>
      </c>
      <c r="O62" s="643" t="e">
        <f>IF(O58="","",IF(OR(O61=1,O61=4),180-(O58+O59/60+O60/3600),(O58+O59/60+O60/3600)))</f>
        <v>#VALUE!</v>
      </c>
      <c r="P62" s="485" t="s">
        <v>366</v>
      </c>
      <c r="T62" s="426" t="s">
        <v>412</v>
      </c>
      <c r="U62" s="643" t="e">
        <f>IF(U58="","",IF(OR(U61=1,U61=4),180-(U58+U59/60+U60/3600),(U58+U59/60+U60/3600)))</f>
        <v>#VALUE!</v>
      </c>
      <c r="V62" s="485" t="s">
        <v>366</v>
      </c>
      <c r="AA62" s="593"/>
      <c r="AB62" s="593"/>
      <c r="AD62" s="317">
        <v>1</v>
      </c>
      <c r="AE62" s="481" t="e">
        <f>IF($AD62=AE$58,(-$AE$30+$AF$30*$AV$19/$AW$19)*$AV$28,"")</f>
        <v>#VALUE!</v>
      </c>
      <c r="AF62" s="482" t="e">
        <f>IF($AD62=AE$58,(-$AF$30+$AE$30*$CA$19/$BZ$19)*$BZ$28,"")</f>
        <v>#VALUE!</v>
      </c>
      <c r="AG62" s="481" t="e">
        <f>IF($AD62=AG$58,(-$AG$30+$BB$19+($AH$30-$BC$19)*$AZ$19/$BA$19)*$AZ$28,"")</f>
        <v>#VALUE!</v>
      </c>
      <c r="AH62" s="482" t="e">
        <f>IF($AD62=AG$58,($AH$30-$AG$30*$BE$19/$BD$19)*$BD$28,"")</f>
        <v>#VALUE!</v>
      </c>
      <c r="AI62" s="481" t="e">
        <f>IF($AD62=AI$58,($AI$30-$BL$19-($AJ$30-$BM$19)*$BN$19/$BO$19)*$BN$28,"")</f>
        <v>#VALUE!</v>
      </c>
      <c r="AJ62" s="482" t="e">
        <f>IF($AD62=AI$58,($AJ$30-$BK$19-($AI$30-$BJ$19)*$BI$19/$BH$19)*$BH$28,"")</f>
        <v>#VALUE!</v>
      </c>
      <c r="AK62" s="481" t="e">
        <f>IF($AD62=AK$58,($AK$30-$AL$30*$BR$19/$BS$19)*$BR$28,"")</f>
        <v>#VALUE!</v>
      </c>
      <c r="AL62" s="482" t="e">
        <f>IF($AD62=AK$58,(-$AL$30+$BU$19+($AK$30-$BT$19)*$BW$19/$BV$19)*$BV$28,"")</f>
        <v>#VALUE!</v>
      </c>
      <c r="AN62" s="287" t="e">
        <f>(-$AE$30+$AF$30*$AV$19/$AW$19)</f>
        <v>#VALUE!</v>
      </c>
      <c r="AO62" s="286" t="e">
        <f>(-$AF$30+$AE$30*$CA$19/$BZ$19)</f>
        <v>#VALUE!</v>
      </c>
      <c r="AP62" s="287" t="e">
        <f>(-$AG$30+$BB$19+($AH$30-$BC$19)*$AZ$19/$BA$19)</f>
        <v>#VALUE!</v>
      </c>
      <c r="AQ62" s="286" t="e">
        <f>($AH$30-$AG$30*$BE$19/$BD$19)</f>
        <v>#VALUE!</v>
      </c>
      <c r="AR62" s="287" t="e">
        <f>($AI$30-$BL$19-($AJ$30-$BM$19)*$BN$19/$BO$19)</f>
        <v>#VALUE!</v>
      </c>
      <c r="AS62" s="286" t="e">
        <f>($AJ$30-$BK$19-($AI$30-$BJ$19)*$BI$19/$BH$19)</f>
        <v>#VALUE!</v>
      </c>
      <c r="AT62" s="287" t="e">
        <f>($AK$30-$AL$30*$BR$19/$BS$19)</f>
        <v>#VALUE!</v>
      </c>
      <c r="AU62" s="286" t="e">
        <f>(-$AL$30+$BU$19+($AK$30-$BT$19)*$BW$19/$BV$19)</f>
        <v>#VALUE!</v>
      </c>
      <c r="BG62" s="291">
        <v>26</v>
      </c>
      <c r="BH62" s="291">
        <v>23</v>
      </c>
      <c r="BI62" s="291">
        <v>24</v>
      </c>
      <c r="BJ62" s="291">
        <v>25</v>
      </c>
      <c r="BK62" s="291">
        <v>36</v>
      </c>
      <c r="BL62" s="291">
        <v>35</v>
      </c>
      <c r="BM62" s="291">
        <v>34</v>
      </c>
      <c r="BN62" s="291">
        <v>27</v>
      </c>
      <c r="BO62" s="291">
        <v>22</v>
      </c>
      <c r="BZ62" s="596"/>
      <c r="CA62" s="596"/>
    </row>
    <row r="63" spans="1:79" ht="12" customHeight="1" x14ac:dyDescent="0.25">
      <c r="AA63" s="593"/>
      <c r="AB63" s="593"/>
      <c r="AD63" s="317">
        <v>2</v>
      </c>
      <c r="AE63" s="481" t="e">
        <f>IF($AD63=AE$58,(-$AE$30-$AV$19+($AF$30+$AW$19)*$AX$19/$AY$19)*$AX$28,"")</f>
        <v>#VALUE!</v>
      </c>
      <c r="AF63" s="482" t="e">
        <f>IF($AD63=AE$58,(-$AF$30+$AE$30*$CA$19/$BZ$19)*$BZ$28,"")</f>
        <v>#VALUE!</v>
      </c>
      <c r="AG63" s="481" t="e">
        <f>IF($AD63=AG$58,(-$AG$30+$AH$30*$BB$19/$BC$19)*$BB$28,"")</f>
        <v>#VALUE!</v>
      </c>
      <c r="AH63" s="482" t="e">
        <f>IF($AD63=AG$58,($AH$30-$AG$30*$BE$19/$BD$19)*$BD$28,"")</f>
        <v>#VALUE!</v>
      </c>
      <c r="AI63" s="481" t="e">
        <f>IF($AD63=AI$58,($AI$30-$AJ$30*$BL$19/$BM$19)*$BL$28,"")</f>
        <v>#VALUE!</v>
      </c>
      <c r="AJ63" s="482" t="e">
        <f>IF($AD63=AI$58,($AJ$30-$BK$19-($AI$30-$BJ$19)*$BI$19/$BH$19)*$BH$28,"")</f>
        <v>#VALUE!</v>
      </c>
      <c r="AK63" s="481" t="e">
        <f>IF($AD63=AK$58,($AK$30+$BR$19+(-$AL$30-$BS$19)*$BP$19/$BQ$19)*$BP$28,"")</f>
        <v>#VALUE!</v>
      </c>
      <c r="AL63" s="482" t="e">
        <f>IF($AD63=AK$58,(-$AL$30+$BU$19+($AK$30-$BT$19)*$BW$19/$BV$19)*$BV$28,"")</f>
        <v>#VALUE!</v>
      </c>
      <c r="AN63" s="481" t="e">
        <f>(-$AE$30-$AV$19+($AF$30+$AW$19)*$AX$19/$AY$19)</f>
        <v>#VALUE!</v>
      </c>
      <c r="AO63" s="482" t="e">
        <f>(-$AF$30+$AE$30*$CA$19/$BZ$19)</f>
        <v>#VALUE!</v>
      </c>
      <c r="AP63" s="481" t="e">
        <f>(-$AG$30+$AH$30*$BB$19/$BC$19)</f>
        <v>#VALUE!</v>
      </c>
      <c r="AQ63" s="482" t="e">
        <f>($AH$30-$AG$30*$BE$19/$BD$19)</f>
        <v>#VALUE!</v>
      </c>
      <c r="AR63" s="481" t="e">
        <f>($AI$30-$AJ$30*$BL$19/$BM$19)</f>
        <v>#VALUE!</v>
      </c>
      <c r="AS63" s="482" t="e">
        <f>($AJ$30-$BK$19-($AI$30-$BJ$19)*$BI$19/$BH$19)</f>
        <v>#VALUE!</v>
      </c>
      <c r="AT63" s="481" t="e">
        <f>($AK$30+$BR$19+(-$AL$30-$BS$19)*$BP$19/$BQ$19)</f>
        <v>#VALUE!</v>
      </c>
      <c r="AU63" s="482" t="e">
        <f>(-$AL$30+$BU$19+($AK$30-$BT$19)*$BW$19/$BV$19)</f>
        <v>#VALUE!</v>
      </c>
      <c r="BG63" s="291">
        <v>27</v>
      </c>
      <c r="BH63" s="291">
        <v>22</v>
      </c>
      <c r="BI63" s="291">
        <v>23</v>
      </c>
      <c r="BJ63" s="291">
        <v>26</v>
      </c>
      <c r="BK63" s="291">
        <v>35</v>
      </c>
      <c r="BL63" s="291">
        <v>34</v>
      </c>
      <c r="BM63" s="291">
        <v>33</v>
      </c>
      <c r="BN63" s="291">
        <v>28</v>
      </c>
      <c r="BO63" s="291">
        <v>21</v>
      </c>
      <c r="BZ63" s="596"/>
      <c r="CA63" s="596"/>
    </row>
    <row r="64" spans="1:79" ht="12" customHeight="1" x14ac:dyDescent="0.25">
      <c r="B64" t="e">
        <f>IF('Grid Numbers'!C1710 = S, 2, 1)</f>
        <v>#NAME?</v>
      </c>
      <c r="AA64" s="593"/>
      <c r="AB64" s="593"/>
      <c r="AD64" s="317">
        <v>3</v>
      </c>
      <c r="AE64" s="481" t="e">
        <f>IF($AD64=AE$58,(-$AE$30-$AV$19+($AF$30+$AW$19)*$AX$19/$AY$19)*$AX$28,"")</f>
        <v>#VALUE!</v>
      </c>
      <c r="AF64" s="482" t="e">
        <f>IF($AD64=AE$58,(-$AF$30-$CA$19-(-$AE$30-$BZ$19)*$BY$19/$BX$19)*$BX$28,"")</f>
        <v>#VALUE!</v>
      </c>
      <c r="AG64" s="481" t="e">
        <f>IF($AD64=AG$58,(-$AG$30+$AH$30*$BB$19/$BC$19)*$BB$28,"")</f>
        <v>#VALUE!</v>
      </c>
      <c r="AH64" s="482" t="e">
        <f>IF($AD64=AG$58,($AH$30+$BE$19+(-$AG$30-$BD$19)*$BG$19/$BF$19)*$BF$28,"")</f>
        <v>#VALUE!</v>
      </c>
      <c r="AI64" s="481" t="e">
        <f>IF($AD64=AI$58,($AI$30-$AJ$30*$BL$19/$BM$19)*$BL$28,"")</f>
        <v>#VALUE!</v>
      </c>
      <c r="AJ64" s="482" t="e">
        <f>IF($AD64=AI$58,($AJ$30-$AI$30*$BK$19/$BJ$19)*$BJ$28,"")</f>
        <v>#VALUE!</v>
      </c>
      <c r="AK64" s="481" t="e">
        <f>IF($AD64=AK$58,($AK$30+$BR$19+(-$AL$30-$BS$19)*$BP$19/$BQ$19)*$BP$28,"")</f>
        <v>#VALUE!</v>
      </c>
      <c r="AL64" s="482" t="e">
        <f>IF($AD64=AK$58,(-$AL$30+$AK$30*$BU$19/$BT$19)*$BT$28,"")</f>
        <v>#VALUE!</v>
      </c>
      <c r="AN64" s="481" t="e">
        <f>(-$AE$30-$AV$19+($AF$30+$AW$19)*$AX$19/$AY$19)</f>
        <v>#VALUE!</v>
      </c>
      <c r="AO64" s="482" t="e">
        <f>(-$AF$30-$CA$19-(-$AE$30-$BZ$19)*$BY$19/$BX$19)</f>
        <v>#VALUE!</v>
      </c>
      <c r="AP64" s="481" t="e">
        <f>(-$AG$30+$AH$30*$BB$19/$BC$19)</f>
        <v>#VALUE!</v>
      </c>
      <c r="AQ64" s="482" t="e">
        <f>($AH$30+$BE$19+(-$AG$30-$BD$19)*$BG$19/$BF$19)</f>
        <v>#VALUE!</v>
      </c>
      <c r="AR64" s="481" t="e">
        <f>($AI$30-$AJ$30*$BL$19/$BM$19)</f>
        <v>#VALUE!</v>
      </c>
      <c r="AS64" s="482" t="e">
        <f>($AJ$30-$AI$30*$BK$19/$BJ$19)</f>
        <v>#VALUE!</v>
      </c>
      <c r="AT64" s="481" t="e">
        <f>($AK$30+$BR$19+(-$AL$30-$BS$19)*$BP$19/$BQ$19)</f>
        <v>#VALUE!</v>
      </c>
      <c r="AU64" s="482" t="e">
        <f>(-$AL$30+$AK$30*$BU$19/$BT$19)</f>
        <v>#VALUE!</v>
      </c>
      <c r="BG64" s="291">
        <v>28</v>
      </c>
      <c r="BH64" s="291">
        <v>21</v>
      </c>
      <c r="BI64" s="291">
        <v>22</v>
      </c>
      <c r="BJ64" s="291">
        <v>27</v>
      </c>
      <c r="BK64" s="291">
        <v>34</v>
      </c>
      <c r="BL64" s="291">
        <v>33</v>
      </c>
      <c r="BM64" s="291">
        <v>32</v>
      </c>
      <c r="BN64" s="291">
        <v>29</v>
      </c>
      <c r="BO64" s="291">
        <v>20</v>
      </c>
      <c r="BZ64" s="596"/>
      <c r="CA64" s="596"/>
    </row>
    <row r="65" spans="2:79" ht="12" customHeight="1" x14ac:dyDescent="0.25">
      <c r="J65" t="e">
        <f>DGET('Grid Numbers'!$A$2:$M$4952,'Grid Numbers'!$M$2,$B$66:$H$67)</f>
        <v>#VALUE!</v>
      </c>
      <c r="AA65" s="593"/>
      <c r="AB65" s="593"/>
      <c r="AD65" s="317">
        <v>4</v>
      </c>
      <c r="AE65" s="284" t="e">
        <f>IF($AD65=AE$58,(-$AE$30+$AF$30*$AV$19/$AW$19)*$AV$28,"")</f>
        <v>#VALUE!</v>
      </c>
      <c r="AF65" s="283" t="e">
        <f>IF($AD65=AE$58,(-$AF$30-$CA$19-(-$AE$30-$BZ$19)*$BY$19/$BX$19)*$BX$28,"")</f>
        <v>#VALUE!</v>
      </c>
      <c r="AG65" s="284" t="e">
        <f>IF($AD65=AG$58,(-$AG$30+$BB$19+($AH$30-$BC$19)*$AZ$19/$BA$19)*$AZ$28,"")</f>
        <v>#VALUE!</v>
      </c>
      <c r="AH65" s="283" t="e">
        <f>IF($AD65=AG$58,($AH$30+$BE$19+(-$AG$30-$BD$19)*$BG$19/$BF$19)*$BF$28,"")</f>
        <v>#VALUE!</v>
      </c>
      <c r="AI65" s="284" t="e">
        <f>IF($AD65=AI$58,($AI$30-$BL$19-($AJ$30-$BM$19)*$BN$19/$BO$19)*$BN$28,"")</f>
        <v>#VALUE!</v>
      </c>
      <c r="AJ65" s="283" t="e">
        <f>IF($AD65=AI$58,($AJ$30-$AI$30*$BK$19/$BJ$19)*$BJ$28,"")</f>
        <v>#VALUE!</v>
      </c>
      <c r="AK65" s="284" t="e">
        <f>IF($AD65=AK$58,($AK$30-$AL$30*$BR$19/$BS$19)*$BR$28,"")</f>
        <v>#VALUE!</v>
      </c>
      <c r="AL65" s="283" t="e">
        <f>IF($AD65=AK$58,(-$AL$30+$AK$30*$BU$19/$BT$19)*$BT$28,"")</f>
        <v>#VALUE!</v>
      </c>
      <c r="AN65" s="284" t="e">
        <f>(-$AE$30+$AF$30*$AV$19/$AW$19)</f>
        <v>#VALUE!</v>
      </c>
      <c r="AO65" s="283" t="e">
        <f>(-$AF$30-$CA$19-(-$AE$30-$BZ$19)*$BY$19/$BX$19)</f>
        <v>#VALUE!</v>
      </c>
      <c r="AP65" s="284" t="e">
        <f>(-$AG$30+$BB$19+($AH$30-$BC$19)*$AZ$19/$BA$19)</f>
        <v>#VALUE!</v>
      </c>
      <c r="AQ65" s="283" t="e">
        <f>($AH$30+$BE$19+(-$AG$30-$BD$19)*$BG$19/$BF$19)</f>
        <v>#VALUE!</v>
      </c>
      <c r="AR65" s="284" t="e">
        <f>($AI$30-$BL$19-($AJ$30-$BM$19)*$BN$19/$BO$19)</f>
        <v>#VALUE!</v>
      </c>
      <c r="AS65" s="283" t="e">
        <f>($AJ$30-$AI$30*$BK$19/$BJ$19)</f>
        <v>#VALUE!</v>
      </c>
      <c r="AT65" s="284" t="e">
        <f>($AK$30-$AL$30*$BR$19/$BS$19)</f>
        <v>#VALUE!</v>
      </c>
      <c r="AU65" s="283" t="e">
        <f>(-$AL$30+$AK$30*$BU$19/$BT$19)</f>
        <v>#VALUE!</v>
      </c>
      <c r="BG65" s="291">
        <v>29</v>
      </c>
      <c r="BH65" s="291">
        <v>20</v>
      </c>
      <c r="BI65" s="291">
        <v>21</v>
      </c>
      <c r="BJ65" s="291">
        <v>28</v>
      </c>
      <c r="BK65" s="291">
        <v>33</v>
      </c>
      <c r="BL65" s="291">
        <v>32</v>
      </c>
      <c r="BM65" s="291">
        <v>31</v>
      </c>
      <c r="BN65" s="291">
        <v>30</v>
      </c>
      <c r="BO65" s="291">
        <v>19</v>
      </c>
      <c r="BZ65" s="596"/>
      <c r="CA65" s="596"/>
    </row>
    <row r="66" spans="2:79" ht="12" customHeight="1" x14ac:dyDescent="0.25">
      <c r="B66" s="494" t="s">
        <v>56</v>
      </c>
      <c r="C66" s="494" t="s">
        <v>55</v>
      </c>
      <c r="D66" s="494" t="s">
        <v>57</v>
      </c>
      <c r="E66" s="494" t="s">
        <v>310</v>
      </c>
      <c r="F66" s="494" t="s">
        <v>311</v>
      </c>
      <c r="G66" s="494" t="s">
        <v>157</v>
      </c>
      <c r="H66" s="494" t="s">
        <v>312</v>
      </c>
      <c r="L66" s="494" t="s">
        <v>56</v>
      </c>
      <c r="M66" s="494" t="s">
        <v>55</v>
      </c>
      <c r="N66" s="494" t="s">
        <v>57</v>
      </c>
      <c r="O66" s="494" t="s">
        <v>310</v>
      </c>
      <c r="P66" s="494" t="s">
        <v>311</v>
      </c>
      <c r="Q66" s="494" t="s">
        <v>157</v>
      </c>
      <c r="R66" s="494" t="s">
        <v>312</v>
      </c>
      <c r="U66" s="593"/>
      <c r="V66" s="593"/>
      <c r="AA66" s="593"/>
      <c r="AB66" s="593"/>
      <c r="AE66" s="282" t="str">
        <f>IF(ISNUMBER($AE$62),AE$62,IF(ISNUMBER($AE$63),AE$63,IF(ISNUMBER($AE$64),AE$64,IF(ISNUMBER($AE$65),AE$65,""))))</f>
        <v/>
      </c>
      <c r="AF66" s="281" t="str">
        <f>IF(ISNUMBER($AF$62),AF$62,IF(ISNUMBER($AF$63),AF$63,IF(ISNUMBER($AF$64),AF$64,IF(ISNUMBER($AF$65),AF$65,""))))</f>
        <v/>
      </c>
      <c r="AG66" s="282" t="str">
        <f>IF(ISNUMBER($AG$62),AG$62,IF(ISNUMBER($AG$63),AG$63,IF(ISNUMBER($AG$64),AG$64,IF(ISNUMBER($AG$65),AG$65,""))))</f>
        <v/>
      </c>
      <c r="AH66" s="281" t="str">
        <f>IF(ISNUMBER($AH$62),AH$62,IF(ISNUMBER($AH$63),AH$63,IF(ISNUMBER($AH$64),AH$64,IF(ISNUMBER($AH$65),AH$65,""))))</f>
        <v/>
      </c>
      <c r="AI66" s="282" t="str">
        <f>IF(ISNUMBER($AI$62),AI$62,IF(ISNUMBER($AI$63),AI$63,IF(ISNUMBER($AI$64),AI$64,IF(ISNUMBER($AI$65),AI$65,""))))</f>
        <v/>
      </c>
      <c r="AJ66" s="281" t="str">
        <f>IF(ISNUMBER($AJ$62),AJ$62,IF(ISNUMBER($AJ$63),AJ$63,IF(ISNUMBER($AJ$64),AJ$64,IF(ISNUMBER($AJ$65),AJ$65,""))))</f>
        <v/>
      </c>
      <c r="AK66" s="282" t="str">
        <f>IF(ISNUMBER($AK$62),AK$62,IF(ISNUMBER($AK$63),AK$63,IF(ISNUMBER($AK$64),AK$64,IF(ISNUMBER($AK$65),AK$65,""))))</f>
        <v/>
      </c>
      <c r="AL66" s="281" t="str">
        <f>IF(ISNUMBER($AL$62),AL$62,IF(ISNUMBER($AL$63),AL$63,IF(ISNUMBER($AL$64),AL$64,IF(ISNUMBER($AL$65),AL$65,""))))</f>
        <v/>
      </c>
      <c r="AO66" s="417"/>
      <c r="AP66" s="417"/>
      <c r="AQ66" s="417"/>
      <c r="AR66" s="417"/>
      <c r="AS66" s="417"/>
      <c r="AT66" s="417"/>
      <c r="BG66" s="291">
        <v>30</v>
      </c>
      <c r="BH66" s="291">
        <v>19</v>
      </c>
      <c r="BI66" s="291">
        <v>20</v>
      </c>
      <c r="BJ66" s="291">
        <v>29</v>
      </c>
      <c r="BK66" s="291">
        <v>32</v>
      </c>
      <c r="BL66" s="291">
        <v>31</v>
      </c>
      <c r="BM66" s="291">
        <v>36</v>
      </c>
      <c r="BN66" s="291">
        <v>25</v>
      </c>
      <c r="BO66" s="291">
        <v>24</v>
      </c>
      <c r="BZ66" s="596"/>
      <c r="CA66" s="596"/>
    </row>
    <row r="67" spans="2:79" ht="12" customHeight="1" x14ac:dyDescent="0.25">
      <c r="B67" s="475">
        <f>$L$38</f>
        <v>0</v>
      </c>
      <c r="C67" s="475">
        <f>$O$7</f>
        <v>0</v>
      </c>
      <c r="D67" s="475">
        <f>$P$7</f>
        <v>0</v>
      </c>
      <c r="E67" s="475">
        <f>$Q$7</f>
        <v>0</v>
      </c>
      <c r="F67" s="475">
        <f>$R$7</f>
        <v>0</v>
      </c>
      <c r="G67" s="475">
        <f>$S$7</f>
        <v>0</v>
      </c>
      <c r="H67" s="474" t="s">
        <v>473</v>
      </c>
      <c r="L67" s="475">
        <f>$L$38</f>
        <v>0</v>
      </c>
      <c r="M67" s="475">
        <f>$O$7</f>
        <v>0</v>
      </c>
      <c r="N67" s="475">
        <f>$P$7</f>
        <v>0</v>
      </c>
      <c r="O67" s="475">
        <f>$Q$7</f>
        <v>0</v>
      </c>
      <c r="P67" s="475">
        <f>$R$7</f>
        <v>0</v>
      </c>
      <c r="Q67" s="475">
        <f>$S$7</f>
        <v>0</v>
      </c>
      <c r="R67" s="474" t="s">
        <v>474</v>
      </c>
      <c r="U67" s="593"/>
      <c r="V67" s="593"/>
      <c r="AA67" s="593"/>
      <c r="AB67" s="593"/>
      <c r="AE67" s="289"/>
      <c r="AF67" s="288"/>
      <c r="AG67" s="290"/>
      <c r="AH67" s="290"/>
      <c r="AI67" s="289"/>
      <c r="AJ67" s="288"/>
      <c r="AK67" s="289"/>
      <c r="AL67" s="288"/>
      <c r="AO67" s="417"/>
      <c r="AP67" s="417"/>
      <c r="AQ67" s="417"/>
      <c r="AR67" s="417"/>
      <c r="AS67" s="417"/>
      <c r="AT67" s="417"/>
      <c r="BG67" s="291">
        <v>31</v>
      </c>
      <c r="BH67" s="291">
        <v>30</v>
      </c>
      <c r="BI67" s="291">
        <v>29</v>
      </c>
      <c r="BJ67" s="291">
        <v>32</v>
      </c>
      <c r="BK67" s="291">
        <v>5</v>
      </c>
      <c r="BL67" s="291">
        <v>6</v>
      </c>
      <c r="BM67" s="291">
        <v>1</v>
      </c>
      <c r="BN67" s="291">
        <v>36</v>
      </c>
      <c r="BO67" s="291">
        <v>25</v>
      </c>
      <c r="BZ67" s="596"/>
      <c r="CA67" s="596"/>
    </row>
    <row r="68" spans="2:79" ht="12" customHeight="1" x14ac:dyDescent="0.25">
      <c r="B68" s="494" t="s">
        <v>56</v>
      </c>
      <c r="C68" s="494" t="s">
        <v>55</v>
      </c>
      <c r="D68" s="494" t="s">
        <v>57</v>
      </c>
      <c r="E68" s="494" t="s">
        <v>310</v>
      </c>
      <c r="F68" s="494" t="s">
        <v>311</v>
      </c>
      <c r="G68" s="494" t="s">
        <v>157</v>
      </c>
      <c r="H68" s="494" t="s">
        <v>312</v>
      </c>
      <c r="L68" s="494" t="s">
        <v>56</v>
      </c>
      <c r="M68" s="494" t="s">
        <v>55</v>
      </c>
      <c r="N68" s="494" t="s">
        <v>57</v>
      </c>
      <c r="O68" s="494" t="s">
        <v>310</v>
      </c>
      <c r="P68" s="494" t="s">
        <v>311</v>
      </c>
      <c r="Q68" s="494" t="s">
        <v>157</v>
      </c>
      <c r="R68" s="494" t="s">
        <v>312</v>
      </c>
      <c r="U68" s="593"/>
      <c r="V68" s="593"/>
      <c r="AA68" s="593"/>
      <c r="AB68" s="593"/>
      <c r="AE68" s="761" t="s">
        <v>475</v>
      </c>
      <c r="AF68" s="757"/>
      <c r="AG68" s="767" t="s">
        <v>475</v>
      </c>
      <c r="AH68" s="735"/>
      <c r="AI68" s="761" t="s">
        <v>475</v>
      </c>
      <c r="AJ68" s="757"/>
      <c r="AK68" s="761" t="s">
        <v>475</v>
      </c>
      <c r="AL68" s="757"/>
      <c r="AO68" s="417"/>
      <c r="AP68" s="417"/>
      <c r="AQ68" s="417"/>
      <c r="AR68" s="417"/>
      <c r="AS68" s="417"/>
      <c r="AT68" s="417"/>
      <c r="BG68" s="291">
        <v>32</v>
      </c>
      <c r="BH68" s="291">
        <v>29</v>
      </c>
      <c r="BI68" s="291">
        <v>28</v>
      </c>
      <c r="BJ68" s="291">
        <v>33</v>
      </c>
      <c r="BK68" s="291">
        <v>4</v>
      </c>
      <c r="BL68" s="291">
        <v>5</v>
      </c>
      <c r="BM68" s="291">
        <v>6</v>
      </c>
      <c r="BN68" s="291">
        <v>31</v>
      </c>
      <c r="BO68" s="291">
        <v>30</v>
      </c>
      <c r="BZ68" s="596"/>
      <c r="CA68" s="596"/>
    </row>
    <row r="69" spans="2:79" ht="12" customHeight="1" x14ac:dyDescent="0.25">
      <c r="B69" s="475">
        <f>$L$38</f>
        <v>0</v>
      </c>
      <c r="C69" s="475">
        <f>$O$7</f>
        <v>0</v>
      </c>
      <c r="D69" s="475">
        <f>$P$7</f>
        <v>0</v>
      </c>
      <c r="E69" s="475">
        <f>$Q$7</f>
        <v>0</v>
      </c>
      <c r="F69" s="475">
        <f>$R$7</f>
        <v>0</v>
      </c>
      <c r="G69" s="475">
        <f>$S$7</f>
        <v>0</v>
      </c>
      <c r="H69" s="493" t="s">
        <v>476</v>
      </c>
      <c r="L69" s="475">
        <f>$L$38</f>
        <v>0</v>
      </c>
      <c r="M69" s="475">
        <f>$O$7</f>
        <v>0</v>
      </c>
      <c r="N69" s="475">
        <f>$P$7</f>
        <v>0</v>
      </c>
      <c r="O69" s="475">
        <f>$Q$7</f>
        <v>0</v>
      </c>
      <c r="P69" s="475">
        <f>$R$7</f>
        <v>0</v>
      </c>
      <c r="Q69" s="475">
        <f>$S$7</f>
        <v>0</v>
      </c>
      <c r="R69" s="474" t="s">
        <v>477</v>
      </c>
      <c r="U69" s="593"/>
      <c r="V69" s="593"/>
      <c r="AA69" s="593"/>
      <c r="AB69" s="593"/>
      <c r="AE69" s="762" t="e">
        <f>IF($AE$32="","",IF(AND((-$AE$32+$AF$32*$AV$19/$AW$19)&gt;0,-$AE$32&lt;$BZ$19,(-$AF$32+$AE$32*$CA$19/$BZ$19)&gt;0,-$AF$32&lt;$AW$19),1,IF(AND((-$AE$32-$AV$19+($AF$32+$AW$19)*$AX$19/$AY$19)&gt;0,-$AE$32&lt;$BZ$19,-$AF$32&gt;$AW$19,-$AF$32&lt;$AX$22),2,IF(AND(-$AE$32&lt;$BY$22,-$AE$32&gt;$BZ$19,-$AF$32&gt;$AW$19,-$AF$32&lt;$AX$22),3,IF(AND(-$AE$32&lt;$BY$22,-$AE$32&gt;$BZ$19,(-$AF$32-$CA$19-(-$AE$32-$BZ$19)*$BY$19/$BX$19)&gt;0,-$AF$32&lt;$AW$19),4,"")))))</f>
        <v>#VALUE!</v>
      </c>
      <c r="AF69" s="683"/>
      <c r="AG69" s="762" t="e">
        <f>IF($AG$33="","",IF(AND((-$AG$33+$BB$19+($AH$33-$BC$19)*$AZ$19/$BA$19)&gt;0,-$AG$33&lt;$BD$19,$AH$33&gt;$BC$19,$AH$33&lt;$BB$22),1,IF(AND((-$AG$33+$AH$33*$BB$19/$BC$19)&gt;0,-$AG$33&lt;$BD$19,($AH$33-$AG$33*$BE$19/$BD$19)&gt;0,$AH$33&lt;$BC$19),2,IF(AND(-$AG$33&gt;$BD$19,-$AG$33&lt;$BE$22,($AH$33+$BE$19+(-$AG$33-$BD$19)*$BG$19/$BF$19)&gt;0,$AH$33&lt;$BC$19),3,IF(AND(-$AG$33&gt;$BD$19,-$AG$33&lt;$BE$22,$AH$33&gt;$BC$19,$AH$33&lt;$BB$22),4,"")))))</f>
        <v>#VALUE!</v>
      </c>
      <c r="AH69" s="683"/>
      <c r="AI69" s="762" t="e">
        <f>IF($AI$34="","",IF(AND($AI$34&gt;$BJ$19,$AI$34&lt;$BI$22,$AJ$34&gt;$BM$19,$AJ$34&lt;$BN$22),1,IF(AND($AI$34&gt;$BJ$19,$AI$34&lt;$BI$22,($AJ$34-$BK$19-($AI$34-$BJ$19)*$BI$19/$BH$19)&gt;0,$AJ$34&lt;$BM$19),2,IF(AND(($AI$34-$AJ$34*$BL$19/$BM$19)&gt;0,$AI$34&lt;$BJ$19,($AJ$34-$AI$34*$BK$19/$BJ$19)&gt;0,$AJ$34&lt;$BM$19),3,IF(AND(($AI$34-$BL$19-($AJ$34-$BM$19)*$BN$19/$BO$19)&gt;0,$AI$34&lt;$BJ$19,$AJ$34&gt;$BM$19,$AJ$34&lt;$BN$22),4,"")))))</f>
        <v>#VALUE!</v>
      </c>
      <c r="AJ69" s="683"/>
      <c r="AK69" s="762" t="e">
        <f>IF($AK$35="","",IF(AND($AK$35&gt;$BT$19,$AK$35&lt;$BU$22,(-$AL$35+$BU$19+($AK$35-$BT$19)*$BW$19/$BV$19)&gt;0,-$AL$35&lt;$BS$19),1,IF(AND($AK$35&gt;$BT$19,$AK$35&lt;$BU$22,-$AL$35&gt;$BS$19,-$AL$35&lt;$BR$22),2,IF(AND(($AK$35+$BR$19+(-$AL$35-$BS$19)*$BP$19/$BQ$19)&gt;0,$AK$35&lt;$BT$19,-$AL$35&gt;$BS$19,-$AL$35&lt;$BR$22),3,IF(AND(($AK$35-$AL$35*$BR$19/$BS$19)&gt;0,$AK$35&lt;$BT$19,(-$AL$35+$AK$35*$BU$19/$BT$19)&gt;0,-$AL$35&lt;$BS$19),4,"")))))</f>
        <v>#VALUE!</v>
      </c>
      <c r="AL69" s="683"/>
      <c r="BG69" s="291">
        <v>33</v>
      </c>
      <c r="BH69" s="291">
        <v>28</v>
      </c>
      <c r="BI69" s="291">
        <v>27</v>
      </c>
      <c r="BJ69" s="291">
        <v>34</v>
      </c>
      <c r="BK69" s="291">
        <v>3</v>
      </c>
      <c r="BL69" s="291">
        <v>4</v>
      </c>
      <c r="BM69" s="291">
        <v>5</v>
      </c>
      <c r="BN69" s="291">
        <v>32</v>
      </c>
      <c r="BO69" s="291">
        <v>29</v>
      </c>
      <c r="BZ69" s="596"/>
      <c r="CA69" s="596"/>
    </row>
    <row r="70" spans="2:79" ht="12" customHeight="1" x14ac:dyDescent="0.25">
      <c r="B70" s="494" t="s">
        <v>56</v>
      </c>
      <c r="C70" s="494" t="s">
        <v>55</v>
      </c>
      <c r="D70" s="494" t="s">
        <v>57</v>
      </c>
      <c r="E70" s="494" t="s">
        <v>310</v>
      </c>
      <c r="F70" s="494" t="s">
        <v>311</v>
      </c>
      <c r="G70" s="494" t="s">
        <v>157</v>
      </c>
      <c r="H70" s="494" t="s">
        <v>312</v>
      </c>
      <c r="L70" s="494" t="s">
        <v>56</v>
      </c>
      <c r="M70" s="494" t="s">
        <v>55</v>
      </c>
      <c r="N70" s="494" t="s">
        <v>57</v>
      </c>
      <c r="O70" s="494" t="s">
        <v>310</v>
      </c>
      <c r="P70" s="494" t="s">
        <v>311</v>
      </c>
      <c r="Q70" s="494" t="s">
        <v>157</v>
      </c>
      <c r="R70" s="494" t="s">
        <v>312</v>
      </c>
      <c r="U70" s="593"/>
      <c r="V70" s="593"/>
      <c r="AA70" s="593"/>
      <c r="AB70" s="593"/>
      <c r="AE70" s="289"/>
      <c r="AF70" s="288"/>
      <c r="AG70" s="290"/>
      <c r="AH70" s="290"/>
      <c r="AI70" s="289"/>
      <c r="AJ70" s="288"/>
      <c r="AK70" s="289"/>
      <c r="AL70" s="288"/>
      <c r="BG70" s="291">
        <v>34</v>
      </c>
      <c r="BH70" s="291">
        <v>27</v>
      </c>
      <c r="BI70" s="291">
        <v>26</v>
      </c>
      <c r="BJ70" s="291">
        <v>35</v>
      </c>
      <c r="BK70" s="291">
        <v>2</v>
      </c>
      <c r="BL70" s="291">
        <v>3</v>
      </c>
      <c r="BM70" s="291">
        <v>4</v>
      </c>
      <c r="BN70" s="291">
        <v>33</v>
      </c>
      <c r="BO70" s="291">
        <v>28</v>
      </c>
      <c r="BZ70" s="596"/>
      <c r="CA70" s="596"/>
    </row>
    <row r="71" spans="2:79" ht="12" customHeight="1" x14ac:dyDescent="0.25">
      <c r="B71" s="475">
        <f>$L$38</f>
        <v>0</v>
      </c>
      <c r="C71" s="475">
        <f>$O$7</f>
        <v>0</v>
      </c>
      <c r="D71" s="475">
        <f>$P$7</f>
        <v>0</v>
      </c>
      <c r="E71" s="475">
        <f>$Q$7</f>
        <v>0</v>
      </c>
      <c r="F71" s="475">
        <f>$R$7</f>
        <v>0</v>
      </c>
      <c r="G71" s="475">
        <f>$S$7</f>
        <v>0</v>
      </c>
      <c r="H71" s="493" t="s">
        <v>478</v>
      </c>
      <c r="L71" s="475">
        <f>$L$38</f>
        <v>0</v>
      </c>
      <c r="M71" s="475">
        <f>$O$7</f>
        <v>0</v>
      </c>
      <c r="N71" s="475">
        <f>$P$7</f>
        <v>0</v>
      </c>
      <c r="O71" s="475">
        <f>$Q$7</f>
        <v>0</v>
      </c>
      <c r="P71" s="475">
        <f>$R$7</f>
        <v>0</v>
      </c>
      <c r="Q71" s="475">
        <f>$S$7</f>
        <v>0</v>
      </c>
      <c r="R71" s="474" t="s">
        <v>479</v>
      </c>
      <c r="U71" s="593"/>
      <c r="V71" s="593"/>
      <c r="AA71" s="593"/>
      <c r="AB71" s="593"/>
      <c r="AE71" s="761" t="s">
        <v>480</v>
      </c>
      <c r="AF71" s="757"/>
      <c r="AG71" s="761" t="s">
        <v>481</v>
      </c>
      <c r="AH71" s="757"/>
      <c r="AI71" s="761" t="s">
        <v>482</v>
      </c>
      <c r="AJ71" s="757"/>
      <c r="AK71" s="761" t="s">
        <v>483</v>
      </c>
      <c r="AL71" s="757"/>
      <c r="BG71" s="291">
        <v>35</v>
      </c>
      <c r="BH71" s="291">
        <v>26</v>
      </c>
      <c r="BI71" s="291">
        <v>25</v>
      </c>
      <c r="BJ71" s="291">
        <v>36</v>
      </c>
      <c r="BK71" s="291">
        <v>1</v>
      </c>
      <c r="BL71" s="291">
        <v>2</v>
      </c>
      <c r="BM71" s="291">
        <v>3</v>
      </c>
      <c r="BN71" s="291">
        <v>34</v>
      </c>
      <c r="BO71" s="291">
        <v>27</v>
      </c>
      <c r="BZ71" s="596"/>
      <c r="CA71" s="596"/>
    </row>
    <row r="72" spans="2:79" ht="12" customHeight="1" x14ac:dyDescent="0.25">
      <c r="B72" s="494" t="s">
        <v>56</v>
      </c>
      <c r="C72" s="494" t="s">
        <v>55</v>
      </c>
      <c r="D72" s="494" t="s">
        <v>57</v>
      </c>
      <c r="E72" s="494" t="s">
        <v>310</v>
      </c>
      <c r="F72" s="494" t="s">
        <v>311</v>
      </c>
      <c r="G72" s="494" t="s">
        <v>157</v>
      </c>
      <c r="H72" s="494" t="s">
        <v>312</v>
      </c>
      <c r="L72" s="494" t="s">
        <v>56</v>
      </c>
      <c r="M72" s="494" t="s">
        <v>55</v>
      </c>
      <c r="N72" s="494" t="s">
        <v>57</v>
      </c>
      <c r="O72" s="494" t="s">
        <v>310</v>
      </c>
      <c r="P72" s="494" t="s">
        <v>311</v>
      </c>
      <c r="Q72" s="494" t="s">
        <v>157</v>
      </c>
      <c r="R72" s="494" t="s">
        <v>312</v>
      </c>
      <c r="U72" s="593"/>
      <c r="V72" s="593"/>
      <c r="AA72" s="593"/>
      <c r="AB72" s="593"/>
      <c r="AD72" s="467" t="s">
        <v>340</v>
      </c>
      <c r="AE72" s="588" t="s">
        <v>186</v>
      </c>
      <c r="AF72" s="588" t="s">
        <v>188</v>
      </c>
      <c r="AG72" s="465" t="s">
        <v>186</v>
      </c>
      <c r="AH72" s="464" t="s">
        <v>189</v>
      </c>
      <c r="AI72" s="588" t="s">
        <v>187</v>
      </c>
      <c r="AJ72" s="588" t="s">
        <v>189</v>
      </c>
      <c r="AK72" s="588" t="s">
        <v>187</v>
      </c>
      <c r="AL72" s="588" t="s">
        <v>188</v>
      </c>
      <c r="AN72" s="596" t="s">
        <v>472</v>
      </c>
      <c r="BG72" s="291">
        <v>36</v>
      </c>
      <c r="BH72" s="291">
        <v>25</v>
      </c>
      <c r="BI72" s="291">
        <v>30</v>
      </c>
      <c r="BJ72" s="291">
        <v>31</v>
      </c>
      <c r="BK72" s="291">
        <v>6</v>
      </c>
      <c r="BL72" s="291">
        <v>1</v>
      </c>
      <c r="BM72" s="291">
        <v>2</v>
      </c>
      <c r="BN72" s="291">
        <v>35</v>
      </c>
      <c r="BO72" s="291">
        <v>26</v>
      </c>
      <c r="BZ72" s="596"/>
      <c r="CA72" s="596"/>
    </row>
    <row r="73" spans="2:79" ht="12" customHeight="1" x14ac:dyDescent="0.25">
      <c r="B73" s="475">
        <f>$L$38</f>
        <v>0</v>
      </c>
      <c r="C73" s="475">
        <f>$O$7</f>
        <v>0</v>
      </c>
      <c r="D73" s="475">
        <f>$P$7</f>
        <v>0</v>
      </c>
      <c r="E73" s="475">
        <f>$Q$7</f>
        <v>0</v>
      </c>
      <c r="F73" s="475">
        <f>$R$7</f>
        <v>0</v>
      </c>
      <c r="G73" s="475">
        <f>$S$7</f>
        <v>0</v>
      </c>
      <c r="H73" s="493" t="s">
        <v>484</v>
      </c>
      <c r="L73" s="475">
        <f>$L$38</f>
        <v>0</v>
      </c>
      <c r="M73" s="475">
        <f>$O$7</f>
        <v>0</v>
      </c>
      <c r="N73" s="475">
        <f>$P$7</f>
        <v>0</v>
      </c>
      <c r="O73" s="475">
        <f>$Q$7</f>
        <v>0</v>
      </c>
      <c r="P73" s="475">
        <f>$R$7</f>
        <v>0</v>
      </c>
      <c r="Q73" s="475">
        <f>$S$7</f>
        <v>0</v>
      </c>
      <c r="R73" s="474" t="s">
        <v>485</v>
      </c>
      <c r="U73" s="593"/>
      <c r="V73" s="593"/>
      <c r="AA73" s="593"/>
      <c r="AB73" s="593"/>
      <c r="AD73" s="317">
        <v>1</v>
      </c>
      <c r="AE73" s="481" t="e">
        <f>IF($AD73=AE$69,(-$AE$36+$AF$36*$AV$19/$AW$19)*$AV$28,"")</f>
        <v>#VALUE!</v>
      </c>
      <c r="AF73" s="482" t="e">
        <f>IF($AD73=AE$69,(-$AF$36+$AE$36*$CA$19/$BZ$19)*$BZ$28,"")</f>
        <v>#VALUE!</v>
      </c>
      <c r="AG73" s="481" t="e">
        <f>IF($AD73=AG$69,(-$AG$36+$BB$19+($AH$36-$BC$19)*$AZ$19/$BA$19)*$AZ$28,"")</f>
        <v>#VALUE!</v>
      </c>
      <c r="AH73" s="482" t="e">
        <f>IF($AD73=AG$69,($AH$36-$AG$36*$BE$19/$BD$19)*$BD$28,"")</f>
        <v>#VALUE!</v>
      </c>
      <c r="AI73" s="481" t="e">
        <f>IF($AD73=AI$69,($AI$36-$BL$19-($AJ$36-$BM$19)*$BN$19/$BO$19)*$BN$28,"")</f>
        <v>#VALUE!</v>
      </c>
      <c r="AJ73" s="482" t="e">
        <f>IF($AD73=AI$69,($AJ$36-$BK$19-($AI$36-$BJ$19)*$BI$19/$BH$19)*$BH$28,"")</f>
        <v>#VALUE!</v>
      </c>
      <c r="AK73" s="481" t="e">
        <f>IF($AD73=AK$69,($AK$36-$AL$36*$BR$19/$BS$19)*$BR$28,"")</f>
        <v>#VALUE!</v>
      </c>
      <c r="AL73" s="482" t="e">
        <f>IF($AD73=AK$69,(-$AL$36+$BU$19+($AK$36-$BT$19)*$BW$19/$BV$19)*$BV$28,"")</f>
        <v>#VALUE!</v>
      </c>
      <c r="AN73" s="287" t="e">
        <f>(-$AE$36+$AF$36*$AV$19/$AW$19)</f>
        <v>#VALUE!</v>
      </c>
      <c r="AO73" s="286" t="e">
        <f>(-$AF$36+$AE$36*$CA$19/$BZ$19)</f>
        <v>#VALUE!</v>
      </c>
      <c r="AP73" s="287" t="e">
        <f>(-$AG$36+$BB$19+($AH$36-$BC$19)*$AZ$19/$BA$19)</f>
        <v>#VALUE!</v>
      </c>
      <c r="AQ73" s="286" t="e">
        <f>($AH$36-$AG$36*$BE$19/$BD$19)</f>
        <v>#VALUE!</v>
      </c>
      <c r="AR73" s="287" t="e">
        <f>($AI$36-$BL$19-($AJ$36-$BM$19)*$BN$19/$BO$19)</f>
        <v>#VALUE!</v>
      </c>
      <c r="AS73" s="286" t="e">
        <f>($AJ$36-$BK$19-($AI$36-$BJ$19)*$BI$19/$BH$19)</f>
        <v>#VALUE!</v>
      </c>
      <c r="AT73" s="287" t="e">
        <f>($AK$36-$AL$36*$BR$19/$BS$19)</f>
        <v>#VALUE!</v>
      </c>
      <c r="AU73" s="286" t="e">
        <f>(-$AL$36+$BU$19+($AK$36-$BT$19)*$BW$19/$BV$19)</f>
        <v>#VALUE!</v>
      </c>
      <c r="BZ73" s="596"/>
      <c r="CA73" s="596"/>
    </row>
    <row r="74" spans="2:79" ht="12" customHeight="1" x14ac:dyDescent="0.25">
      <c r="B74" s="494" t="s">
        <v>56</v>
      </c>
      <c r="C74" s="494" t="s">
        <v>55</v>
      </c>
      <c r="D74" s="494" t="s">
        <v>57</v>
      </c>
      <c r="E74" s="494" t="s">
        <v>310</v>
      </c>
      <c r="F74" s="494" t="s">
        <v>311</v>
      </c>
      <c r="G74" s="494" t="s">
        <v>157</v>
      </c>
      <c r="H74" s="494" t="s">
        <v>312</v>
      </c>
      <c r="L74" s="494" t="s">
        <v>56</v>
      </c>
      <c r="M74" s="494" t="s">
        <v>55</v>
      </c>
      <c r="N74" s="494" t="s">
        <v>57</v>
      </c>
      <c r="O74" s="494" t="s">
        <v>310</v>
      </c>
      <c r="P74" s="494" t="s">
        <v>311</v>
      </c>
      <c r="Q74" s="494" t="s">
        <v>157</v>
      </c>
      <c r="R74" s="494" t="s">
        <v>312</v>
      </c>
      <c r="U74" s="593"/>
      <c r="V74" s="593"/>
      <c r="AA74" s="593"/>
      <c r="AB74" s="593"/>
      <c r="AD74" s="317">
        <v>2</v>
      </c>
      <c r="AE74" s="481" t="e">
        <f>IF($AD74=AE$69,(-$AE$36-$AV$19+($AF$36+$AW$19)*$AX$19/$AY$19)*$AX$28,"")</f>
        <v>#VALUE!</v>
      </c>
      <c r="AF74" s="482" t="e">
        <f>IF($AD74=AE$69,(-$AF$36+$AE$36*$CA$19/$BZ$19)*$BZ$28,"")</f>
        <v>#VALUE!</v>
      </c>
      <c r="AG74" s="481" t="e">
        <f>IF($AD74=AG$69,(-$AG$36+$AH$36*$BB$19/$BC$19)*$BB$28,"")</f>
        <v>#VALUE!</v>
      </c>
      <c r="AH74" s="482" t="e">
        <f>IF($AD74=AG$69,($AH$36-$AG$36*$BE$19/$BD$19)*$BD$28,"")</f>
        <v>#VALUE!</v>
      </c>
      <c r="AI74" s="481" t="e">
        <f>IF($AD74=AI$69,($AI$36-$AJ$36*$BL$19/$BM$19)*$BL$28,"")</f>
        <v>#VALUE!</v>
      </c>
      <c r="AJ74" s="482" t="e">
        <f>IF($AD74=AI$69,($AJ$36-$BK$19-($AI$36-$BJ$19)*$BI$19/$BH$19)*$BH$28,"")</f>
        <v>#VALUE!</v>
      </c>
      <c r="AK74" s="481" t="e">
        <f>IF($AD74=AK$69,($AK$36+$BR$19+(-$AL$36-$BS$19)*$BP$19/$BQ$19)*$BP$28,"")</f>
        <v>#VALUE!</v>
      </c>
      <c r="AL74" s="482" t="e">
        <f>IF($AD74=AK$69,(-$AL$36+$BU$19+($AK$36-$BT$19)*$BW$19/$BV$19)*$BV$28,"")</f>
        <v>#VALUE!</v>
      </c>
      <c r="AN74" s="481" t="e">
        <f>(-$AE$36-$AV$19+($AF$36+$AW$19)*$AX$19/$AY$19)</f>
        <v>#VALUE!</v>
      </c>
      <c r="AO74" s="482" t="e">
        <f>(-$AF$36+$AE$36*$CA$19/$BZ$19)</f>
        <v>#VALUE!</v>
      </c>
      <c r="AP74" s="481" t="e">
        <f>(-$AG$36+$AH$36*$BB$19/$BC$19)</f>
        <v>#VALUE!</v>
      </c>
      <c r="AQ74" s="482" t="e">
        <f>($AH$36-$AG$36*$BE$19/$BD$19)</f>
        <v>#VALUE!</v>
      </c>
      <c r="AR74" s="481" t="e">
        <f>($AI$36-$AJ$36*$BL$19/$BM$19)</f>
        <v>#VALUE!</v>
      </c>
      <c r="AS74" s="482" t="e">
        <f>($AJ$36-$BK$19-($AI$36-$BJ$19)*$BI$19/$BH$19)</f>
        <v>#VALUE!</v>
      </c>
      <c r="AT74" s="481" t="e">
        <f>($AK$36+$BR$19+(-$AL$36-$BS$19)*$BP$19/$BQ$19)</f>
        <v>#VALUE!</v>
      </c>
      <c r="AU74" s="482" t="e">
        <f>(-$AL$36+$BU$19+($AK$36-$BT$19)*$BW$19/$BV$19)</f>
        <v>#VALUE!</v>
      </c>
      <c r="BZ74" s="596"/>
      <c r="CA74" s="596"/>
    </row>
    <row r="75" spans="2:79" ht="12" customHeight="1" x14ac:dyDescent="0.25">
      <c r="B75" s="475">
        <f>$L$38</f>
        <v>0</v>
      </c>
      <c r="C75" s="475">
        <f>$O$7</f>
        <v>0</v>
      </c>
      <c r="D75" s="475">
        <f>$P$7</f>
        <v>0</v>
      </c>
      <c r="E75" s="475">
        <f>$Q$7</f>
        <v>0</v>
      </c>
      <c r="F75" s="475">
        <f>$R$7</f>
        <v>0</v>
      </c>
      <c r="G75" s="475">
        <f>$S$7</f>
        <v>0</v>
      </c>
      <c r="H75" s="474" t="s">
        <v>486</v>
      </c>
      <c r="L75" s="475">
        <f>$L$38</f>
        <v>0</v>
      </c>
      <c r="M75" s="475">
        <f>$O$7</f>
        <v>0</v>
      </c>
      <c r="N75" s="475">
        <f>$P$7</f>
        <v>0</v>
      </c>
      <c r="O75" s="475">
        <f>$Q$7</f>
        <v>0</v>
      </c>
      <c r="P75" s="475">
        <f>$R$7</f>
        <v>0</v>
      </c>
      <c r="Q75" s="475">
        <f>$S$7</f>
        <v>0</v>
      </c>
      <c r="R75" s="474" t="s">
        <v>487</v>
      </c>
      <c r="U75" s="593"/>
      <c r="V75" s="593"/>
      <c r="AA75" s="593"/>
      <c r="AB75" s="593"/>
      <c r="AD75" s="317">
        <v>3</v>
      </c>
      <c r="AE75" s="481" t="e">
        <f>IF($AD75=AE$69,(-$AE$36-$AV$19+($AF$36+$AW$19)*$AX$19/$AY$19)*$AX$28,"")</f>
        <v>#VALUE!</v>
      </c>
      <c r="AF75" s="482" t="e">
        <f>IF($AD75=AE$69,(-$AF$36-$CA$19-(-$AE$36-$BZ$19)*$BY$19/$BX$19)*$BX$28,"")</f>
        <v>#VALUE!</v>
      </c>
      <c r="AG75" s="481" t="e">
        <f>IF($AD75=AG$69,(-$AG$36+$AH$36*$BB$19/$BC$19)*$BB$28,"")</f>
        <v>#VALUE!</v>
      </c>
      <c r="AH75" s="482" t="e">
        <f>IF($AD75=AG$69,($AH$36+$BE$19+(-$AG$36-$BD$19)*$BG$19/$BF$19)*$BF$28,"")</f>
        <v>#VALUE!</v>
      </c>
      <c r="AI75" s="481" t="e">
        <f>IF($AD75=AI$69,($AI$36-$AJ$36*$BL$19/$BM$19)*$BL$28,"")</f>
        <v>#VALUE!</v>
      </c>
      <c r="AJ75" s="482" t="e">
        <f>IF($AD75=AI$69,($AJ$36-$AI$36*$BK$19/$BJ$19)*$BJ$28,"")</f>
        <v>#VALUE!</v>
      </c>
      <c r="AK75" s="481" t="e">
        <f>IF($AD75=AK$69,($AK$36+$BR$19+(-$AL$36-$BS$19)*$BP$19/$BQ$19)*$BP$28,"")</f>
        <v>#VALUE!</v>
      </c>
      <c r="AL75" s="482" t="e">
        <f>IF($AD75=AK$69,(-$AL$36+$AK$36*$BU$19/$BT$19)*$BT$28,"")</f>
        <v>#VALUE!</v>
      </c>
      <c r="AN75" s="481" t="e">
        <f>(-$AE$36-$AV$19+($AF$36+$AW$19)*$AX$19/$AY$19)</f>
        <v>#VALUE!</v>
      </c>
      <c r="AO75" s="482" t="e">
        <f>(-$AF$36-$CA$19-(-$AE$36-$BZ$19)*$BY$19/$BX$19)</f>
        <v>#VALUE!</v>
      </c>
      <c r="AP75" s="481" t="e">
        <f>(-$AG$36+$AH$36*$BB$19/$BC$19)</f>
        <v>#VALUE!</v>
      </c>
      <c r="AQ75" s="482" t="e">
        <f>($AH$36+$BE$19+(-$AG$36-$BD$19)*$BG$19/$BF$19)</f>
        <v>#VALUE!</v>
      </c>
      <c r="AR75" s="481" t="e">
        <f>($AI$36-$AJ$36*$BL$19/$BM$19)</f>
        <v>#VALUE!</v>
      </c>
      <c r="AS75" s="482" t="e">
        <f>($AJ$36-$AI$36*$BK$19/$BJ$19)</f>
        <v>#VALUE!</v>
      </c>
      <c r="AT75" s="481" t="e">
        <f>($AK$36+$BR$19+(-$AL$36-$BS$19)*$BP$19/$BQ$19)</f>
        <v>#VALUE!</v>
      </c>
      <c r="AU75" s="482" t="e">
        <f>(-$AL$36+$AK$36*$BU$19/$BT$19)</f>
        <v>#VALUE!</v>
      </c>
      <c r="BZ75" s="596"/>
      <c r="CA75" s="596"/>
    </row>
    <row r="76" spans="2:79" ht="12" customHeight="1" x14ac:dyDescent="0.25">
      <c r="B76" s="494" t="s">
        <v>56</v>
      </c>
      <c r="C76" s="494" t="s">
        <v>55</v>
      </c>
      <c r="D76" s="494" t="s">
        <v>57</v>
      </c>
      <c r="E76" s="494" t="s">
        <v>310</v>
      </c>
      <c r="F76" s="494" t="s">
        <v>311</v>
      </c>
      <c r="G76" s="494" t="s">
        <v>157</v>
      </c>
      <c r="H76" s="494" t="s">
        <v>312</v>
      </c>
      <c r="L76" s="494" t="s">
        <v>56</v>
      </c>
      <c r="M76" s="494" t="s">
        <v>55</v>
      </c>
      <c r="N76" s="494" t="s">
        <v>57</v>
      </c>
      <c r="O76" s="494" t="s">
        <v>310</v>
      </c>
      <c r="P76" s="494" t="s">
        <v>311</v>
      </c>
      <c r="Q76" s="494" t="s">
        <v>157</v>
      </c>
      <c r="R76" s="494" t="s">
        <v>312</v>
      </c>
      <c r="U76" s="593"/>
      <c r="V76" s="593"/>
      <c r="AA76" s="593"/>
      <c r="AB76" s="593"/>
      <c r="AD76" s="317">
        <v>4</v>
      </c>
      <c r="AE76" s="481" t="e">
        <f>IF($AD76=AE$69,(-$AE$36+$AF$36*$AV$19/$AW$19)*$AV$28,"")</f>
        <v>#VALUE!</v>
      </c>
      <c r="AF76" s="482" t="e">
        <f>IF($AD76=AE$69,(-$AF$36-$CA$19-(-$AE$36-$BZ$19)*$BY$19/$BX$19)*$BX$28,"")</f>
        <v>#VALUE!</v>
      </c>
      <c r="AG76" s="481" t="e">
        <f>IF($AD76=AG$69,(-$AG$36+$BB$19+($AH$36-$BC$19)*$AZ$19/$BA$19)*$AZ$28,"")</f>
        <v>#VALUE!</v>
      </c>
      <c r="AH76" s="482" t="e">
        <f>IF($AD76=AG$69,($AH$36+$BE$19+(-$AG$36-$BD$19)*$BG$19/$BF$19)*$BF$28,"")</f>
        <v>#VALUE!</v>
      </c>
      <c r="AI76" s="481" t="e">
        <f>IF($AD76=AI$69,($AI$36-$BL$19-($AJ$36-$BM$19)*$BN$19/$BO$19)*$BN$28,"")</f>
        <v>#VALUE!</v>
      </c>
      <c r="AJ76" s="482" t="e">
        <f>IF($AD76=AI$69,($AJ$36-$AI$36*$BK$19/$BJ$19)*$BJ$28,"")</f>
        <v>#VALUE!</v>
      </c>
      <c r="AK76" s="481" t="e">
        <f>IF($AD76=AK$69,($AK$36-$AL$36*$BR$19/$BS$19)*$BR$28,"")</f>
        <v>#VALUE!</v>
      </c>
      <c r="AL76" s="482" t="e">
        <f>IF($AD76=AK$69,(-$AL$36+$AK$36*$BU$19/$BT$19)*$BT$28,"")</f>
        <v>#VALUE!</v>
      </c>
      <c r="AN76" s="284" t="e">
        <f>(-$AE$36+$AF$36*$AV$19/$AW$19)</f>
        <v>#VALUE!</v>
      </c>
      <c r="AO76" s="283" t="e">
        <f>(-$AF$36-$CA$19-(-$AE$36-$BZ$19)*$BY$19/$BX$19)</f>
        <v>#VALUE!</v>
      </c>
      <c r="AP76" s="284" t="e">
        <f>(-$AG$36+$BB$19+($AH$36-$BC$19)*$AZ$19/$BA$19)</f>
        <v>#VALUE!</v>
      </c>
      <c r="AQ76" s="283" t="e">
        <f>($AH$36+$BE$19+(-$AG$36-$BD$19)*$BG$19/$BF$19)</f>
        <v>#VALUE!</v>
      </c>
      <c r="AR76" s="284" t="e">
        <f>($AI$36-$BL$19-($AJ$36-$BM$19)*$BN$19/$BO$19)</f>
        <v>#VALUE!</v>
      </c>
      <c r="AS76" s="283" t="e">
        <f>($AJ$36-$AI$36*$BK$19/$BJ$19)</f>
        <v>#VALUE!</v>
      </c>
      <c r="AT76" s="284" t="e">
        <f>($AK$36-$AL$36*$BR$19/$BS$19)</f>
        <v>#VALUE!</v>
      </c>
      <c r="AU76" s="283" t="e">
        <f>(-$AL$36+$AK$36*$BU$19/$BT$19)</f>
        <v>#VALUE!</v>
      </c>
      <c r="BZ76" s="596"/>
      <c r="CA76" s="596"/>
    </row>
    <row r="77" spans="2:79" ht="12" customHeight="1" x14ac:dyDescent="0.25">
      <c r="B77" s="475">
        <f>$L$38</f>
        <v>0</v>
      </c>
      <c r="C77" s="475">
        <f>$O$7</f>
        <v>0</v>
      </c>
      <c r="D77" s="475">
        <f>$P$7</f>
        <v>0</v>
      </c>
      <c r="E77" s="475">
        <f>$Q$7</f>
        <v>0</v>
      </c>
      <c r="F77" s="475">
        <f>$R$7</f>
        <v>0</v>
      </c>
      <c r="G77" s="475">
        <f>$S$7</f>
        <v>0</v>
      </c>
      <c r="H77" s="493" t="s">
        <v>488</v>
      </c>
      <c r="L77" s="475">
        <f>$L$38</f>
        <v>0</v>
      </c>
      <c r="M77" s="475">
        <f>$O$7</f>
        <v>0</v>
      </c>
      <c r="N77" s="475">
        <f>$P$7</f>
        <v>0</v>
      </c>
      <c r="O77" s="475">
        <f>$Q$7</f>
        <v>0</v>
      </c>
      <c r="P77" s="475">
        <f>$R$7</f>
        <v>0</v>
      </c>
      <c r="Q77" s="475">
        <f>$S$7</f>
        <v>0</v>
      </c>
      <c r="R77" s="474" t="s">
        <v>489</v>
      </c>
      <c r="U77" s="593"/>
      <c r="V77" s="593"/>
      <c r="AA77" s="593"/>
      <c r="AB77" s="593"/>
      <c r="AE77" s="282" t="str">
        <f>IF(ISNUMBER($AE$73),AE$73,IF(ISNUMBER($AE$74),AE$74,IF(ISNUMBER($AE$75),AE$75,IF(ISNUMBER($AE$76),AE$76,""))))</f>
        <v/>
      </c>
      <c r="AF77" s="281" t="str">
        <f>IF(ISNUMBER($AF$73),AF$73,IF(ISNUMBER($AF$74),AF$74,IF(ISNUMBER($AF$75),AF$75,IF(ISNUMBER($AF$76),AF$76,""))))</f>
        <v/>
      </c>
      <c r="AG77" s="282" t="str">
        <f>IF(ISNUMBER($AG$73),AG$73,IF(ISNUMBER($AG$74),AG$74,IF(ISNUMBER($AG$75),AG$75,IF(ISNUMBER($AG$76),AG$76,""))))</f>
        <v/>
      </c>
      <c r="AH77" s="281" t="str">
        <f>IF(ISNUMBER($AH$73),AH$73,IF(ISNUMBER($AH$74),AH$74,IF(ISNUMBER($AH$75),AH$75,IF(ISNUMBER($AH$76),AH$76,""))))</f>
        <v/>
      </c>
      <c r="AI77" s="282" t="str">
        <f>IF(ISNUMBER($AI$73),AI$73,IF(ISNUMBER($AI$74),AI$74,IF(ISNUMBER($AI$75),AI$75,IF(ISNUMBER($AI$76),AI$76,""))))</f>
        <v/>
      </c>
      <c r="AJ77" s="281" t="str">
        <f>IF(ISNUMBER($AJ$73),AJ$73,IF(ISNUMBER($AJ$74),AJ$74,IF(ISNUMBER($AJ$75),AJ$75,IF(ISNUMBER($AJ$76),AJ$76,""))))</f>
        <v/>
      </c>
      <c r="AK77" s="282" t="str">
        <f>IF(ISNUMBER($AK$73),AK$73,IF(ISNUMBER($AK$74),AK$74,IF(ISNUMBER($AK$75),AK$75,IF(ISNUMBER($AK$76),AK$76,""))))</f>
        <v/>
      </c>
      <c r="AL77" s="281" t="str">
        <f>IF(ISNUMBER($AL$73),AL$73,IF(ISNUMBER($AL$74),AL$74,IF(ISNUMBER($AL$75),AL$75,IF(ISNUMBER($AL$76),AL$76,""))))</f>
        <v/>
      </c>
      <c r="BZ77" s="596"/>
      <c r="CA77" s="596"/>
    </row>
    <row r="78" spans="2:79" ht="12" customHeight="1" x14ac:dyDescent="0.25">
      <c r="B78" s="494" t="s">
        <v>56</v>
      </c>
      <c r="C78" s="494" t="s">
        <v>55</v>
      </c>
      <c r="D78" s="494" t="s">
        <v>57</v>
      </c>
      <c r="E78" s="494" t="s">
        <v>310</v>
      </c>
      <c r="F78" s="494" t="s">
        <v>311</v>
      </c>
      <c r="G78" s="494" t="s">
        <v>157</v>
      </c>
      <c r="H78" s="494" t="s">
        <v>312</v>
      </c>
      <c r="L78" s="494" t="s">
        <v>56</v>
      </c>
      <c r="M78" s="494" t="s">
        <v>55</v>
      </c>
      <c r="N78" s="494" t="s">
        <v>57</v>
      </c>
      <c r="O78" s="494" t="s">
        <v>310</v>
      </c>
      <c r="P78" s="494" t="s">
        <v>311</v>
      </c>
      <c r="Q78" s="494" t="s">
        <v>157</v>
      </c>
      <c r="R78" s="494" t="s">
        <v>312</v>
      </c>
      <c r="U78" s="593"/>
      <c r="V78" s="593"/>
      <c r="AA78" s="593"/>
      <c r="AB78" s="593"/>
      <c r="AE78" s="289"/>
      <c r="AF78" s="288"/>
      <c r="AG78" s="290"/>
      <c r="AH78" s="290"/>
      <c r="AI78" s="289"/>
      <c r="AJ78" s="288"/>
      <c r="AK78" s="289"/>
      <c r="AL78" s="288"/>
      <c r="BZ78" s="596"/>
      <c r="CA78" s="596"/>
    </row>
    <row r="79" spans="2:79" ht="12" customHeight="1" x14ac:dyDescent="0.25">
      <c r="B79" s="475">
        <f>$L$38</f>
        <v>0</v>
      </c>
      <c r="C79" s="475">
        <f>$O$7</f>
        <v>0</v>
      </c>
      <c r="D79" s="475">
        <f>$P$7</f>
        <v>0</v>
      </c>
      <c r="E79" s="475">
        <f>$Q$7</f>
        <v>0</v>
      </c>
      <c r="F79" s="475">
        <f>$R$7</f>
        <v>0</v>
      </c>
      <c r="G79" s="475">
        <f>$S$7</f>
        <v>0</v>
      </c>
      <c r="H79" s="493" t="s">
        <v>490</v>
      </c>
      <c r="L79" s="475">
        <f>$L$38</f>
        <v>0</v>
      </c>
      <c r="M79" s="475">
        <f>$O$7</f>
        <v>0</v>
      </c>
      <c r="N79" s="475">
        <f>$P$7</f>
        <v>0</v>
      </c>
      <c r="O79" s="475">
        <f>$Q$7</f>
        <v>0</v>
      </c>
      <c r="P79" s="475">
        <f>$R$7</f>
        <v>0</v>
      </c>
      <c r="Q79" s="475">
        <f>$S$7</f>
        <v>0</v>
      </c>
      <c r="R79" s="474" t="s">
        <v>491</v>
      </c>
      <c r="U79" s="593"/>
      <c r="V79" s="593"/>
      <c r="AA79" s="593"/>
      <c r="AB79" s="593"/>
      <c r="AE79" s="761" t="s">
        <v>492</v>
      </c>
      <c r="AF79" s="757"/>
      <c r="AG79" s="767" t="s">
        <v>492</v>
      </c>
      <c r="AH79" s="735"/>
      <c r="AI79" s="761" t="s">
        <v>492</v>
      </c>
      <c r="AJ79" s="757"/>
      <c r="AK79" s="761" t="s">
        <v>492</v>
      </c>
      <c r="AL79" s="757"/>
      <c r="BZ79" s="596"/>
      <c r="CA79" s="596"/>
    </row>
    <row r="80" spans="2:79" ht="12" customHeight="1" x14ac:dyDescent="0.25">
      <c r="B80" s="494" t="s">
        <v>56</v>
      </c>
      <c r="C80" s="494" t="s">
        <v>55</v>
      </c>
      <c r="D80" s="494" t="s">
        <v>57</v>
      </c>
      <c r="E80" s="494" t="s">
        <v>310</v>
      </c>
      <c r="F80" s="494" t="s">
        <v>311</v>
      </c>
      <c r="G80" s="494" t="s">
        <v>157</v>
      </c>
      <c r="H80" s="494" t="s">
        <v>312</v>
      </c>
      <c r="L80" s="494" t="s">
        <v>56</v>
      </c>
      <c r="M80" s="494" t="s">
        <v>55</v>
      </c>
      <c r="N80" s="494" t="s">
        <v>57</v>
      </c>
      <c r="O80" s="494" t="s">
        <v>310</v>
      </c>
      <c r="P80" s="494" t="s">
        <v>311</v>
      </c>
      <c r="Q80" s="494" t="s">
        <v>157</v>
      </c>
      <c r="R80" s="494" t="s">
        <v>312</v>
      </c>
      <c r="U80" s="593"/>
      <c r="V80" s="593"/>
      <c r="AA80" s="593"/>
      <c r="AB80" s="593"/>
      <c r="AE80" s="762" t="e">
        <f>IF($AE$38="","",IF(AND((-$AE$38+$AF$38*$AV$19/$AW$19)&gt;0,-$AE$38&lt;$BZ$19,(-$AF$38+$AE$38*$CA$19/$BZ$19)&gt;0,-$AF$38&lt;$AW$19),1,IF(AND((-$AE$38-$AV$19+($AF$38+$AW$19)*$AX$19/$AY$19)&gt;0,-$AE$38&lt;$BZ$19,-$AF$38&gt;$AW$19,-$AF$38&lt;$AX$22),2,IF(AND(-$AE$38&lt;$BY$22,-$AE$38&gt;$BZ$19,-$AF$38&gt;$AW$19,-$AF$38&lt;$AX$22),3,IF(AND(-$AE$38&lt;$BY$22,-$AE$38&gt;$BZ$19,(-$AF$38-$CA$19-(-$AE$38-$BZ$19)*$BY$19/$BX$19)&gt;0,-$AF$38&lt;$AW$19),4,"")))))</f>
        <v>#VALUE!</v>
      </c>
      <c r="AF80" s="683"/>
      <c r="AG80" s="762" t="e">
        <f>IF($AG$39="","",IF(AND((-$AG$39+$BB$19+($AH$39-$BC$19)*$AZ$19/$BA$19)&gt;0,-$AG$39&lt;$BD$19,$AH$39&gt;$BC$19,$AH$39&lt;$BB$22),1,IF(AND((-$AG$39+$AH$39*$BB$19/$BC$19)&gt;0,-$AG$39&lt;$BD$19,($AH$39-$AG$39*$BE$19/$BD$19)&gt;0,$AH$39&lt;$BC$19),2,IF(AND(-$AG$39&gt;$BD$19,-$AG$39&lt;$BE$22,($AH$39+$BE$19+(-$AG$39-$BD$19)*$BG$19/$BF$19)&gt;0,$AH$39&lt;$BC$19),3,IF(AND(-$AG$39&gt;$BD$19,-$AG$39&lt;$BE$22,$AH$39&gt;$BC$19,$AH$39&lt;$BB$22),4,"")))))</f>
        <v>#VALUE!</v>
      </c>
      <c r="AH80" s="683"/>
      <c r="AI80" s="762" t="e">
        <f>IF($AI$40="","",IF(AND($AI$40&gt;$BJ$19,$AI$40&lt;$BI$22,$AJ$40&gt;$BM$19,$AJ$40&lt;$BN$22),1,IF(AND($AI$40&gt;$BJ$19,$AI$40&lt;$BI$22,($AJ$40-$BK$19-($AI$40-$BJ$19)*$BI$19/$BH$19)&gt;0,$AJ$40&lt;$BM$19),2,IF(AND(($AI$40-$AJ$40*$BL$19/$BM$19)&gt;0,$AI$40&lt;$BJ$19,($AJ$40-$AI$40*$BK$19/$BJ$19)&gt;0,$AJ$40&lt;$BM$19),3,IF(AND(($AI$40-$BL$19-($AJ$40-$BM$19)*$BN$19/$BO$19)&gt;0,$AI$40&lt;$BJ$19,$AJ$40&gt;$BM$19,$AJ$40&lt;$BN$22),4,"")))))</f>
        <v>#VALUE!</v>
      </c>
      <c r="AJ80" s="683"/>
      <c r="AK80" s="762" t="e">
        <f>IF($AK$41="","",IF(AND($AK$41&gt;$BT$19,$AK$41&lt;$BU$22,(-$AL$41+$BU$19+($AK$41-$BT$19)*$BW$19/$BV$19)&gt;0,-$AL$41&lt;$BS$19),1,IF(AND($AK$41&gt;$BT$19,$AK$41&lt;$BU$22,-$AL$41&gt;$BS$19,-$AL$41&lt;$BR$22),2,IF(AND(($AK$41+$BR$19+(-$AL$41-$BS$19)*$BP$19/$BQ$19)&gt;0,$AK$41&lt;$BT$19,-$AL$41&gt;$BS$19,-$AL$41&lt;$BR$22),3,IF(AND(($AK$41-$AL$41*$BR$19/$BS$19)&gt;0,$AK$41&lt;$BT$19,(-$AL$41+$AK$41*$BU$19/$BT$19)&gt;0,-$AL$41&lt;$BS$19),4,"")))))</f>
        <v>#VALUE!</v>
      </c>
      <c r="AL80" s="683"/>
      <c r="BZ80" s="596"/>
      <c r="CA80" s="596"/>
    </row>
    <row r="81" spans="2:79" ht="12" customHeight="1" x14ac:dyDescent="0.25">
      <c r="B81" s="475">
        <f>$L$38</f>
        <v>0</v>
      </c>
      <c r="C81" s="475">
        <f>$O$7</f>
        <v>0</v>
      </c>
      <c r="D81" s="475">
        <f>$P$7</f>
        <v>0</v>
      </c>
      <c r="E81" s="475">
        <f>$Q$7</f>
        <v>0</v>
      </c>
      <c r="F81" s="475">
        <f>$R$7</f>
        <v>0</v>
      </c>
      <c r="G81" s="475">
        <f>$S$7</f>
        <v>0</v>
      </c>
      <c r="H81" s="493" t="s">
        <v>493</v>
      </c>
      <c r="L81" s="475">
        <f>$L$38</f>
        <v>0</v>
      </c>
      <c r="M81" s="475">
        <f>$O$7</f>
        <v>0</v>
      </c>
      <c r="N81" s="475">
        <f>$P$7</f>
        <v>0</v>
      </c>
      <c r="O81" s="475">
        <f>$Q$7</f>
        <v>0</v>
      </c>
      <c r="P81" s="475">
        <f>$R$7</f>
        <v>0</v>
      </c>
      <c r="Q81" s="475">
        <f>$S$7</f>
        <v>0</v>
      </c>
      <c r="R81" s="474" t="s">
        <v>494</v>
      </c>
      <c r="U81" s="593"/>
      <c r="V81" s="593"/>
      <c r="AA81" s="593"/>
      <c r="AB81" s="593"/>
      <c r="AE81" s="289"/>
      <c r="AF81" s="288"/>
      <c r="AG81" s="290"/>
      <c r="AH81" s="290"/>
      <c r="AI81" s="289"/>
      <c r="AJ81" s="288"/>
      <c r="AK81" s="289"/>
      <c r="AL81" s="288"/>
      <c r="BZ81" s="596"/>
      <c r="CA81" s="596"/>
    </row>
    <row r="82" spans="2:79" ht="12" customHeight="1" x14ac:dyDescent="0.25">
      <c r="U82" s="593"/>
      <c r="V82" s="593"/>
      <c r="AA82" s="593"/>
      <c r="AB82" s="593"/>
      <c r="AE82" s="761" t="s">
        <v>495</v>
      </c>
      <c r="AF82" s="757"/>
      <c r="AG82" s="761" t="s">
        <v>496</v>
      </c>
      <c r="AH82" s="757"/>
      <c r="AI82" s="761" t="s">
        <v>482</v>
      </c>
      <c r="AJ82" s="757"/>
      <c r="AK82" s="761" t="s">
        <v>497</v>
      </c>
      <c r="AL82" s="757"/>
      <c r="BZ82" s="596"/>
      <c r="CA82" s="596"/>
    </row>
    <row r="83" spans="2:79" ht="12" customHeight="1" x14ac:dyDescent="0.25">
      <c r="U83" s="593"/>
      <c r="V83" s="593"/>
      <c r="AA83" s="593"/>
      <c r="AB83" s="593"/>
      <c r="AD83" s="467" t="s">
        <v>340</v>
      </c>
      <c r="AE83" s="588" t="s">
        <v>186</v>
      </c>
      <c r="AF83" s="588" t="s">
        <v>188</v>
      </c>
      <c r="AG83" s="465" t="s">
        <v>186</v>
      </c>
      <c r="AH83" s="464" t="s">
        <v>189</v>
      </c>
      <c r="AI83" s="588" t="s">
        <v>187</v>
      </c>
      <c r="AJ83" s="588" t="s">
        <v>189</v>
      </c>
      <c r="AK83" s="588" t="s">
        <v>187</v>
      </c>
      <c r="AL83" s="588" t="s">
        <v>188</v>
      </c>
      <c r="AN83" s="596" t="s">
        <v>472</v>
      </c>
      <c r="BZ83" s="596"/>
      <c r="CA83" s="596"/>
    </row>
    <row r="84" spans="2:79" ht="12" customHeight="1" x14ac:dyDescent="0.25">
      <c r="D84" s="495"/>
      <c r="E84" s="495"/>
      <c r="F84" s="495"/>
      <c r="G84" s="495"/>
      <c r="U84" s="593"/>
      <c r="V84" s="593"/>
      <c r="AA84" s="593"/>
      <c r="AB84" s="593"/>
      <c r="AD84" s="317">
        <v>1</v>
      </c>
      <c r="AE84" s="481" t="e">
        <f>IF($AD84=AE$80,(-$AE$42+$AF$42*$AV$19/$AW$19)*$AV$28,"")</f>
        <v>#VALUE!</v>
      </c>
      <c r="AF84" s="482" t="e">
        <f>IF($AD84=AE$80,(-$AF$42+$AE$42*$CA$19/$BZ$19)*$BZ$28,"")</f>
        <v>#VALUE!</v>
      </c>
      <c r="AG84" s="481" t="e">
        <f>IF($AD84=AG$80,(-$AG$42+$BB$19+($AH$42-$BC$19)*$AZ$19/$BA$19)*$AZ$28,"")</f>
        <v>#VALUE!</v>
      </c>
      <c r="AH84" s="482" t="e">
        <f>IF($AD84=AG$80,($AH$42-$AG$42*$BE$19/$BD$19)*$BD$28,"")</f>
        <v>#VALUE!</v>
      </c>
      <c r="AI84" s="481" t="e">
        <f>IF($AD84=AI$80,($AI$42-$BL$19-($AJ$42-$BM$19)*$BN$19/$BO$19)*$BN$28,"")</f>
        <v>#VALUE!</v>
      </c>
      <c r="AJ84" s="482" t="e">
        <f>IF($AD84=AI$80,($AJ$42-$BK$19-($AI$42-$BJ$19)*$BI$19/$BH$19)*$BH$28,"")</f>
        <v>#VALUE!</v>
      </c>
      <c r="AK84" s="481" t="e">
        <f>IF($AD84=AK$80,($AK$42-$AL$42*$BR$19/$BS$19)*$BR$28,"")</f>
        <v>#VALUE!</v>
      </c>
      <c r="AL84" s="482" t="e">
        <f>IF($AD84=AK$80,(-$AL$42+$BU$19+($AK$42-$BT$19)*$BW$19/$BV$19)*$BV$28,"")</f>
        <v>#VALUE!</v>
      </c>
      <c r="AN84" s="287" t="e">
        <f>(-$AE$42+$AF$42*$AV$19/$AW$19)</f>
        <v>#VALUE!</v>
      </c>
      <c r="AO84" s="286" t="e">
        <f>(-$AF$42+$AE$42*$CA$19/$BZ$19)</f>
        <v>#VALUE!</v>
      </c>
      <c r="AP84" s="287" t="e">
        <f>(-$AG$42+$BB$19+($AH$42-$BC$19)*$AZ$19/$BA$19)</f>
        <v>#VALUE!</v>
      </c>
      <c r="AQ84" s="286" t="e">
        <f>($AH$42-$AG$42*$BE$19/$BD$19)</f>
        <v>#VALUE!</v>
      </c>
      <c r="AR84" s="287" t="e">
        <f>($AI$42-$BL$19-($AJ$42-$BM$19)*$BN$19/$BO$19)</f>
        <v>#VALUE!</v>
      </c>
      <c r="AS84" s="286" t="e">
        <f>($AJ$42-$BK$19-($AI$42-$BJ$19)*$BI$19/$BH$19)</f>
        <v>#VALUE!</v>
      </c>
      <c r="AT84" s="287" t="e">
        <f>($AK$42-$AL$42*$BR$19/$BS$19)</f>
        <v>#VALUE!</v>
      </c>
      <c r="AU84" s="286" t="e">
        <f>(-$AL$42+$BU$19+($AK$42-$BT$19)*$BW$19/$BV$19)</f>
        <v>#VALUE!</v>
      </c>
      <c r="BZ84" s="596"/>
      <c r="CA84" s="596"/>
    </row>
    <row r="85" spans="2:79" ht="12" customHeight="1" x14ac:dyDescent="0.25">
      <c r="C85" s="495"/>
      <c r="H85" s="495"/>
      <c r="U85" s="593"/>
      <c r="V85" s="593"/>
      <c r="AA85" s="593"/>
      <c r="AB85" s="593"/>
      <c r="AD85" s="317">
        <v>2</v>
      </c>
      <c r="AE85" s="481" t="e">
        <f>IF($AD85=AE$80,(-$AE$42-$AV$19+($AF$42+$AW$19)*$AX$19/$AY$19)*$AX$28,"")</f>
        <v>#VALUE!</v>
      </c>
      <c r="AF85" s="482" t="e">
        <f>IF($AD85=AE$80,(-$AF$42+$AE$42*$CA$19/$BZ$19)*$BZ$28,"")</f>
        <v>#VALUE!</v>
      </c>
      <c r="AG85" s="481" t="e">
        <f>IF($AD85=AG$80,(-$AG$42+$AH$42*$BB$19/$BC$19)*$BB$28,"")</f>
        <v>#VALUE!</v>
      </c>
      <c r="AH85" s="482" t="e">
        <f>IF($AD85=AG$80,($AH$42-$AG$42*$BE$19/$BD$19)*$BD$28,"")</f>
        <v>#VALUE!</v>
      </c>
      <c r="AI85" s="481" t="e">
        <f>IF($AD85=AI$80,($AI$42-$AJ$42*$BL$19/$BM$19)*$BL$28,"")</f>
        <v>#VALUE!</v>
      </c>
      <c r="AJ85" s="482" t="e">
        <f>IF($AD85=AI$80,($AJ$42-$BK$19-($AI$42-$BJ$19)*$BI$19/$BH$19)*$BH$28,"")</f>
        <v>#VALUE!</v>
      </c>
      <c r="AK85" s="481" t="e">
        <f>IF($AD85=AK$80,($AK$42+$BR$19+(-$AL$42-$BS$19)*$BP$19/$BQ$19)*$BP$28,"")</f>
        <v>#VALUE!</v>
      </c>
      <c r="AL85" s="482" t="e">
        <f>IF($AD85=AK$80,(-$AL$42+$BU$19+($AK$42-$BT$19)*$BW$19/$BV$19)*$BV$28,"")</f>
        <v>#VALUE!</v>
      </c>
      <c r="AN85" s="481" t="e">
        <f>(-$AE$42-$AV$19+($AF$42+$AW$19)*$AX$19/$AY$19)</f>
        <v>#VALUE!</v>
      </c>
      <c r="AO85" s="482" t="e">
        <f>(-$AF$42+$AE$42*$CA$19/$BZ$19)</f>
        <v>#VALUE!</v>
      </c>
      <c r="AP85" s="481" t="e">
        <f>(-$AG$42+$AH$42*$BB$19/$BC$19)</f>
        <v>#VALUE!</v>
      </c>
      <c r="AQ85" s="482" t="e">
        <f>($AH$42-$AG$42*$BE$19/$BD$19)</f>
        <v>#VALUE!</v>
      </c>
      <c r="AR85" s="481" t="e">
        <f>($AI$42-$AJ$42*$BL$19/$BM$19)</f>
        <v>#VALUE!</v>
      </c>
      <c r="AS85" s="482" t="e">
        <f>($AJ$42-$BK$19-($AI$42-$BJ$19)*$BI$19/$BH$19)</f>
        <v>#VALUE!</v>
      </c>
      <c r="AT85" s="481" t="e">
        <f>($AK$42+$BR$19+(-$AL$42-$BS$19)*$BP$19/$BQ$19)</f>
        <v>#VALUE!</v>
      </c>
      <c r="AU85" s="482" t="e">
        <f>(-$AL$42+$BU$19+($AK$42-$BT$19)*$BW$19/$BV$19)</f>
        <v>#VALUE!</v>
      </c>
      <c r="BZ85" s="596"/>
      <c r="CA85" s="596"/>
    </row>
    <row r="86" spans="2:79" ht="12" customHeight="1" x14ac:dyDescent="0.25">
      <c r="C86" s="495"/>
      <c r="H86" s="495"/>
      <c r="U86" s="593"/>
      <c r="V86" s="593"/>
      <c r="AA86" s="593"/>
      <c r="AB86" s="593"/>
      <c r="AD86" s="317">
        <v>3</v>
      </c>
      <c r="AE86" s="481" t="e">
        <f>IF($AD86=AE$80,(-$AE$42-$AV$19+($AF$42+$AW$19)*$AX$19/$AY$19)*$AX$28,"")</f>
        <v>#VALUE!</v>
      </c>
      <c r="AF86" s="482" t="e">
        <f>IF($AD86=AE$80,(-$AF$42-$CA$19-(-$AE$42-$BZ$19)*$BY$19/$BX$19)*$BX$28,"")</f>
        <v>#VALUE!</v>
      </c>
      <c r="AG86" s="481" t="e">
        <f>IF($AD86=AG$80,(-$AG$42+$AH$42*$BB$19/$BC$19)*$BB$28,"")</f>
        <v>#VALUE!</v>
      </c>
      <c r="AH86" s="482" t="e">
        <f>IF($AD86=AG$80,($AH$42+$BE$19+(-$AG$42-$BD$19)*$BG$19/$BF$19)*$BF$28,"")</f>
        <v>#VALUE!</v>
      </c>
      <c r="AI86" s="481" t="e">
        <f>IF($AD86=AI$80,($AI$42-$AJ$42*$BL$19/$BM$19)*$BL$28,"")</f>
        <v>#VALUE!</v>
      </c>
      <c r="AJ86" s="482" t="e">
        <f>IF($AD86=AI$80,($AJ$42-$AI$42*$BK$19/$BJ$19)*$BJ$28,"")</f>
        <v>#VALUE!</v>
      </c>
      <c r="AK86" s="481" t="e">
        <f>IF($AD86=AK$80,($AK$42+$BR$19+(-$AL$42-$BS$19)*$BP$19/$BQ$19)*$BP$28,"")</f>
        <v>#VALUE!</v>
      </c>
      <c r="AL86" s="482" t="e">
        <f>IF($AD86=AK$80,(-$AL$42+$AK$42*$BU$19/$BT$19)*$BT$28,"")</f>
        <v>#VALUE!</v>
      </c>
      <c r="AN86" s="481" t="e">
        <f>(-$AE$42-$AV$19+($AF$42+$AW$19)*$AX$19/$AY$19)</f>
        <v>#VALUE!</v>
      </c>
      <c r="AO86" s="482" t="e">
        <f>(-$AF$42-$CA$19-(-$AE$42-$BZ$19)*$BY$19/$BX$19)</f>
        <v>#VALUE!</v>
      </c>
      <c r="AP86" s="481" t="e">
        <f>(-$AG$42+$AH$42*$BB$19/$BC$19)</f>
        <v>#VALUE!</v>
      </c>
      <c r="AQ86" s="482" t="e">
        <f>($AH$42+$BE$19+(-$AG$42-$BD$19)*$BG$19/$BF$19)</f>
        <v>#VALUE!</v>
      </c>
      <c r="AR86" s="481" t="e">
        <f>($AI$42-$AJ$42*$BL$19/$BM$19)</f>
        <v>#VALUE!</v>
      </c>
      <c r="AS86" s="482" t="e">
        <f>($AJ$42-$AI$42*$BK$19/$BJ$19)</f>
        <v>#VALUE!</v>
      </c>
      <c r="AT86" s="481" t="e">
        <f>($AK$42+$BR$19+(-$AL$42-$BS$19)*$BP$19/$BQ$19)</f>
        <v>#VALUE!</v>
      </c>
      <c r="AU86" s="482" t="e">
        <f>(-$AL$42+$AK$42*$BU$19/$BT$19)</f>
        <v>#VALUE!</v>
      </c>
      <c r="BZ86" s="596"/>
      <c r="CA86" s="596"/>
    </row>
    <row r="87" spans="2:79" ht="12" customHeight="1" x14ac:dyDescent="0.25">
      <c r="C87" s="495"/>
      <c r="H87" s="495"/>
      <c r="U87" s="593"/>
      <c r="V87" s="593"/>
      <c r="AA87" s="593"/>
      <c r="AB87" s="593"/>
      <c r="AD87" s="317">
        <v>4</v>
      </c>
      <c r="AE87" s="284" t="e">
        <f>IF($AD87=AE$80,(-$AE$42+$AF$42*$AV$19/$AW$19)*$AV$28,"")</f>
        <v>#VALUE!</v>
      </c>
      <c r="AF87" s="283" t="e">
        <f>IF($AD87=AE$80,(-$AF$42-$CA$19-(-$AE$42-$BZ$19)*$BY$19/$BX$19)*$BX$28,"")</f>
        <v>#VALUE!</v>
      </c>
      <c r="AG87" s="284" t="e">
        <f>IF($AD87=AG$80,(-$AG$42+$BB$19+($AH$42-$BC$19)*$AZ$19/$BA$19)*$AZ$28,"")</f>
        <v>#VALUE!</v>
      </c>
      <c r="AH87" s="283" t="e">
        <f>IF($AD87=AG$80,($AH$42+$BE$19+(-$AG$42-$BD$19)*$BG$19/$BF$19)*$BF$28,"")</f>
        <v>#VALUE!</v>
      </c>
      <c r="AI87" s="284" t="e">
        <f>IF($AD87=AI$80,($AI$42-$BL$19-($AJ$42-$BM$19)*$BN$19/$BO$19)*$BN$28,"")</f>
        <v>#VALUE!</v>
      </c>
      <c r="AJ87" s="283" t="e">
        <f>IF($AD87=AI$80,($AJ$42-$AI$42*$BK$19/$BJ$19)*$BJ$28,"")</f>
        <v>#VALUE!</v>
      </c>
      <c r="AK87" s="284" t="e">
        <f>IF($AD87=AK$80,($AK$42-$AL$42*$BR$19/$BS$19)*$BR$28,"")</f>
        <v>#VALUE!</v>
      </c>
      <c r="AL87" s="283" t="e">
        <f>IF($AD87=AK$80,(-$AL$42+$AK$42*$BU$19/$BT$19)*$BT$28,"")</f>
        <v>#VALUE!</v>
      </c>
      <c r="AN87" s="284" t="e">
        <f>(-$AE$42+$AF$42*$AV$19/$AW$19)</f>
        <v>#VALUE!</v>
      </c>
      <c r="AO87" s="283" t="e">
        <f>(-$AF$42-$CA$19-(-$AE$42-$BZ$19)*$BY$19/$BX$19)</f>
        <v>#VALUE!</v>
      </c>
      <c r="AP87" s="284" t="e">
        <f>(-$AG$42+$BB$19+($AH$42-$BC$19)*$AZ$19/$BA$19)</f>
        <v>#VALUE!</v>
      </c>
      <c r="AQ87" s="283" t="e">
        <f>($AH$42+$BE$19+(-$AG$42-$BD$19)*$BG$19/$BF$19)</f>
        <v>#VALUE!</v>
      </c>
      <c r="AR87" s="284" t="e">
        <f>($AI$42-$BL$19-($AJ$42-$BM$19)*$BN$19/$BO$19)</f>
        <v>#VALUE!</v>
      </c>
      <c r="AS87" s="283" t="e">
        <f>($AJ$42-$AI$42*$BK$19/$BJ$19)</f>
        <v>#VALUE!</v>
      </c>
      <c r="AT87" s="284" t="e">
        <f>($AK$42-$AL$42*$BR$19/$BS$19)</f>
        <v>#VALUE!</v>
      </c>
      <c r="AU87" s="283" t="e">
        <f>(-$AL$42+$AK$42*$BU$19/$BT$19)</f>
        <v>#VALUE!</v>
      </c>
      <c r="BZ87" s="596"/>
      <c r="CA87" s="596"/>
    </row>
    <row r="88" spans="2:79" ht="12" customHeight="1" x14ac:dyDescent="0.25">
      <c r="C88" s="495"/>
      <c r="H88" s="495"/>
      <c r="U88" s="593"/>
      <c r="V88" s="593"/>
      <c r="AA88" s="593"/>
      <c r="AB88" s="593"/>
      <c r="AE88" s="282" t="str">
        <f>IF(ISNUMBER($AE$84),AE$84,IF(ISNUMBER($AE$85),AE$85,IF(ISNUMBER($AE$86),AE$86,IF(ISNUMBER($AE$87),AE$87,""))))</f>
        <v/>
      </c>
      <c r="AF88" s="281" t="str">
        <f>IF(ISNUMBER($AF$84),AF$84,IF(ISNUMBER($AF$85),AF$85,IF(ISNUMBER($AF$86),AF$86,IF(ISNUMBER($AF$87),AF$87,""))))</f>
        <v/>
      </c>
      <c r="AG88" s="282" t="str">
        <f>IF(ISNUMBER($AG$84),AG$84,IF(ISNUMBER($AG$85),AG$85,IF(ISNUMBER($AG$86),AG$86,IF(ISNUMBER($AG$87),AG$87,""))))</f>
        <v/>
      </c>
      <c r="AH88" s="281" t="str">
        <f>IF(ISNUMBER($AH$84),AH$84,IF(ISNUMBER($AH$85),AH$85,IF(ISNUMBER($AH$86),AH$86,IF(ISNUMBER($AH$87),AH$87,""))))</f>
        <v/>
      </c>
      <c r="AI88" s="282" t="str">
        <f>IF(ISNUMBER($AI$84),AI$84,IF(ISNUMBER($AI$85),AI$85,IF(ISNUMBER($AI$86),AI$86,IF(ISNUMBER($AI$87),AI$87,""))))</f>
        <v/>
      </c>
      <c r="AJ88" s="281" t="str">
        <f>IF(ISNUMBER($AJ$84),AJ$84,IF(ISNUMBER($AJ$85),AJ$85,IF(ISNUMBER($AJ$86),AJ$86,IF(ISNUMBER($AJ$87),AJ$87,""))))</f>
        <v/>
      </c>
      <c r="AK88" s="282" t="str">
        <f>IF(ISNUMBER($AK$84),AK$84,IF(ISNUMBER($AK$85),AK$85,IF(ISNUMBER($AK$86),AK$86,IF(ISNUMBER($AK$87),AK$87,""))))</f>
        <v/>
      </c>
      <c r="AL88" s="281" t="str">
        <f>IF(ISNUMBER($AL$84),AL$84,IF(ISNUMBER($AL$85),AL$85,IF(ISNUMBER($AL$86),AL$86,IF(ISNUMBER($AL$87),AL$87,""))))</f>
        <v/>
      </c>
      <c r="BZ88" s="596"/>
      <c r="CA88" s="596"/>
    </row>
    <row r="89" spans="2:79" ht="12" customHeight="1" x14ac:dyDescent="0.25">
      <c r="D89" s="495"/>
      <c r="E89" s="495"/>
      <c r="F89" s="495"/>
      <c r="G89" s="495"/>
      <c r="U89" s="593"/>
      <c r="V89" s="593"/>
      <c r="AA89" s="593"/>
      <c r="AB89" s="593"/>
      <c r="BZ89" s="596"/>
      <c r="CA89" s="596"/>
    </row>
    <row r="90" spans="2:79" ht="12" customHeight="1" x14ac:dyDescent="0.25">
      <c r="U90" s="593"/>
      <c r="V90" s="593"/>
      <c r="AA90" s="593"/>
      <c r="AB90" s="593"/>
      <c r="BZ90" s="596"/>
      <c r="CA90" s="596"/>
    </row>
    <row r="91" spans="2:79" ht="12" customHeight="1" x14ac:dyDescent="0.25">
      <c r="U91" s="593"/>
      <c r="V91" s="593"/>
      <c r="AA91" s="593"/>
      <c r="AB91" s="593"/>
      <c r="BZ91" s="596"/>
      <c r="CA91" s="596"/>
    </row>
    <row r="92" spans="2:79" ht="12" customHeight="1" x14ac:dyDescent="0.25">
      <c r="U92" s="593"/>
      <c r="V92" s="593"/>
      <c r="AA92" s="593"/>
      <c r="AB92" s="593"/>
      <c r="BZ92" s="596"/>
      <c r="CA92" s="596"/>
    </row>
    <row r="93" spans="2:79" ht="12" customHeight="1" x14ac:dyDescent="0.25">
      <c r="U93" s="593"/>
      <c r="V93" s="593"/>
      <c r="AA93" s="593"/>
      <c r="AB93" s="593"/>
      <c r="BZ93" s="596"/>
      <c r="CA93" s="596"/>
    </row>
    <row r="94" spans="2:79" ht="12" customHeight="1" x14ac:dyDescent="0.25">
      <c r="U94" s="593"/>
      <c r="V94" s="593"/>
      <c r="AA94" s="593"/>
      <c r="AB94" s="593"/>
      <c r="BZ94" s="596"/>
      <c r="CA94" s="596"/>
    </row>
    <row r="95" spans="2:79" x14ac:dyDescent="0.25">
      <c r="U95" s="593"/>
      <c r="V95" s="593"/>
      <c r="AA95" s="593"/>
      <c r="AB95" s="593"/>
      <c r="BZ95" s="596"/>
      <c r="CA95" s="596"/>
    </row>
    <row r="96" spans="2:79" x14ac:dyDescent="0.25">
      <c r="AA96" s="593"/>
      <c r="AB96" s="593"/>
      <c r="BZ96" s="596"/>
      <c r="CA96" s="596"/>
    </row>
    <row r="97" spans="27:79" x14ac:dyDescent="0.25">
      <c r="AA97" s="593"/>
      <c r="AB97" s="593"/>
      <c r="BZ97" s="596"/>
      <c r="CA97" s="596"/>
    </row>
    <row r="98" spans="27:79" x14ac:dyDescent="0.25">
      <c r="AA98" s="593"/>
      <c r="AB98" s="593"/>
      <c r="BZ98" s="596"/>
      <c r="CA98" s="596"/>
    </row>
    <row r="99" spans="27:79" x14ac:dyDescent="0.25">
      <c r="AA99" s="593"/>
      <c r="AB99" s="593"/>
      <c r="BZ99" s="596"/>
      <c r="CA99" s="596"/>
    </row>
    <row r="100" spans="27:79" x14ac:dyDescent="0.25">
      <c r="AA100" s="593"/>
      <c r="AB100" s="593"/>
      <c r="BZ100" s="596"/>
      <c r="CA100" s="596"/>
    </row>
    <row r="101" spans="27:79" x14ac:dyDescent="0.25">
      <c r="AA101" s="593"/>
      <c r="AB101" s="593"/>
      <c r="BZ101" s="596"/>
      <c r="CA101" s="596"/>
    </row>
    <row r="102" spans="27:79" x14ac:dyDescent="0.25">
      <c r="AA102" s="593"/>
      <c r="AB102" s="593"/>
      <c r="BZ102" s="596"/>
      <c r="CA102" s="596"/>
    </row>
    <row r="103" spans="27:79" x14ac:dyDescent="0.25">
      <c r="AA103" s="593"/>
      <c r="AB103" s="593"/>
      <c r="BZ103" s="596"/>
      <c r="CA103" s="596"/>
    </row>
    <row r="104" spans="27:79" x14ac:dyDescent="0.25">
      <c r="AA104" s="593"/>
      <c r="AB104" s="593"/>
      <c r="BZ104" s="596"/>
      <c r="CA104" s="596"/>
    </row>
    <row r="105" spans="27:79" x14ac:dyDescent="0.25">
      <c r="AA105" s="593"/>
      <c r="AB105" s="593"/>
      <c r="BZ105" s="596"/>
      <c r="CA105" s="596"/>
    </row>
    <row r="106" spans="27:79" x14ac:dyDescent="0.25">
      <c r="AA106" s="593"/>
      <c r="AB106" s="593"/>
      <c r="BZ106" s="596"/>
      <c r="CA106" s="596"/>
    </row>
    <row r="107" spans="27:79" x14ac:dyDescent="0.25">
      <c r="AA107" s="593"/>
      <c r="AB107" s="593"/>
      <c r="BZ107" s="596"/>
      <c r="CA107" s="596"/>
    </row>
    <row r="108" spans="27:79" x14ac:dyDescent="0.25">
      <c r="AA108" s="593"/>
      <c r="AB108" s="593"/>
      <c r="BZ108" s="596"/>
      <c r="CA108" s="596"/>
    </row>
    <row r="109" spans="27:79" x14ac:dyDescent="0.25">
      <c r="AA109" s="593"/>
      <c r="AB109" s="593"/>
      <c r="BZ109" s="596"/>
      <c r="CA109" s="596"/>
    </row>
    <row r="110" spans="27:79" x14ac:dyDescent="0.25">
      <c r="AA110" s="593"/>
      <c r="AB110" s="593"/>
      <c r="BZ110" s="596"/>
      <c r="CA110" s="596"/>
    </row>
    <row r="111" spans="27:79" x14ac:dyDescent="0.25">
      <c r="AA111" s="593"/>
      <c r="AB111" s="593"/>
      <c r="BZ111" s="596"/>
      <c r="CA111" s="596"/>
    </row>
    <row r="112" spans="27:79" x14ac:dyDescent="0.25">
      <c r="AA112" s="593"/>
      <c r="AB112" s="593"/>
      <c r="BZ112" s="596"/>
      <c r="CA112" s="596"/>
    </row>
    <row r="113" spans="14:79" x14ac:dyDescent="0.25">
      <c r="N113" s="403" t="str">
        <f>IF(OR(ISNUMBER($AE$48),ISNUMBER($AG$48),ISNUMBER($AI$48),ISNUMBER($AK$48)),VLOOKUP(MAX($AE$48:$AL$48),$AV$56:$AZ$59,1+IF(ISNUMBER($AE$48),$AE$46,IF(ISNUMBER($AG$48),$AG$46,IF(ISNUMBER($AI$48),$AI$46,IF(ISNUMBER($AK$48),$AK$46,"")))),FALSE),"")</f>
        <v/>
      </c>
      <c r="O113" s="402">
        <v>25</v>
      </c>
      <c r="P113" s="401">
        <v>3</v>
      </c>
      <c r="Q113" s="400">
        <v>2</v>
      </c>
      <c r="R113" s="401">
        <v>1</v>
      </c>
      <c r="S113" s="400">
        <v>2</v>
      </c>
      <c r="T113" s="399"/>
      <c r="AA113" s="593"/>
      <c r="AB113" s="593"/>
      <c r="BZ113" s="596"/>
      <c r="CA113" s="596"/>
    </row>
    <row r="114" spans="14:79" x14ac:dyDescent="0.25">
      <c r="N114" s="387" t="s">
        <v>464</v>
      </c>
      <c r="O114" s="387">
        <v>19</v>
      </c>
      <c r="P114" s="386">
        <f>$O$7</f>
        <v>0</v>
      </c>
      <c r="Q114" s="386" t="s">
        <v>414</v>
      </c>
      <c r="R114" s="386">
        <f>$Q$7</f>
        <v>0</v>
      </c>
      <c r="S114" s="386" t="s">
        <v>413</v>
      </c>
      <c r="T114" s="386" t="str">
        <f>IF($S$7=1,"Salt Lake","Uintah")</f>
        <v>Uintah</v>
      </c>
      <c r="AA114" s="593"/>
      <c r="AB114" s="593"/>
      <c r="BZ114" s="596"/>
      <c r="CA114" s="596"/>
    </row>
    <row r="115" spans="14:79" x14ac:dyDescent="0.25">
      <c r="N115" s="387"/>
      <c r="O115" s="387"/>
      <c r="P115" s="386">
        <f>$O$7</f>
        <v>0</v>
      </c>
      <c r="Q115" s="386" t="s">
        <v>414</v>
      </c>
      <c r="R115" s="386">
        <f>$Q$7</f>
        <v>0</v>
      </c>
      <c r="S115" s="386" t="s">
        <v>413</v>
      </c>
      <c r="T115" s="386" t="str">
        <f>IF($S$7=1,"Salt Lake","Uintah")</f>
        <v>Uintah</v>
      </c>
      <c r="AA115" s="593"/>
      <c r="AB115" s="593"/>
      <c r="BZ115" s="596"/>
      <c r="CA115" s="596"/>
    </row>
    <row r="116" spans="14:79" ht="15.75" customHeight="1" thickBot="1" x14ac:dyDescent="0.3">
      <c r="N116" s="379" t="s">
        <v>463</v>
      </c>
      <c r="O116" s="379">
        <v>36</v>
      </c>
      <c r="P116" s="378">
        <f>$O$7</f>
        <v>0</v>
      </c>
      <c r="Q116" s="378" t="s">
        <v>414</v>
      </c>
      <c r="R116" s="378">
        <f>$Q$7</f>
        <v>0</v>
      </c>
      <c r="S116" s="378" t="s">
        <v>413</v>
      </c>
      <c r="T116" s="378" t="str">
        <f>IF($S$7=1,"Salt Lake","Uintah")</f>
        <v>Uintah</v>
      </c>
      <c r="AA116" s="593"/>
      <c r="AB116" s="593"/>
      <c r="BZ116" s="596"/>
      <c r="CA116" s="596"/>
    </row>
    <row r="117" spans="14:79" x14ac:dyDescent="0.25">
      <c r="AA117" s="593"/>
      <c r="AB117" s="593"/>
      <c r="BZ117" s="596"/>
      <c r="CA117" s="596"/>
    </row>
    <row r="118" spans="14:79" x14ac:dyDescent="0.25">
      <c r="AA118" s="593"/>
      <c r="AB118" s="593"/>
      <c r="BZ118" s="596"/>
      <c r="CA118" s="596"/>
    </row>
    <row r="119" spans="14:79" x14ac:dyDescent="0.25">
      <c r="AA119" s="593"/>
      <c r="AB119" s="593"/>
      <c r="BZ119" s="596"/>
      <c r="CA119" s="596"/>
    </row>
    <row r="120" spans="14:79" x14ac:dyDescent="0.25">
      <c r="AA120" s="593"/>
      <c r="AB120" s="593"/>
      <c r="BZ120" s="596"/>
      <c r="CA120" s="596"/>
    </row>
    <row r="121" spans="14:79" x14ac:dyDescent="0.25">
      <c r="AA121" s="593"/>
      <c r="AB121" s="593"/>
      <c r="BZ121" s="596"/>
      <c r="CA121" s="596"/>
    </row>
    <row r="122" spans="14:79" x14ac:dyDescent="0.25">
      <c r="AA122" s="593"/>
      <c r="AB122" s="593"/>
      <c r="BZ122" s="596"/>
      <c r="CA122" s="596"/>
    </row>
    <row r="123" spans="14:79" x14ac:dyDescent="0.25">
      <c r="AA123" s="593"/>
      <c r="AB123" s="593"/>
      <c r="BZ123" s="596"/>
      <c r="CA123" s="596"/>
    </row>
    <row r="124" spans="14:79" x14ac:dyDescent="0.25">
      <c r="AA124" s="593"/>
      <c r="AB124" s="593"/>
      <c r="BZ124" s="596"/>
      <c r="CA124" s="596"/>
    </row>
    <row r="125" spans="14:79" x14ac:dyDescent="0.25">
      <c r="AA125" s="593"/>
      <c r="AB125" s="593"/>
      <c r="BZ125" s="596"/>
      <c r="CA125" s="596"/>
    </row>
    <row r="126" spans="14:79" x14ac:dyDescent="0.25">
      <c r="AA126" s="593"/>
      <c r="AB126" s="593"/>
      <c r="BZ126" s="596"/>
      <c r="CA126" s="596"/>
    </row>
    <row r="127" spans="14:79" x14ac:dyDescent="0.25">
      <c r="AA127" s="593"/>
      <c r="AB127" s="593"/>
      <c r="BZ127" s="596"/>
      <c r="CA127" s="596"/>
    </row>
    <row r="128" spans="14:79" x14ac:dyDescent="0.25">
      <c r="AA128" s="593"/>
      <c r="AB128" s="593"/>
      <c r="BZ128" s="596"/>
      <c r="CA128" s="596"/>
    </row>
    <row r="129" spans="27:79" x14ac:dyDescent="0.25">
      <c r="AA129" s="593"/>
      <c r="AB129" s="593"/>
      <c r="BZ129" s="596"/>
      <c r="CA129" s="596"/>
    </row>
    <row r="130" spans="27:79" x14ac:dyDescent="0.25">
      <c r="AA130" s="593"/>
      <c r="AB130" s="593"/>
      <c r="BZ130" s="596"/>
      <c r="CA130" s="596"/>
    </row>
    <row r="131" spans="27:79" x14ac:dyDescent="0.25">
      <c r="AA131" s="593"/>
      <c r="AB131" s="593"/>
      <c r="BZ131" s="596"/>
      <c r="CA131" s="596"/>
    </row>
    <row r="132" spans="27:79" x14ac:dyDescent="0.25">
      <c r="AA132" s="593"/>
      <c r="AB132" s="593"/>
      <c r="BZ132" s="596"/>
      <c r="CA132" s="596"/>
    </row>
    <row r="133" spans="27:79" x14ac:dyDescent="0.25">
      <c r="AA133" s="593"/>
      <c r="AB133" s="593"/>
      <c r="BZ133" s="596"/>
      <c r="CA133" s="596"/>
    </row>
    <row r="134" spans="27:79" x14ac:dyDescent="0.25">
      <c r="AA134" s="593"/>
      <c r="AB134" s="593"/>
      <c r="BZ134" s="596"/>
      <c r="CA134" s="596"/>
    </row>
    <row r="135" spans="27:79" x14ac:dyDescent="0.25">
      <c r="AA135" s="593"/>
      <c r="AB135" s="593"/>
      <c r="BZ135" s="596"/>
      <c r="CA135" s="596"/>
    </row>
    <row r="136" spans="27:79" x14ac:dyDescent="0.25">
      <c r="AA136" s="593"/>
      <c r="AB136" s="593"/>
      <c r="BZ136" s="596"/>
      <c r="CA136" s="596"/>
    </row>
    <row r="137" spans="27:79" x14ac:dyDescent="0.25">
      <c r="AA137" s="593"/>
      <c r="AB137" s="593"/>
      <c r="BZ137" s="596"/>
      <c r="CA137" s="596"/>
    </row>
    <row r="138" spans="27:79" x14ac:dyDescent="0.25">
      <c r="AA138" s="593"/>
      <c r="AB138" s="593"/>
      <c r="BZ138" s="596"/>
      <c r="CA138" s="596"/>
    </row>
    <row r="139" spans="27:79" x14ac:dyDescent="0.25">
      <c r="AA139" s="593"/>
      <c r="AB139" s="593"/>
      <c r="BZ139" s="596"/>
      <c r="CA139" s="596"/>
    </row>
    <row r="140" spans="27:79" x14ac:dyDescent="0.25">
      <c r="AA140" s="593"/>
      <c r="AB140" s="593"/>
      <c r="BZ140" s="596"/>
      <c r="CA140" s="596"/>
    </row>
    <row r="141" spans="27:79" x14ac:dyDescent="0.25">
      <c r="AA141" s="593"/>
      <c r="AB141" s="593"/>
      <c r="BZ141" s="596"/>
      <c r="CA141" s="596"/>
    </row>
    <row r="142" spans="27:79" x14ac:dyDescent="0.25">
      <c r="AA142" s="593"/>
      <c r="AB142" s="593"/>
      <c r="BZ142" s="596"/>
      <c r="CA142" s="596"/>
    </row>
    <row r="143" spans="27:79" x14ac:dyDescent="0.25">
      <c r="AA143" s="593"/>
      <c r="AB143" s="593"/>
      <c r="BZ143" s="596"/>
      <c r="CA143" s="596"/>
    </row>
    <row r="144" spans="27:79" x14ac:dyDescent="0.25">
      <c r="AA144" s="593"/>
      <c r="AB144" s="593"/>
      <c r="BZ144" s="596"/>
      <c r="CA144" s="596"/>
    </row>
    <row r="145" spans="27:79" x14ac:dyDescent="0.25">
      <c r="AA145" s="593"/>
      <c r="AB145" s="593"/>
      <c r="BZ145" s="596"/>
      <c r="CA145" s="596"/>
    </row>
    <row r="146" spans="27:79" x14ac:dyDescent="0.25">
      <c r="AA146" s="593"/>
      <c r="AB146" s="593"/>
      <c r="BZ146" s="596"/>
      <c r="CA146" s="596"/>
    </row>
    <row r="147" spans="27:79" x14ac:dyDescent="0.25">
      <c r="AA147" s="593"/>
      <c r="AB147" s="593"/>
      <c r="BZ147" s="596"/>
      <c r="CA147" s="596"/>
    </row>
    <row r="148" spans="27:79" x14ac:dyDescent="0.25">
      <c r="AA148" s="593"/>
      <c r="AB148" s="593"/>
      <c r="BZ148" s="596"/>
      <c r="CA148" s="596"/>
    </row>
    <row r="149" spans="27:79" x14ac:dyDescent="0.25">
      <c r="AA149" s="593"/>
      <c r="AB149" s="593"/>
      <c r="BZ149" s="596"/>
      <c r="CA149" s="596"/>
    </row>
    <row r="150" spans="27:79" x14ac:dyDescent="0.25">
      <c r="AA150" s="593"/>
      <c r="AB150" s="593"/>
      <c r="BZ150" s="596"/>
      <c r="CA150" s="596"/>
    </row>
    <row r="151" spans="27:79" x14ac:dyDescent="0.25">
      <c r="AA151" s="593"/>
      <c r="AB151" s="593"/>
      <c r="BZ151" s="596"/>
      <c r="CA151" s="596"/>
    </row>
    <row r="152" spans="27:79" x14ac:dyDescent="0.25">
      <c r="AA152" s="593"/>
      <c r="AB152" s="593"/>
      <c r="BZ152" s="596"/>
      <c r="CA152" s="596"/>
    </row>
    <row r="153" spans="27:79" x14ac:dyDescent="0.25">
      <c r="AA153" s="593"/>
      <c r="AB153" s="593"/>
      <c r="BZ153" s="596"/>
      <c r="CA153" s="596"/>
    </row>
    <row r="154" spans="27:79" x14ac:dyDescent="0.25">
      <c r="AA154" s="593"/>
      <c r="AB154" s="593"/>
      <c r="BZ154" s="596"/>
      <c r="CA154" s="596"/>
    </row>
    <row r="155" spans="27:79" x14ac:dyDescent="0.25">
      <c r="AA155" s="593"/>
      <c r="BZ155" s="596"/>
      <c r="CA155" s="596"/>
    </row>
    <row r="156" spans="27:79" x14ac:dyDescent="0.25">
      <c r="AA156" s="593"/>
    </row>
  </sheetData>
  <mergeCells count="135">
    <mergeCell ref="AP3:AP4"/>
    <mergeCell ref="AQ3:AQ4"/>
    <mergeCell ref="AR3:AR4"/>
    <mergeCell ref="AS3:AS4"/>
    <mergeCell ref="L56:M56"/>
    <mergeCell ref="B56:C56"/>
    <mergeCell ref="AK69:AL69"/>
    <mergeCell ref="AN5:AO5"/>
    <mergeCell ref="AE71:AF71"/>
    <mergeCell ref="AG71:AH71"/>
    <mergeCell ref="AI71:AJ71"/>
    <mergeCell ref="AK71:AL71"/>
    <mergeCell ref="AE48:AF48"/>
    <mergeCell ref="AI50:AJ50"/>
    <mergeCell ref="AG50:AH50"/>
    <mergeCell ref="AG48:AH48"/>
    <mergeCell ref="AK48:AL48"/>
    <mergeCell ref="AE50:AF50"/>
    <mergeCell ref="AI57:AJ57"/>
    <mergeCell ref="AE57:AF57"/>
    <mergeCell ref="AK57:AL57"/>
    <mergeCell ref="AG57:AH57"/>
    <mergeCell ref="AI48:AJ48"/>
    <mergeCell ref="AK50:AL50"/>
    <mergeCell ref="AE82:AF82"/>
    <mergeCell ref="AG82:AH82"/>
    <mergeCell ref="AI82:AJ82"/>
    <mergeCell ref="AK82:AL82"/>
    <mergeCell ref="AE68:AF68"/>
    <mergeCell ref="AK58:AL58"/>
    <mergeCell ref="AE79:AF79"/>
    <mergeCell ref="AG79:AH79"/>
    <mergeCell ref="AI79:AJ79"/>
    <mergeCell ref="AK79:AL79"/>
    <mergeCell ref="AE80:AF80"/>
    <mergeCell ref="AG68:AH68"/>
    <mergeCell ref="AI68:AJ68"/>
    <mergeCell ref="AK68:AL68"/>
    <mergeCell ref="AG80:AH80"/>
    <mergeCell ref="AI80:AJ80"/>
    <mergeCell ref="AK80:AL80"/>
    <mergeCell ref="AK60:AL60"/>
    <mergeCell ref="AG60:AH60"/>
    <mergeCell ref="AE60:AF60"/>
    <mergeCell ref="AI69:AJ69"/>
    <mergeCell ref="AI60:AJ60"/>
    <mergeCell ref="AE69:AF69"/>
    <mergeCell ref="AG69:AH69"/>
    <mergeCell ref="AE58:AF58"/>
    <mergeCell ref="AG58:AH58"/>
    <mergeCell ref="AI58:AJ58"/>
    <mergeCell ref="AI5:AL5"/>
    <mergeCell ref="AI6:AJ6"/>
    <mergeCell ref="AK6:AL6"/>
    <mergeCell ref="AE47:AF47"/>
    <mergeCell ref="AE46:AF46"/>
    <mergeCell ref="AG46:AH46"/>
    <mergeCell ref="AI46:AJ46"/>
    <mergeCell ref="AK46:AL46"/>
    <mergeCell ref="AE45:AF45"/>
    <mergeCell ref="AI47:AJ47"/>
    <mergeCell ref="AG47:AH47"/>
    <mergeCell ref="AI45:AJ45"/>
    <mergeCell ref="AK47:AL47"/>
    <mergeCell ref="AK45:AL45"/>
    <mergeCell ref="V56:W56"/>
    <mergeCell ref="AQ18:AR18"/>
    <mergeCell ref="AM18:AN18"/>
    <mergeCell ref="AO18:AP18"/>
    <mergeCell ref="AC17:AT17"/>
    <mergeCell ref="AG45:AH45"/>
    <mergeCell ref="BD17:BE17"/>
    <mergeCell ref="BD20:BG20"/>
    <mergeCell ref="AI18:AJ18"/>
    <mergeCell ref="AK18:AL18"/>
    <mergeCell ref="AC24:AD24"/>
    <mergeCell ref="AC30:AD30"/>
    <mergeCell ref="BD24:BK24"/>
    <mergeCell ref="AV24:BC24"/>
    <mergeCell ref="BB17:BC17"/>
    <mergeCell ref="AV17:AW17"/>
    <mergeCell ref="AX17:AY17"/>
    <mergeCell ref="AZ17:BA17"/>
    <mergeCell ref="AC42:AD42"/>
    <mergeCell ref="BT24:CA24"/>
    <mergeCell ref="BV17:BW17"/>
    <mergeCell ref="BX17:BY17"/>
    <mergeCell ref="BZ17:CA17"/>
    <mergeCell ref="BH20:BK20"/>
    <mergeCell ref="BL20:BO20"/>
    <mergeCell ref="BX20:CA20"/>
    <mergeCell ref="AS18:AT18"/>
    <mergeCell ref="BT20:BW20"/>
    <mergeCell ref="BF17:BG17"/>
    <mergeCell ref="BH17:BI17"/>
    <mergeCell ref="BN17:BO17"/>
    <mergeCell ref="BJ17:BK17"/>
    <mergeCell ref="BL17:BM17"/>
    <mergeCell ref="BR17:BS17"/>
    <mergeCell ref="BT17:BU17"/>
    <mergeCell ref="BP17:BQ17"/>
    <mergeCell ref="AV20:AY20"/>
    <mergeCell ref="AZ20:BC20"/>
    <mergeCell ref="BP20:BS20"/>
    <mergeCell ref="BL24:BS24"/>
    <mergeCell ref="G26:H26"/>
    <mergeCell ref="G42:H42"/>
    <mergeCell ref="Q42:R42"/>
    <mergeCell ref="A39:B40"/>
    <mergeCell ref="X3:Y4"/>
    <mergeCell ref="X5:AG10"/>
    <mergeCell ref="N12:Q12"/>
    <mergeCell ref="L23:M23"/>
    <mergeCell ref="V23:W23"/>
    <mergeCell ref="AE18:AF18"/>
    <mergeCell ref="AG18:AH18"/>
    <mergeCell ref="B23:C23"/>
    <mergeCell ref="AC36:AD36"/>
    <mergeCell ref="L38:M41"/>
    <mergeCell ref="Q26:R26"/>
    <mergeCell ref="W39:X40"/>
    <mergeCell ref="C2:G2"/>
    <mergeCell ref="B7:C7"/>
    <mergeCell ref="B8:C8"/>
    <mergeCell ref="B9:C9"/>
    <mergeCell ref="B10:C10"/>
    <mergeCell ref="B6:C6"/>
    <mergeCell ref="C3:G3"/>
    <mergeCell ref="T5:V5"/>
    <mergeCell ref="E6:F6"/>
    <mergeCell ref="G6:H6"/>
    <mergeCell ref="I5:L5"/>
    <mergeCell ref="E5:H5"/>
    <mergeCell ref="I6:J6"/>
    <mergeCell ref="K6:L6"/>
  </mergeCells>
  <conditionalFormatting sqref="AE52:AF52">
    <cfRule type="expression" dxfId="726" priority="185">
      <formula>$AE48=1</formula>
    </cfRule>
  </conditionalFormatting>
  <conditionalFormatting sqref="AG52:AH52">
    <cfRule type="expression" dxfId="725" priority="184">
      <formula>$AG48=1</formula>
    </cfRule>
  </conditionalFormatting>
  <conditionalFormatting sqref="AI52:AJ52">
    <cfRule type="expression" dxfId="724" priority="183">
      <formula>$AI48=1</formula>
    </cfRule>
  </conditionalFormatting>
  <conditionalFormatting sqref="AK52:AL52">
    <cfRule type="expression" dxfId="723" priority="182">
      <formula>$AK48=1</formula>
    </cfRule>
  </conditionalFormatting>
  <conditionalFormatting sqref="AE53:AF53">
    <cfRule type="expression" dxfId="722" priority="181">
      <formula>$AE48=2</formula>
    </cfRule>
  </conditionalFormatting>
  <conditionalFormatting sqref="AG53:AH53">
    <cfRule type="expression" dxfId="721" priority="180">
      <formula>$AG48=2</formula>
    </cfRule>
  </conditionalFormatting>
  <conditionalFormatting sqref="AI53:AJ53">
    <cfRule type="expression" dxfId="720" priority="179">
      <formula>$AI48=2</formula>
    </cfRule>
  </conditionalFormatting>
  <conditionalFormatting sqref="AK53:AL53">
    <cfRule type="expression" dxfId="719" priority="178">
      <formula>$AK48=2</formula>
    </cfRule>
  </conditionalFormatting>
  <conditionalFormatting sqref="AE54:AF54">
    <cfRule type="expression" dxfId="718" priority="177">
      <formula>$AE48=3</formula>
    </cfRule>
  </conditionalFormatting>
  <conditionalFormatting sqref="AG54:AH54">
    <cfRule type="expression" dxfId="717" priority="176">
      <formula>$AG48=3</formula>
    </cfRule>
  </conditionalFormatting>
  <conditionalFormatting sqref="AI54:AJ54">
    <cfRule type="expression" dxfId="716" priority="175">
      <formula>$AI48=3</formula>
    </cfRule>
  </conditionalFormatting>
  <conditionalFormatting sqref="AK54:AL54">
    <cfRule type="expression" dxfId="715" priority="174">
      <formula>$AK48=3</formula>
    </cfRule>
  </conditionalFormatting>
  <conditionalFormatting sqref="AE55:AF55">
    <cfRule type="expression" dxfId="714" priority="173">
      <formula>$AE48=4</formula>
    </cfRule>
  </conditionalFormatting>
  <conditionalFormatting sqref="AG55:AH55">
    <cfRule type="expression" dxfId="713" priority="172">
      <formula>$AG48=4</formula>
    </cfRule>
  </conditionalFormatting>
  <conditionalFormatting sqref="AI55:AJ55">
    <cfRule type="expression" dxfId="712" priority="171">
      <formula>$AI48=4</formula>
    </cfRule>
  </conditionalFormatting>
  <conditionalFormatting sqref="AK55:AL55">
    <cfRule type="expression" dxfId="711" priority="170">
      <formula>$AK48=4</formula>
    </cfRule>
  </conditionalFormatting>
  <conditionalFormatting sqref="AE65:AF65">
    <cfRule type="expression" dxfId="710" priority="169">
      <formula>$AE$58=4</formula>
    </cfRule>
  </conditionalFormatting>
  <conditionalFormatting sqref="AG65:AH65">
    <cfRule type="expression" dxfId="709" priority="168">
      <formula>$AG$58=4</formula>
    </cfRule>
  </conditionalFormatting>
  <conditionalFormatting sqref="AI65:AJ65">
    <cfRule type="expression" dxfId="708" priority="167">
      <formula>$AI$58=4</formula>
    </cfRule>
  </conditionalFormatting>
  <conditionalFormatting sqref="AK65:AL65">
    <cfRule type="expression" dxfId="707" priority="166">
      <formula>$AK$58=4</formula>
    </cfRule>
  </conditionalFormatting>
  <conditionalFormatting sqref="AE64:AF64">
    <cfRule type="expression" dxfId="706" priority="165">
      <formula>$AE$58=3</formula>
    </cfRule>
  </conditionalFormatting>
  <conditionalFormatting sqref="AG64:AH64">
    <cfRule type="expression" dxfId="705" priority="164">
      <formula>$AG$58=3</formula>
    </cfRule>
  </conditionalFormatting>
  <conditionalFormatting sqref="AI64:AJ64">
    <cfRule type="expression" dxfId="704" priority="163">
      <formula>$AI$58=3</formula>
    </cfRule>
  </conditionalFormatting>
  <conditionalFormatting sqref="AK64:AL64">
    <cfRule type="expression" dxfId="703" priority="162">
      <formula>$AK$58=3</formula>
    </cfRule>
  </conditionalFormatting>
  <conditionalFormatting sqref="AE63:AF63">
    <cfRule type="expression" dxfId="702" priority="161">
      <formula>$AE$58=2</formula>
    </cfRule>
  </conditionalFormatting>
  <conditionalFormatting sqref="AG63:AH63">
    <cfRule type="expression" dxfId="701" priority="160">
      <formula>$AG$58=2</formula>
    </cfRule>
  </conditionalFormatting>
  <conditionalFormatting sqref="AI63:AJ63">
    <cfRule type="expression" dxfId="700" priority="159">
      <formula>$AI$58=2</formula>
    </cfRule>
  </conditionalFormatting>
  <conditionalFormatting sqref="AK63:AL63">
    <cfRule type="expression" dxfId="699" priority="158">
      <formula>$AK$58=2</formula>
    </cfRule>
  </conditionalFormatting>
  <conditionalFormatting sqref="AE62:AF62">
    <cfRule type="expression" dxfId="698" priority="157">
      <formula>$AE$58=1</formula>
    </cfRule>
  </conditionalFormatting>
  <conditionalFormatting sqref="AG62:AH62">
    <cfRule type="expression" dxfId="697" priority="156">
      <formula>$AG$58=1</formula>
    </cfRule>
  </conditionalFormatting>
  <conditionalFormatting sqref="AI62:AJ62">
    <cfRule type="expression" dxfId="696" priority="155">
      <formula>$AI$58=1</formula>
    </cfRule>
  </conditionalFormatting>
  <conditionalFormatting sqref="AK62:AL62">
    <cfRule type="expression" dxfId="695" priority="154">
      <formula>$AK$58=1</formula>
    </cfRule>
  </conditionalFormatting>
  <conditionalFormatting sqref="AE74:AF74">
    <cfRule type="expression" dxfId="694" priority="153">
      <formula>$AE$69=2</formula>
    </cfRule>
  </conditionalFormatting>
  <conditionalFormatting sqref="AE73:AF73">
    <cfRule type="expression" dxfId="693" priority="152">
      <formula>$AE$69=1</formula>
    </cfRule>
  </conditionalFormatting>
  <conditionalFormatting sqref="AE87:AF87">
    <cfRule type="expression" dxfId="692" priority="151">
      <formula>$AE$80=4</formula>
    </cfRule>
  </conditionalFormatting>
  <conditionalFormatting sqref="AG87:AH87">
    <cfRule type="expression" dxfId="691" priority="150">
      <formula>$AG$80=4</formula>
    </cfRule>
  </conditionalFormatting>
  <conditionalFormatting sqref="AI87:AJ87">
    <cfRule type="expression" dxfId="690" priority="149">
      <formula>$AI$80=4</formula>
    </cfRule>
  </conditionalFormatting>
  <conditionalFormatting sqref="AK87:AL87">
    <cfRule type="expression" dxfId="689" priority="148">
      <formula>$AK$80=4</formula>
    </cfRule>
  </conditionalFormatting>
  <conditionalFormatting sqref="AE86:AF86">
    <cfRule type="expression" dxfId="688" priority="147">
      <formula>$AE$80=3</formula>
    </cfRule>
  </conditionalFormatting>
  <conditionalFormatting sqref="AG86:AH86">
    <cfRule type="expression" dxfId="687" priority="146">
      <formula>$AG$80=3</formula>
    </cfRule>
  </conditionalFormatting>
  <conditionalFormatting sqref="AI86:AJ86">
    <cfRule type="expression" dxfId="686" priority="145">
      <formula>$AI$80=3</formula>
    </cfRule>
  </conditionalFormatting>
  <conditionalFormatting sqref="AK86:AL86">
    <cfRule type="expression" dxfId="685" priority="144">
      <formula>$AK$80=3</formula>
    </cfRule>
  </conditionalFormatting>
  <conditionalFormatting sqref="AE85:AF85">
    <cfRule type="expression" dxfId="684" priority="143">
      <formula>$AE$80=2</formula>
    </cfRule>
  </conditionalFormatting>
  <conditionalFormatting sqref="AG85:AH85">
    <cfRule type="expression" dxfId="683" priority="142">
      <formula>$AG$80=2</formula>
    </cfRule>
  </conditionalFormatting>
  <conditionalFormatting sqref="AI85:AJ85">
    <cfRule type="expression" dxfId="682" priority="141">
      <formula>$AI$80=2</formula>
    </cfRule>
  </conditionalFormatting>
  <conditionalFormatting sqref="AK85:AL85">
    <cfRule type="expression" dxfId="681" priority="140">
      <formula>$AK$80=2</formula>
    </cfRule>
  </conditionalFormatting>
  <conditionalFormatting sqref="AE84:AF84">
    <cfRule type="expression" dxfId="680" priority="139">
      <formula>$AE$80=1</formula>
    </cfRule>
  </conditionalFormatting>
  <conditionalFormatting sqref="AG84:AH84">
    <cfRule type="expression" dxfId="679" priority="138">
      <formula>$AG$80=1</formula>
    </cfRule>
  </conditionalFormatting>
  <conditionalFormatting sqref="AI84:AJ84">
    <cfRule type="expression" dxfId="678" priority="137">
      <formula>$AI$80=1</formula>
    </cfRule>
  </conditionalFormatting>
  <conditionalFormatting sqref="AK84:AL84">
    <cfRule type="expression" dxfId="677" priority="136">
      <formula>$AK$80=1</formula>
    </cfRule>
  </conditionalFormatting>
  <conditionalFormatting sqref="AE48:AF48">
    <cfRule type="cellIs" dxfId="676" priority="135" operator="between">
      <formula>1</formula>
      <formula>4</formula>
    </cfRule>
  </conditionalFormatting>
  <conditionalFormatting sqref="AG48:AH48">
    <cfRule type="cellIs" dxfId="675" priority="134" operator="between">
      <formula>1</formula>
      <formula>4</formula>
    </cfRule>
  </conditionalFormatting>
  <conditionalFormatting sqref="AI48:AJ48">
    <cfRule type="cellIs" dxfId="674" priority="133" operator="between">
      <formula>1</formula>
      <formula>4</formula>
    </cfRule>
  </conditionalFormatting>
  <conditionalFormatting sqref="AK48:AL48">
    <cfRule type="cellIs" dxfId="673" priority="132" operator="between">
      <formula>1</formula>
      <formula>4</formula>
    </cfRule>
  </conditionalFormatting>
  <conditionalFormatting sqref="AE75:AF75">
    <cfRule type="expression" dxfId="672" priority="131">
      <formula>$AE$69=3</formula>
    </cfRule>
  </conditionalFormatting>
  <conditionalFormatting sqref="AE76:AF76">
    <cfRule type="expression" dxfId="671" priority="130">
      <formula>$AE$69=4</formula>
    </cfRule>
  </conditionalFormatting>
  <conditionalFormatting sqref="AG74:AH74">
    <cfRule type="expression" dxfId="670" priority="129">
      <formula>$AG$69=2</formula>
    </cfRule>
  </conditionalFormatting>
  <conditionalFormatting sqref="AG73:AH73">
    <cfRule type="expression" dxfId="669" priority="128">
      <formula>$AG$69=1</formula>
    </cfRule>
  </conditionalFormatting>
  <conditionalFormatting sqref="AG75:AH75">
    <cfRule type="expression" dxfId="668" priority="127">
      <formula>$AG$69=3</formula>
    </cfRule>
  </conditionalFormatting>
  <conditionalFormatting sqref="AG76:AH76">
    <cfRule type="expression" dxfId="667" priority="126">
      <formula>$AG$69=4</formula>
    </cfRule>
  </conditionalFormatting>
  <conditionalFormatting sqref="AI74:AJ74">
    <cfRule type="expression" dxfId="666" priority="125">
      <formula>$AI$69=2</formula>
    </cfRule>
  </conditionalFormatting>
  <conditionalFormatting sqref="AI73:AJ73">
    <cfRule type="expression" dxfId="665" priority="124">
      <formula>$AI$69=1</formula>
    </cfRule>
  </conditionalFormatting>
  <conditionalFormatting sqref="AI75:AJ75">
    <cfRule type="expression" dxfId="664" priority="123">
      <formula>$AI$69=3</formula>
    </cfRule>
  </conditionalFormatting>
  <conditionalFormatting sqref="AI76:AJ76">
    <cfRule type="expression" dxfId="663" priority="122">
      <formula>$AI$69=4</formula>
    </cfRule>
  </conditionalFormatting>
  <conditionalFormatting sqref="AK74:AL74">
    <cfRule type="expression" dxfId="662" priority="121">
      <formula>$AK$69=2</formula>
    </cfRule>
  </conditionalFormatting>
  <conditionalFormatting sqref="AK73:AL73">
    <cfRule type="expression" dxfId="661" priority="120">
      <formula>$AK$69=1</formula>
    </cfRule>
  </conditionalFormatting>
  <conditionalFormatting sqref="AK75:AL75">
    <cfRule type="expression" dxfId="660" priority="119">
      <formula>$AK$69=3</formula>
    </cfRule>
  </conditionalFormatting>
  <conditionalFormatting sqref="AK76:AL76">
    <cfRule type="expression" dxfId="659" priority="118">
      <formula>$AK$69=4</formula>
    </cfRule>
  </conditionalFormatting>
  <conditionalFormatting sqref="AI58:AJ58">
    <cfRule type="cellIs" dxfId="658" priority="117" operator="between">
      <formula>1</formula>
      <formula>4</formula>
    </cfRule>
  </conditionalFormatting>
  <conditionalFormatting sqref="AE58:AH58">
    <cfRule type="cellIs" dxfId="657" priority="116" operator="between">
      <formula>1</formula>
      <formula>4</formula>
    </cfRule>
  </conditionalFormatting>
  <conditionalFormatting sqref="AK58:AL58">
    <cfRule type="cellIs" dxfId="656" priority="115" operator="between">
      <formula>1</formula>
      <formula>4</formula>
    </cfRule>
  </conditionalFormatting>
  <conditionalFormatting sqref="AI69:AJ69">
    <cfRule type="cellIs" dxfId="655" priority="114" operator="between">
      <formula>1</formula>
      <formula>4</formula>
    </cfRule>
  </conditionalFormatting>
  <conditionalFormatting sqref="AE69:AH69">
    <cfRule type="cellIs" dxfId="654" priority="113" operator="between">
      <formula>1</formula>
      <formula>4</formula>
    </cfRule>
  </conditionalFormatting>
  <conditionalFormatting sqref="AK69:AL69">
    <cfRule type="cellIs" dxfId="653" priority="112" operator="between">
      <formula>1</formula>
      <formula>4</formula>
    </cfRule>
  </conditionalFormatting>
  <conditionalFormatting sqref="AI80:AJ80">
    <cfRule type="cellIs" dxfId="652" priority="111" operator="between">
      <formula>1</formula>
      <formula>4</formula>
    </cfRule>
  </conditionalFormatting>
  <conditionalFormatting sqref="AE80:AH80">
    <cfRule type="cellIs" dxfId="651" priority="110" operator="between">
      <formula>1</formula>
      <formula>4</formula>
    </cfRule>
  </conditionalFormatting>
  <conditionalFormatting sqref="AK80:AL80">
    <cfRule type="cellIs" dxfId="650" priority="109" operator="between">
      <formula>1</formula>
      <formula>4</formula>
    </cfRule>
  </conditionalFormatting>
  <conditionalFormatting sqref="L38:M41">
    <cfRule type="expression" dxfId="649" priority="107">
      <formula>$CD$20&gt;3</formula>
    </cfRule>
    <cfRule type="expression" dxfId="648" priority="108">
      <formula>$CD$20&lt;0.1</formula>
    </cfRule>
  </conditionalFormatting>
  <conditionalFormatting sqref="AN65:AO65">
    <cfRule type="expression" dxfId="647" priority="106">
      <formula>$AE$58=4</formula>
    </cfRule>
  </conditionalFormatting>
  <conditionalFormatting sqref="AP65:AQ65">
    <cfRule type="expression" dxfId="646" priority="105">
      <formula>$AG$58=4</formula>
    </cfRule>
  </conditionalFormatting>
  <conditionalFormatting sqref="AR65:AS65">
    <cfRule type="expression" dxfId="645" priority="104">
      <formula>$AI$58=4</formula>
    </cfRule>
  </conditionalFormatting>
  <conditionalFormatting sqref="AT65:AU65">
    <cfRule type="expression" dxfId="644" priority="103">
      <formula>$AK$58=4</formula>
    </cfRule>
  </conditionalFormatting>
  <conditionalFormatting sqref="AN64:AO64">
    <cfRule type="expression" dxfId="643" priority="102">
      <formula>$AE$58=3</formula>
    </cfRule>
  </conditionalFormatting>
  <conditionalFormatting sqref="AP64:AQ64">
    <cfRule type="expression" dxfId="642" priority="101">
      <formula>$AG$58=3</formula>
    </cfRule>
  </conditionalFormatting>
  <conditionalFormatting sqref="AR64:AS64">
    <cfRule type="expression" dxfId="641" priority="100">
      <formula>$AI$58=3</formula>
    </cfRule>
  </conditionalFormatting>
  <conditionalFormatting sqref="AT64:AU64">
    <cfRule type="expression" dxfId="640" priority="99">
      <formula>$AK$58=3</formula>
    </cfRule>
  </conditionalFormatting>
  <conditionalFormatting sqref="AN63:AO63">
    <cfRule type="expression" dxfId="639" priority="98">
      <formula>$AE$58=2</formula>
    </cfRule>
  </conditionalFormatting>
  <conditionalFormatting sqref="AP63:AQ63">
    <cfRule type="expression" dxfId="638" priority="97">
      <formula>$AG$58=2</formula>
    </cfRule>
  </conditionalFormatting>
  <conditionalFormatting sqref="AR63:AS63">
    <cfRule type="expression" dxfId="637" priority="96">
      <formula>$AI$58=2</formula>
    </cfRule>
  </conditionalFormatting>
  <conditionalFormatting sqref="AT63:AU63">
    <cfRule type="expression" dxfId="636" priority="95">
      <formula>$AK$58=2</formula>
    </cfRule>
  </conditionalFormatting>
  <conditionalFormatting sqref="AN62:AO62">
    <cfRule type="expression" dxfId="635" priority="94">
      <formula>$AE$58=1</formula>
    </cfRule>
  </conditionalFormatting>
  <conditionalFormatting sqref="AP62:AQ62">
    <cfRule type="expression" dxfId="634" priority="93">
      <formula>$AG$58=1</formula>
    </cfRule>
  </conditionalFormatting>
  <conditionalFormatting sqref="AR62:AS62">
    <cfRule type="expression" dxfId="633" priority="92">
      <formula>$AI$58=1</formula>
    </cfRule>
  </conditionalFormatting>
  <conditionalFormatting sqref="AT62:AU62">
    <cfRule type="expression" dxfId="632" priority="91">
      <formula>$AK$58=1</formula>
    </cfRule>
  </conditionalFormatting>
  <conditionalFormatting sqref="AN74:AO74">
    <cfRule type="expression" dxfId="631" priority="90">
      <formula>$AE$69=2</formula>
    </cfRule>
  </conditionalFormatting>
  <conditionalFormatting sqref="AN73:AO73">
    <cfRule type="expression" dxfId="630" priority="89">
      <formula>$AE$69=1</formula>
    </cfRule>
  </conditionalFormatting>
  <conditionalFormatting sqref="AN75:AO75">
    <cfRule type="expression" dxfId="629" priority="88">
      <formula>$AE$69=3</formula>
    </cfRule>
  </conditionalFormatting>
  <conditionalFormatting sqref="AN76:AO76">
    <cfRule type="expression" dxfId="628" priority="87">
      <formula>$AE$69=4</formula>
    </cfRule>
  </conditionalFormatting>
  <conditionalFormatting sqref="AP74:AQ74">
    <cfRule type="expression" dxfId="627" priority="86">
      <formula>$AG$69=2</formula>
    </cfRule>
  </conditionalFormatting>
  <conditionalFormatting sqref="AP73:AQ73">
    <cfRule type="expression" dxfId="626" priority="85">
      <formula>$AG$69=1</formula>
    </cfRule>
  </conditionalFormatting>
  <conditionalFormatting sqref="AP75:AQ75">
    <cfRule type="expression" dxfId="625" priority="84">
      <formula>$AG$69=3</formula>
    </cfRule>
  </conditionalFormatting>
  <conditionalFormatting sqref="AP76:AQ76">
    <cfRule type="expression" dxfId="624" priority="83">
      <formula>$AG$69=4</formula>
    </cfRule>
  </conditionalFormatting>
  <conditionalFormatting sqref="AR74:AS74">
    <cfRule type="expression" dxfId="623" priority="82">
      <formula>$AI$69=2</formula>
    </cfRule>
  </conditionalFormatting>
  <conditionalFormatting sqref="AR73:AS73">
    <cfRule type="expression" dxfId="622" priority="81">
      <formula>$AI$69=1</formula>
    </cfRule>
  </conditionalFormatting>
  <conditionalFormatting sqref="AR75:AS75">
    <cfRule type="expression" dxfId="621" priority="80">
      <formula>$AI$69=3</formula>
    </cfRule>
  </conditionalFormatting>
  <conditionalFormatting sqref="AR76:AS76">
    <cfRule type="expression" dxfId="620" priority="79">
      <formula>$AI$69=4</formula>
    </cfRule>
  </conditionalFormatting>
  <conditionalFormatting sqref="AT74:AU74">
    <cfRule type="expression" dxfId="619" priority="78">
      <formula>$AK$69=2</formula>
    </cfRule>
  </conditionalFormatting>
  <conditionalFormatting sqref="AT73:AU73">
    <cfRule type="expression" dxfId="618" priority="77">
      <formula>$AK$69=1</formula>
    </cfRule>
  </conditionalFormatting>
  <conditionalFormatting sqref="AT75:AU75">
    <cfRule type="expression" dxfId="617" priority="76">
      <formula>$AK$69=3</formula>
    </cfRule>
  </conditionalFormatting>
  <conditionalFormatting sqref="AT76:AU76">
    <cfRule type="expression" dxfId="616" priority="75">
      <formula>$AK$69=4</formula>
    </cfRule>
  </conditionalFormatting>
  <conditionalFormatting sqref="AN85:AO85">
    <cfRule type="expression" dxfId="615" priority="74">
      <formula>$AE$80=2</formula>
    </cfRule>
  </conditionalFormatting>
  <conditionalFormatting sqref="AN84:AO84">
    <cfRule type="expression" dxfId="614" priority="73">
      <formula>$AE$80=1</formula>
    </cfRule>
  </conditionalFormatting>
  <conditionalFormatting sqref="AN86:AO86">
    <cfRule type="expression" dxfId="613" priority="72">
      <formula>$AE$80=3</formula>
    </cfRule>
  </conditionalFormatting>
  <conditionalFormatting sqref="AN87:AO87">
    <cfRule type="expression" dxfId="612" priority="71">
      <formula>$AE$80=4</formula>
    </cfRule>
  </conditionalFormatting>
  <conditionalFormatting sqref="AP85:AQ85">
    <cfRule type="expression" dxfId="611" priority="70">
      <formula>$AG$80=2</formula>
    </cfRule>
  </conditionalFormatting>
  <conditionalFormatting sqref="AP84:AQ84">
    <cfRule type="expression" dxfId="610" priority="69">
      <formula>$AG$80=1</formula>
    </cfRule>
  </conditionalFormatting>
  <conditionalFormatting sqref="AP86:AQ86">
    <cfRule type="expression" dxfId="609" priority="68">
      <formula>$AG$80=3</formula>
    </cfRule>
  </conditionalFormatting>
  <conditionalFormatting sqref="AP87:AQ87">
    <cfRule type="expression" dxfId="608" priority="67">
      <formula>$AG$80=4</formula>
    </cfRule>
  </conditionalFormatting>
  <conditionalFormatting sqref="AR85:AS85">
    <cfRule type="expression" dxfId="607" priority="66">
      <formula>$AI$80=2</formula>
    </cfRule>
  </conditionalFormatting>
  <conditionalFormatting sqref="AR84:AS84">
    <cfRule type="expression" dxfId="606" priority="65">
      <formula>$AI$80=1</formula>
    </cfRule>
  </conditionalFormatting>
  <conditionalFormatting sqref="AR86:AS86">
    <cfRule type="expression" dxfId="605" priority="64">
      <formula>$AI$80=3</formula>
    </cfRule>
  </conditionalFormatting>
  <conditionalFormatting sqref="AR87:AS87">
    <cfRule type="expression" dxfId="604" priority="63">
      <formula>$AI$80=4</formula>
    </cfRule>
  </conditionalFormatting>
  <conditionalFormatting sqref="AT85:AU85">
    <cfRule type="expression" dxfId="603" priority="62">
      <formula>$AK$80=2</formula>
    </cfRule>
  </conditionalFormatting>
  <conditionalFormatting sqref="AT84:AU84">
    <cfRule type="expression" dxfId="602" priority="61">
      <formula>$AK$80=1</formula>
    </cfRule>
  </conditionalFormatting>
  <conditionalFormatting sqref="AT86:AU86">
    <cfRule type="expression" dxfId="601" priority="60">
      <formula>$AK$80=3</formula>
    </cfRule>
  </conditionalFormatting>
  <conditionalFormatting sqref="AT87:AU87">
    <cfRule type="expression" dxfId="600" priority="59">
      <formula>$AK$80=4</formula>
    </cfRule>
  </conditionalFormatting>
  <conditionalFormatting sqref="M67:R67">
    <cfRule type="expression" dxfId="599" priority="27">
      <formula>" =MOD(ROW(),8)=0"</formula>
    </cfRule>
  </conditionalFormatting>
  <conditionalFormatting sqref="M69:R69">
    <cfRule type="expression" dxfId="598" priority="26">
      <formula>" =MOD(ROW(),8)=0"</formula>
    </cfRule>
  </conditionalFormatting>
  <conditionalFormatting sqref="M71:R71">
    <cfRule type="expression" dxfId="597" priority="25">
      <formula>" =MOD(ROW(),8)=0"</formula>
    </cfRule>
  </conditionalFormatting>
  <conditionalFormatting sqref="M73:R73">
    <cfRule type="expression" dxfId="596" priority="24">
      <formula>" =MOD(ROW(),8)=0"</formula>
    </cfRule>
  </conditionalFormatting>
  <conditionalFormatting sqref="C75:H75">
    <cfRule type="expression" dxfId="595" priority="23">
      <formula>" =MOD(ROW(),8)=0"</formula>
    </cfRule>
  </conditionalFormatting>
  <conditionalFormatting sqref="C77:G77">
    <cfRule type="expression" dxfId="594" priority="22">
      <formula>" =MOD(ROW(),8)=0"</formula>
    </cfRule>
  </conditionalFormatting>
  <conditionalFormatting sqref="C79:G79">
    <cfRule type="expression" dxfId="593" priority="21">
      <formula>" =MOD(ROW(),8)=0"</formula>
    </cfRule>
  </conditionalFormatting>
  <conditionalFormatting sqref="C81:G81">
    <cfRule type="expression" dxfId="592" priority="20">
      <formula>" =MOD(ROW(),8)=0"</formula>
    </cfRule>
  </conditionalFormatting>
  <conditionalFormatting sqref="M75:R75">
    <cfRule type="expression" dxfId="591" priority="19">
      <formula>" =MOD(ROW(),8)=0"</formula>
    </cfRule>
  </conditionalFormatting>
  <conditionalFormatting sqref="M77:R77">
    <cfRule type="expression" dxfId="590" priority="18">
      <formula>" =MOD(ROW(),8)=0"</formula>
    </cfRule>
  </conditionalFormatting>
  <conditionalFormatting sqref="M79:R79">
    <cfRule type="expression" dxfId="589" priority="17">
      <formula>" =MOD(ROW(),8)=0"</formula>
    </cfRule>
  </conditionalFormatting>
  <conditionalFormatting sqref="M81:R81">
    <cfRule type="expression" dxfId="588" priority="16">
      <formula>" =MOD(ROW(),8)=0"</formula>
    </cfRule>
  </conditionalFormatting>
  <conditionalFormatting sqref="B69">
    <cfRule type="expression" dxfId="587" priority="15">
      <formula>" =MOD(ROW(),8)=0"</formula>
    </cfRule>
  </conditionalFormatting>
  <conditionalFormatting sqref="B71">
    <cfRule type="expression" dxfId="586" priority="14">
      <formula>" =MOD(ROW(),8)=0"</formula>
    </cfRule>
  </conditionalFormatting>
  <conditionalFormatting sqref="B73">
    <cfRule type="expression" dxfId="585" priority="13">
      <formula>" =MOD(ROW(),8)=0"</formula>
    </cfRule>
  </conditionalFormatting>
  <conditionalFormatting sqref="B75">
    <cfRule type="expression" dxfId="584" priority="12">
      <formula>" =MOD(ROW(),8)=0"</formula>
    </cfRule>
  </conditionalFormatting>
  <conditionalFormatting sqref="B77">
    <cfRule type="expression" dxfId="583" priority="11">
      <formula>" =MOD(ROW(),8)=0"</formula>
    </cfRule>
  </conditionalFormatting>
  <conditionalFormatting sqref="B79">
    <cfRule type="expression" dxfId="582" priority="10">
      <formula>" =MOD(ROW(),8)=0"</formula>
    </cfRule>
  </conditionalFormatting>
  <conditionalFormatting sqref="B81">
    <cfRule type="expression" dxfId="581" priority="9">
      <formula>" =MOD(ROW(),8)=0"</formula>
    </cfRule>
  </conditionalFormatting>
  <conditionalFormatting sqref="L81">
    <cfRule type="expression" dxfId="580" priority="8">
      <formula>" =MOD(ROW(),8)=0"</formula>
    </cfRule>
  </conditionalFormatting>
  <conditionalFormatting sqref="L79">
    <cfRule type="expression" dxfId="579" priority="7">
      <formula>" =MOD(ROW(),8)=0"</formula>
    </cfRule>
  </conditionalFormatting>
  <conditionalFormatting sqref="L77">
    <cfRule type="expression" dxfId="578" priority="6">
      <formula>" =MOD(ROW(),8)=0"</formula>
    </cfRule>
  </conditionalFormatting>
  <conditionalFormatting sqref="L75">
    <cfRule type="expression" dxfId="577" priority="5">
      <formula>" =MOD(ROW(),8)=0"</formula>
    </cfRule>
  </conditionalFormatting>
  <conditionalFormatting sqref="L73">
    <cfRule type="expression" dxfId="576" priority="4">
      <formula>" =MOD(ROW(),8)=0"</formula>
    </cfRule>
  </conditionalFormatting>
  <conditionalFormatting sqref="L71">
    <cfRule type="expression" dxfId="575" priority="3">
      <formula>" =MOD(ROW(),8)=0"</formula>
    </cfRule>
  </conditionalFormatting>
  <conditionalFormatting sqref="L69">
    <cfRule type="expression" dxfId="574" priority="2">
      <formula>" =MOD(ROW(),8)=0"</formula>
    </cfRule>
  </conditionalFormatting>
  <conditionalFormatting sqref="L67">
    <cfRule type="expression" dxfId="573" priority="1">
      <formula>" =MOD(ROW(),8)=0"</formula>
    </cfRule>
  </conditionalFormatting>
  <conditionalFormatting sqref="B67:H67">
    <cfRule type="expression" dxfId="572" priority="31">
      <formula>" =MOD(ROW(),8)=0"</formula>
    </cfRule>
  </conditionalFormatting>
  <conditionalFormatting sqref="C69:G69">
    <cfRule type="expression" dxfId="571" priority="30">
      <formula>" =MOD(ROW(),8)=0"</formula>
    </cfRule>
  </conditionalFormatting>
  <conditionalFormatting sqref="C71:G71">
    <cfRule type="expression" dxfId="570" priority="29">
      <formula>" =MOD(ROW(),8)=0"</formula>
    </cfRule>
  </conditionalFormatting>
  <conditionalFormatting sqref="C73:G73">
    <cfRule type="expression" dxfId="569" priority="28">
      <formula>" =MOD(ROW(),8)=0"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D155"/>
  <sheetViews>
    <sheetView zoomScaleNormal="100" workbookViewId="0">
      <selection activeCell="S16" sqref="S16"/>
    </sheetView>
  </sheetViews>
  <sheetFormatPr defaultColWidth="9.140625" defaultRowHeight="15" x14ac:dyDescent="0.25"/>
  <cols>
    <col min="1" max="1" width="8.28515625" style="569" customWidth="1"/>
    <col min="2" max="2" width="8.5703125" style="569" customWidth="1"/>
    <col min="3" max="3" width="4.7109375" style="569" customWidth="1"/>
    <col min="4" max="4" width="8.5703125" style="569" customWidth="1"/>
    <col min="5" max="6" width="7.7109375" style="569" customWidth="1"/>
    <col min="7" max="7" width="9.7109375" style="569" customWidth="1"/>
    <col min="8" max="14" width="7.7109375" style="569" customWidth="1"/>
    <col min="15" max="15" width="8.5703125" style="569" customWidth="1"/>
    <col min="16" max="16" width="8.7109375" style="569" customWidth="1"/>
    <col min="17" max="17" width="9.7109375" style="569" customWidth="1"/>
    <col min="18" max="18" width="7.7109375" style="569" customWidth="1"/>
    <col min="19" max="19" width="8.5703125" style="569" customWidth="1"/>
    <col min="20" max="20" width="6.7109375" style="569" customWidth="1"/>
    <col min="21" max="21" width="7.7109375" style="569" customWidth="1"/>
    <col min="22" max="22" width="9.85546875" style="569" customWidth="1"/>
    <col min="23" max="23" width="8.5703125" style="569" customWidth="1"/>
    <col min="24" max="24" width="6.7109375" style="569" customWidth="1"/>
    <col min="25" max="25" width="3.5703125" style="593" customWidth="1"/>
    <col min="26" max="26" width="9.7109375" style="593" customWidth="1"/>
    <col min="27" max="28" width="9.140625" style="596" customWidth="1"/>
    <col min="29" max="46" width="7.7109375" style="596" customWidth="1"/>
    <col min="47" max="47" width="10.85546875" style="596" customWidth="1"/>
    <col min="48" max="48" width="9.28515625" style="596" customWidth="1"/>
    <col min="49" max="77" width="9.140625" style="596" customWidth="1"/>
    <col min="78" max="79" width="9.140625" style="569" customWidth="1"/>
    <col min="80" max="16384" width="9.140625" style="569"/>
  </cols>
  <sheetData>
    <row r="1" spans="1:81" ht="8.25" customHeight="1" x14ac:dyDescent="0.25"/>
    <row r="2" spans="1:81" x14ac:dyDescent="0.25">
      <c r="B2" s="345" t="s">
        <v>321</v>
      </c>
      <c r="C2" s="778">
        <f>'SHL Section'!$C$2:$G$2</f>
        <v>0</v>
      </c>
      <c r="D2" s="735"/>
      <c r="E2" s="735"/>
      <c r="F2" s="735"/>
      <c r="G2" s="735"/>
      <c r="AA2" s="593"/>
      <c r="AB2" s="593"/>
      <c r="BZ2" s="596"/>
      <c r="CA2" s="596"/>
    </row>
    <row r="3" spans="1:81" x14ac:dyDescent="0.25">
      <c r="B3" s="345" t="s">
        <v>322</v>
      </c>
      <c r="C3" s="779">
        <f>'SHL Section'!$C$3:$G$3</f>
        <v>0</v>
      </c>
      <c r="D3" s="735"/>
      <c r="E3" s="735"/>
      <c r="F3" s="735"/>
      <c r="G3" s="735"/>
      <c r="BZ3" s="596"/>
      <c r="CA3" s="596"/>
    </row>
    <row r="4" spans="1:81" ht="7.5" customHeight="1" thickBot="1" x14ac:dyDescent="0.3">
      <c r="S4" s="593"/>
      <c r="T4" s="596"/>
      <c r="U4" s="596"/>
      <c r="V4" s="596"/>
      <c r="BZ4" s="596"/>
      <c r="CA4" s="596"/>
    </row>
    <row r="5" spans="1:81" ht="26.25" customHeight="1" x14ac:dyDescent="0.25">
      <c r="B5" s="414"/>
      <c r="C5" s="411"/>
      <c r="D5" s="413" t="s">
        <v>328</v>
      </c>
      <c r="E5" s="745" t="s">
        <v>329</v>
      </c>
      <c r="F5" s="741"/>
      <c r="G5" s="741"/>
      <c r="H5" s="746"/>
      <c r="I5" s="745" t="s">
        <v>330</v>
      </c>
      <c r="J5" s="741"/>
      <c r="K5" s="741"/>
      <c r="L5" s="746"/>
      <c r="M5" s="583"/>
      <c r="N5" s="583"/>
      <c r="O5" s="583"/>
      <c r="P5" s="583"/>
      <c r="Q5" s="583"/>
      <c r="R5" s="583"/>
      <c r="S5" s="410"/>
      <c r="T5" s="780" t="s">
        <v>498</v>
      </c>
      <c r="U5" s="741"/>
      <c r="V5" s="742"/>
      <c r="BZ5" s="596"/>
      <c r="CA5" s="596"/>
    </row>
    <row r="6" spans="1:81" ht="15" customHeight="1" x14ac:dyDescent="0.25">
      <c r="B6" s="738"/>
      <c r="C6" s="722"/>
      <c r="D6" s="409" t="s">
        <v>335</v>
      </c>
      <c r="E6" s="743" t="s">
        <v>336</v>
      </c>
      <c r="F6" s="682"/>
      <c r="G6" s="744" t="s">
        <v>337</v>
      </c>
      <c r="H6" s="683"/>
      <c r="I6" s="743" t="s">
        <v>338</v>
      </c>
      <c r="J6" s="682"/>
      <c r="K6" s="744" t="s">
        <v>339</v>
      </c>
      <c r="L6" s="683"/>
      <c r="M6" s="448" t="s">
        <v>340</v>
      </c>
      <c r="N6" s="448" t="s">
        <v>171</v>
      </c>
      <c r="O6" s="448" t="s">
        <v>341</v>
      </c>
      <c r="P6" s="448" t="s">
        <v>342</v>
      </c>
      <c r="Q6" s="448" t="s">
        <v>343</v>
      </c>
      <c r="R6" s="448" t="s">
        <v>344</v>
      </c>
      <c r="S6" s="448" t="s">
        <v>233</v>
      </c>
      <c r="T6" s="409" t="s">
        <v>345</v>
      </c>
      <c r="U6" s="448" t="s">
        <v>346</v>
      </c>
      <c r="V6" s="408" t="s">
        <v>347</v>
      </c>
      <c r="BZ6" s="596"/>
      <c r="CA6" s="596"/>
    </row>
    <row r="7" spans="1:81" x14ac:dyDescent="0.25">
      <c r="B7" s="736" t="s">
        <v>256</v>
      </c>
      <c r="C7" s="737"/>
      <c r="D7" s="442">
        <v>0</v>
      </c>
      <c r="E7" s="442"/>
      <c r="F7" s="439"/>
      <c r="G7" s="441"/>
      <c r="H7" s="439"/>
      <c r="I7" s="442">
        <f>'SHL Section'!$I$7</f>
        <v>0</v>
      </c>
      <c r="J7" s="439" t="str">
        <f>IF('SHL Section'!$J$7=1,"FNL","FSL")</f>
        <v>FSL</v>
      </c>
      <c r="K7" s="441">
        <f>'SHL Section'!$K$7</f>
        <v>0</v>
      </c>
      <c r="L7" s="440" t="str">
        <f>IF('SHL Section'!$L$7=1,"FEL","FWL")</f>
        <v>FWL</v>
      </c>
      <c r="M7" s="403" t="str">
        <f>'SHL Section'!$M$7</f>
        <v/>
      </c>
      <c r="N7" s="403">
        <f>'SHL Section'!$N$7</f>
        <v>0</v>
      </c>
      <c r="O7" s="439">
        <f>'SHL Section'!$O$7</f>
        <v>0</v>
      </c>
      <c r="P7" s="439" t="str">
        <f>IF('SHL Section'!$P$7=1,"N","S")</f>
        <v>S</v>
      </c>
      <c r="Q7" s="439">
        <f>'SHL Section'!$Q$7</f>
        <v>0</v>
      </c>
      <c r="R7" s="439" t="str">
        <f>IF('SHL Section'!$R$7=1,"E","W")</f>
        <v>W</v>
      </c>
      <c r="S7" s="439" t="str">
        <f>IF('SHL Section'!$S$7=1,"Salt Lake","Uintah")</f>
        <v>Uintah</v>
      </c>
      <c r="T7" s="438">
        <f>'SHL Section'!$T$7</f>
        <v>558548.96699999995</v>
      </c>
      <c r="U7" s="437">
        <f>'SHL Section'!$U$7</f>
        <v>4451004.9469999997</v>
      </c>
      <c r="V7" s="436">
        <f>'SHL Section'!$V$7</f>
        <v>12</v>
      </c>
      <c r="BZ7" s="596"/>
      <c r="CA7" s="596"/>
    </row>
    <row r="8" spans="1:81" x14ac:dyDescent="0.25">
      <c r="B8" s="674" t="s">
        <v>141</v>
      </c>
      <c r="C8" s="675"/>
      <c r="D8" s="435">
        <f>'SHL Section'!$D$8</f>
        <v>0</v>
      </c>
      <c r="E8" s="435" t="e">
        <f>'SHL Section'!$AI$8</f>
        <v>#N/A</v>
      </c>
      <c r="F8" s="387" t="e">
        <f>IF('SHL Section'!$AJ$8=1,"N","S")</f>
        <v>#N/A</v>
      </c>
      <c r="G8" s="434" t="e">
        <f>'SHL Section'!$AK$8</f>
        <v>#N/A</v>
      </c>
      <c r="H8" s="387" t="e">
        <f>IF('SHL Section'!$AL$8=1,"E","W")</f>
        <v>#N/A</v>
      </c>
      <c r="I8" s="435" t="str">
        <f>IF(ISNUMBER($AE$66),$AE$66,IF(ISNUMBER($AG$66),$AG$66,IF(ISNUMBER($AI$66),$AI$66,IF(ISNUMBER($AK$66),$AK$66,""))))</f>
        <v/>
      </c>
      <c r="J8" s="387" t="str">
        <f>IF(ISNUMBER($AE$66),$AE$61,IF(ISNUMBER($AG$66),$AG$61,IF(ISNUMBER($AI$66),$AI$61,IF(ISNUMBER($AK$66),$AK$61,""))))</f>
        <v/>
      </c>
      <c r="K8" s="434" t="str">
        <f>IF(ISNUMBER($AF$66),$AF$66,IF(ISNUMBER($AH$66),$AH$66,IF(ISNUMBER($AJ$66),$AJ$66,IF(ISNUMBER($AL$66),$AL$66,""))))</f>
        <v/>
      </c>
      <c r="L8" s="388" t="str">
        <f>IF(ISNUMBER($AF$66),$AF$61,IF(ISNUMBER($AH$66),$AH$61,IF(ISNUMBER($AJ$66),$AJ$61,IF(ISNUMBER($AL$66),$AL$61,""))))</f>
        <v/>
      </c>
      <c r="M8" s="387" t="str">
        <f>IF(OR(ISNUMBER($AE$58),ISNUMBER($AG$58),ISNUMBER($AI$58),ISNUMBER($AK$58)),VLOOKUP(MAX($AE$58:$AL$58),$AV$56:$AZ$59,1+IF(ISNUMBER($AE$58),$AE$46,IF(ISNUMBER($AG$58),$AG$46,IF(ISNUMBER($AI$58),$AI$46,IF(ISNUMBER($AK$58),$AK$46,"")))),FALSE),"")</f>
        <v/>
      </c>
      <c r="N8" s="387" t="e">
        <f>'SHL Section'!$N$8</f>
        <v>#VALUE!</v>
      </c>
      <c r="O8" s="387">
        <f>'SHL Section'!$O$8</f>
        <v>0</v>
      </c>
      <c r="P8" s="387" t="str">
        <f>'SHL Section'!$P$8</f>
        <v>S</v>
      </c>
      <c r="Q8" s="387">
        <f>'SHL Section'!$Q$8</f>
        <v>0</v>
      </c>
      <c r="R8" s="387" t="str">
        <f>'SHL Section'!$R$8</f>
        <v>W</v>
      </c>
      <c r="S8" s="387" t="str">
        <f>IF('SHL Section'!$S$8=1,"Salt Lake","Uintah")</f>
        <v>Uintah</v>
      </c>
      <c r="T8" s="385" t="e">
        <f>IF($H8=1,$T$7+$G8/3.28084,$T$7-$G8/3.28084)</f>
        <v>#N/A</v>
      </c>
      <c r="U8" s="434" t="e">
        <f>IF($F8=1,$U$7+$E8/3.28084,$U$7-$E8/3.28084)</f>
        <v>#N/A</v>
      </c>
      <c r="V8" s="433">
        <f>$V$7</f>
        <v>12</v>
      </c>
      <c r="BZ8" s="596"/>
      <c r="CA8" s="596"/>
    </row>
    <row r="9" spans="1:81" x14ac:dyDescent="0.25">
      <c r="B9" s="674" t="s">
        <v>144</v>
      </c>
      <c r="C9" s="675"/>
      <c r="D9" s="435">
        <f>'SHL Section'!$D$9</f>
        <v>0</v>
      </c>
      <c r="E9" s="435" t="e">
        <f>'SHL Section'!$AI$9</f>
        <v>#N/A</v>
      </c>
      <c r="F9" s="387" t="e">
        <f>IF('SHL Section'!$AJ$9=1,"N","S")</f>
        <v>#N/A</v>
      </c>
      <c r="G9" s="434" t="e">
        <f>'SHL Section'!$AK$9</f>
        <v>#N/A</v>
      </c>
      <c r="H9" s="387" t="e">
        <f>IF('SHL Section'!$AL$9=1,"E","W")</f>
        <v>#N/A</v>
      </c>
      <c r="I9" s="435" t="str">
        <f>IF(ISNUMBER($AE$77),$AE$77,IF(ISNUMBER($AG$77),$AG$77,IF(ISNUMBER($AI$77),$AI$77,IF(ISNUMBER($AK$77),$AK$77,""))))</f>
        <v/>
      </c>
      <c r="J9" s="387" t="str">
        <f>IF(ISNUMBER($AE$77),$AE$72,IF(ISNUMBER($AG$77),$AG$72,IF(ISNUMBER($AI$77),$AI$72,IF(ISNUMBER($AK$77),$AK$72,""))))</f>
        <v/>
      </c>
      <c r="K9" s="434" t="str">
        <f>IF(ISNUMBER($AF$77),$AF$77,IF(ISNUMBER($AH$77),$AH$77,IF(ISNUMBER($AJ$77),$AJ$77,IF(ISNUMBER($AL$77),$AL$77,""))))</f>
        <v/>
      </c>
      <c r="L9" s="388" t="str">
        <f>IF(ISNUMBER($AF$77),$AF$72,IF(ISNUMBER($AH$77),$AH$72,IF(ISNUMBER($AJ$77),$AJ$72,IF(ISNUMBER($AL$77),$AL$72,""))))</f>
        <v/>
      </c>
      <c r="M9" s="387" t="str">
        <f>IF(OR(ISNUMBER($AE$69),ISNUMBER($AG$69),ISNUMBER($AI$69),ISNUMBER($AK$69)),VLOOKUP(MAX($AE$69:$AL$69),$AV$56:$AZ$59,1+IF(ISNUMBER($AE$69),$AE$46,IF(ISNUMBER($AG$69),$AG$46,IF(ISNUMBER($AI$69),$AI$46,IF(ISNUMBER($AK$69),$AK$46,"")))),FALSE),"")</f>
        <v/>
      </c>
      <c r="N9" s="387" t="e">
        <f>'SHL Section'!$N$9</f>
        <v>#VALUE!</v>
      </c>
      <c r="O9" s="387">
        <f>'SHL Section'!$O$9</f>
        <v>0</v>
      </c>
      <c r="P9" s="387" t="str">
        <f>'SHL Section'!$P$9</f>
        <v>S</v>
      </c>
      <c r="Q9" s="387">
        <f>'SHL Section'!$Q$9</f>
        <v>0</v>
      </c>
      <c r="R9" s="387" t="str">
        <f>'SHL Section'!$R$9</f>
        <v>W</v>
      </c>
      <c r="S9" s="387" t="str">
        <f>IF('SHL Section'!$S$9=1,"Salt Lake","Uintah")</f>
        <v>Uintah</v>
      </c>
      <c r="T9" s="385" t="e">
        <f>IF($H9=1,$T$7+$G9/3.28084,$T$7-$G9/3.28084)</f>
        <v>#N/A</v>
      </c>
      <c r="U9" s="434" t="e">
        <f>IF($F9=1,$U$7+$E9/3.28084,$U$7-$E9/3.28084)</f>
        <v>#N/A</v>
      </c>
      <c r="V9" s="433">
        <f>$V$7</f>
        <v>12</v>
      </c>
      <c r="BZ9" s="596"/>
      <c r="CA9" s="596"/>
    </row>
    <row r="10" spans="1:81" ht="15.75" customHeight="1" thickBot="1" x14ac:dyDescent="0.3">
      <c r="B10" s="676" t="s">
        <v>149</v>
      </c>
      <c r="C10" s="677"/>
      <c r="D10" s="432">
        <f>'SHL Section'!$D$10</f>
        <v>0</v>
      </c>
      <c r="E10" s="432" t="e">
        <f>'SHL Section'!$AI$10</f>
        <v>#N/A</v>
      </c>
      <c r="F10" s="379" t="e">
        <f>IF('SHL Section'!$AJ$10=1,"N","S")</f>
        <v>#N/A</v>
      </c>
      <c r="G10" s="431" t="e">
        <f>'SHL Section'!$AK$10</f>
        <v>#N/A</v>
      </c>
      <c r="H10" s="379" t="e">
        <f>IF('SHL Section'!$AL$10=1,"E","W")</f>
        <v>#N/A</v>
      </c>
      <c r="I10" s="432" t="str">
        <f>IF(ISNUMBER($AE$88),$AE$88,IF(ISNUMBER($AG$88),$AG$88,IF(ISNUMBER($AI$88),$AI$88,IF(ISNUMBER($AK$88),$AK$88,""))))</f>
        <v/>
      </c>
      <c r="J10" s="379" t="str">
        <f>IF(ISNUMBER($AE$88),$AE$83,IF(ISNUMBER($AG$88),$AG$83,IF(ISNUMBER($AI$88),$AI$83,IF(ISNUMBER($AK$88),$AK$83,""))))</f>
        <v/>
      </c>
      <c r="K10" s="431" t="str">
        <f>IF(ISNUMBER($AF$88),$AF$88,IF(ISNUMBER($AH$88),$AH$88,IF(ISNUMBER($AJ$88),$AJ$88,IF(ISNUMBER($AL$88),$AL$88,""))))</f>
        <v/>
      </c>
      <c r="L10" s="380" t="str">
        <f>IF(ISNUMBER($AF$88),$AF$83,IF(ISNUMBER($AH$88),$AH$83,IF(ISNUMBER($AJ$88),$AJ$83,IF(ISNUMBER($AL$88),$AL$83,""))))</f>
        <v/>
      </c>
      <c r="M10" s="379" t="str">
        <f>IF(OR(ISNUMBER($AE$80),ISNUMBER($AG$80),ISNUMBER($AI$80),ISNUMBER($AK$80)),VLOOKUP(MAX($AE$80:$AL$80),$AV$56:$AZ$59,1+IF(ISNUMBER($AE$80),$AE$46,IF(ISNUMBER($AG$80),$AG$46,IF(ISNUMBER($AI$80),$AI$46,IF(ISNUMBER($AK$80),$AK$46,"")))),FALSE),"")</f>
        <v/>
      </c>
      <c r="N10" s="379" t="e">
        <f>'SHL Section'!$N$10</f>
        <v>#VALUE!</v>
      </c>
      <c r="O10" s="379">
        <f>'SHL Section'!$O$10</f>
        <v>0</v>
      </c>
      <c r="P10" s="379" t="str">
        <f>'SHL Section'!$P$10</f>
        <v>S</v>
      </c>
      <c r="Q10" s="379">
        <f>'SHL Section'!$Q$10</f>
        <v>0</v>
      </c>
      <c r="R10" s="379" t="str">
        <f>'SHL Section'!$R$10</f>
        <v>W</v>
      </c>
      <c r="S10" s="379" t="str">
        <f>IF('SHL Section'!$S$10=1,"Salt Lake","Uintah")</f>
        <v>Uintah</v>
      </c>
      <c r="T10" s="377" t="e">
        <f>IF($H10=1,$T$7+$G10/3.28084,$T$7-$G10/3.28084)</f>
        <v>#N/A</v>
      </c>
      <c r="U10" s="431" t="e">
        <f>IF($F10=1,$U$7+$E10/3.28084,$U$7-$E10/3.28084)</f>
        <v>#N/A</v>
      </c>
      <c r="V10" s="430">
        <f>$V$7</f>
        <v>12</v>
      </c>
      <c r="BZ10" s="596"/>
      <c r="CA10" s="596"/>
    </row>
    <row r="11" spans="1:81" ht="15.75" customHeight="1" thickBot="1" x14ac:dyDescent="0.3">
      <c r="G11" s="373"/>
      <c r="H11" s="358"/>
      <c r="I11" s="358"/>
      <c r="J11" s="358"/>
      <c r="K11" s="358"/>
      <c r="L11" s="358"/>
      <c r="M11" s="551" t="s">
        <v>349</v>
      </c>
      <c r="N11" s="552" t="e">
        <f>L38</f>
        <v>#VALUE!</v>
      </c>
      <c r="O11" s="552">
        <f>O10</f>
        <v>0</v>
      </c>
      <c r="P11" s="552" t="str">
        <f>P10</f>
        <v>S</v>
      </c>
      <c r="Q11" s="552">
        <f>Q10</f>
        <v>0</v>
      </c>
      <c r="R11" s="552" t="str">
        <f>R10</f>
        <v>W</v>
      </c>
      <c r="S11" s="552" t="str">
        <f>S10</f>
        <v>Uintah</v>
      </c>
      <c r="T11" s="358"/>
      <c r="U11" s="358"/>
      <c r="V11" s="358"/>
      <c r="W11" s="358"/>
      <c r="AE11" s="358"/>
      <c r="AF11" s="358"/>
      <c r="BZ11" s="596"/>
      <c r="CA11" s="596"/>
      <c r="CB11" s="596"/>
      <c r="CC11" s="596"/>
    </row>
    <row r="12" spans="1:81" x14ac:dyDescent="0.25">
      <c r="B12" s="372" t="s">
        <v>350</v>
      </c>
      <c r="C12" s="371"/>
      <c r="D12" s="371"/>
      <c r="E12" s="371"/>
      <c r="F12" s="371"/>
      <c r="G12" s="371"/>
      <c r="H12" s="371"/>
      <c r="I12" s="371"/>
      <c r="J12" s="371"/>
      <c r="K12" s="371"/>
      <c r="L12" s="358"/>
      <c r="M12" s="358"/>
      <c r="N12" s="356"/>
      <c r="O12" s="358"/>
      <c r="P12" s="358"/>
      <c r="Q12" s="358"/>
      <c r="R12" s="358"/>
      <c r="S12" s="358"/>
      <c r="T12" s="358"/>
      <c r="U12" s="358"/>
      <c r="AA12" s="358"/>
      <c r="AB12" s="358"/>
      <c r="AC12" s="358"/>
      <c r="AD12" s="358"/>
      <c r="AE12" s="358"/>
      <c r="AF12" s="358"/>
      <c r="AG12" s="358"/>
      <c r="AH12" s="356"/>
      <c r="AI12" s="358"/>
      <c r="AJ12" s="358"/>
      <c r="AL12" s="358"/>
      <c r="AM12" s="358"/>
      <c r="BZ12" s="596"/>
      <c r="CA12" s="596"/>
    </row>
    <row r="13" spans="1:81" x14ac:dyDescent="0.25">
      <c r="B13" s="367" t="s">
        <v>356</v>
      </c>
      <c r="C13" s="366"/>
      <c r="D13" s="366"/>
      <c r="E13" s="366"/>
      <c r="F13" s="366"/>
      <c r="G13" s="366"/>
      <c r="H13" s="366"/>
      <c r="I13" s="366"/>
      <c r="J13" s="366"/>
      <c r="K13" s="366"/>
      <c r="L13" s="358"/>
      <c r="M13" s="358"/>
      <c r="N13" s="358"/>
      <c r="O13" s="358"/>
      <c r="P13" s="358"/>
      <c r="Q13" s="358"/>
      <c r="R13" s="358"/>
      <c r="S13" s="358"/>
      <c r="T13" s="358"/>
      <c r="U13" s="358"/>
      <c r="V13" s="358"/>
      <c r="W13" s="358"/>
      <c r="X13" s="358"/>
      <c r="Y13" s="358"/>
      <c r="Z13" s="358"/>
      <c r="AA13" s="358"/>
      <c r="AB13" s="358"/>
      <c r="AC13" s="358"/>
      <c r="AD13" s="358"/>
      <c r="AE13" s="358"/>
      <c r="AF13" s="358"/>
      <c r="AG13" s="358"/>
      <c r="AH13" s="356"/>
      <c r="AI13" s="358"/>
      <c r="AJ13" s="358"/>
      <c r="AK13" s="358"/>
      <c r="AL13" s="358"/>
      <c r="AM13" s="358"/>
      <c r="BZ13" s="596"/>
      <c r="CA13" s="596"/>
    </row>
    <row r="14" spans="1:81" s="339" customFormat="1" x14ac:dyDescent="0.25">
      <c r="M14" s="358"/>
      <c r="N14" s="358"/>
      <c r="O14" s="358"/>
      <c r="P14" s="358"/>
      <c r="Q14" s="358"/>
      <c r="R14" s="358"/>
      <c r="S14" s="358"/>
      <c r="T14" s="358"/>
      <c r="U14" s="358"/>
      <c r="V14" s="358"/>
      <c r="W14" s="358"/>
      <c r="X14" s="358"/>
      <c r="Y14" s="358"/>
      <c r="Z14" s="358"/>
      <c r="AA14" s="593"/>
      <c r="AB14" s="593"/>
      <c r="AC14" s="596"/>
      <c r="AD14" s="596"/>
      <c r="AE14" s="596"/>
      <c r="AF14" s="596"/>
      <c r="AG14" s="596"/>
      <c r="AH14" s="596"/>
      <c r="AI14" s="596"/>
      <c r="AJ14" s="596"/>
      <c r="AK14" s="596"/>
      <c r="AL14" s="596"/>
      <c r="AM14" s="596"/>
      <c r="AN14" s="596"/>
      <c r="AO14" s="596"/>
      <c r="AP14" s="596"/>
      <c r="AQ14" s="596"/>
      <c r="AR14" s="596"/>
      <c r="AS14" s="596"/>
      <c r="AT14" s="596"/>
      <c r="AU14" s="596"/>
      <c r="AV14" s="596"/>
      <c r="AW14" s="596"/>
      <c r="AX14" s="596"/>
      <c r="AY14" s="596"/>
      <c r="AZ14" s="596"/>
      <c r="BA14" s="596"/>
      <c r="BB14" s="596"/>
      <c r="BC14" s="596"/>
      <c r="BD14" s="596"/>
      <c r="BE14" s="596"/>
      <c r="BF14" s="596"/>
      <c r="BG14" s="596"/>
      <c r="BH14" s="596"/>
      <c r="BI14" s="596"/>
      <c r="BJ14" s="596"/>
      <c r="BK14" s="596"/>
      <c r="BL14" s="596"/>
      <c r="BM14" s="596"/>
      <c r="BN14" s="596"/>
      <c r="BO14" s="596"/>
      <c r="BP14" s="596"/>
      <c r="BQ14" s="596"/>
      <c r="BR14" s="596"/>
      <c r="BS14" s="596"/>
      <c r="BT14" s="596"/>
      <c r="BU14" s="596"/>
      <c r="BV14" s="596"/>
      <c r="BW14" s="596"/>
      <c r="BX14" s="596"/>
      <c r="BY14" s="596"/>
      <c r="BZ14" s="596"/>
      <c r="CA14" s="596"/>
    </row>
    <row r="15" spans="1:81" s="339" customFormat="1" x14ac:dyDescent="0.25"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  <c r="X15" s="358"/>
      <c r="Y15" s="358"/>
      <c r="Z15" s="358"/>
      <c r="AA15" s="593"/>
      <c r="AB15" s="593"/>
      <c r="AC15" s="340"/>
      <c r="AD15" s="340"/>
      <c r="AE15" s="340"/>
      <c r="AF15" s="340"/>
      <c r="AG15" s="340"/>
      <c r="AH15" s="340"/>
      <c r="AI15" s="340"/>
      <c r="AJ15" s="340"/>
      <c r="AK15" s="340"/>
      <c r="AL15" s="340"/>
      <c r="AM15" s="340"/>
      <c r="AN15" s="340"/>
      <c r="AO15" s="340"/>
      <c r="AP15" s="340"/>
      <c r="AQ15" s="340"/>
      <c r="AR15" s="340"/>
      <c r="AS15" s="340"/>
      <c r="AT15" s="340"/>
      <c r="AU15" s="340"/>
      <c r="AV15" s="340"/>
      <c r="AW15" s="340"/>
      <c r="AX15" s="340"/>
      <c r="AY15" s="340"/>
      <c r="AZ15" s="340"/>
      <c r="BA15" s="340"/>
      <c r="BB15" s="340"/>
      <c r="BC15" s="340"/>
      <c r="BD15" s="340"/>
      <c r="BE15" s="340"/>
      <c r="BF15" s="340"/>
      <c r="BG15" s="340"/>
      <c r="BH15" s="340"/>
      <c r="BI15" s="340"/>
      <c r="BJ15" s="340"/>
      <c r="BK15" s="340"/>
      <c r="BL15" s="340"/>
      <c r="BM15" s="340"/>
      <c r="BN15" s="340"/>
      <c r="BO15" s="340"/>
      <c r="BP15" s="340"/>
      <c r="BQ15" s="340"/>
      <c r="BR15" s="340"/>
      <c r="BS15" s="340"/>
      <c r="BT15" s="340"/>
      <c r="BU15" s="340"/>
      <c r="BV15" s="340"/>
      <c r="BW15" s="340"/>
      <c r="BX15" s="340"/>
      <c r="BY15" s="340"/>
      <c r="BZ15" s="340"/>
      <c r="CA15" s="340"/>
    </row>
    <row r="16" spans="1:81" x14ac:dyDescent="0.25">
      <c r="A16" s="339"/>
      <c r="B16" s="339"/>
      <c r="C16" s="339"/>
      <c r="D16" s="339"/>
      <c r="E16" s="339"/>
      <c r="F16" s="339"/>
      <c r="G16" s="339"/>
      <c r="H16" s="339"/>
      <c r="I16" s="339"/>
      <c r="J16" s="339"/>
      <c r="K16" s="339"/>
      <c r="L16" s="358"/>
      <c r="M16" s="358"/>
      <c r="S16" s="569" t="s">
        <v>69</v>
      </c>
      <c r="AA16" s="593"/>
      <c r="AB16" s="593"/>
      <c r="AC16" s="340"/>
      <c r="AD16" s="340"/>
      <c r="AE16" s="340"/>
      <c r="AF16" s="340"/>
      <c r="AG16" s="340"/>
      <c r="AH16" s="340"/>
      <c r="AI16" s="340"/>
      <c r="AJ16" s="340"/>
      <c r="AK16" s="340"/>
      <c r="AL16" s="340"/>
      <c r="AM16" s="340"/>
      <c r="AN16" s="340"/>
      <c r="AO16" s="340"/>
      <c r="AP16" s="340"/>
      <c r="AQ16" s="340"/>
      <c r="AR16" s="340"/>
      <c r="AS16" s="340"/>
      <c r="AT16" s="340"/>
      <c r="AU16" s="340"/>
      <c r="AV16" s="340"/>
      <c r="AW16" s="340"/>
      <c r="AX16" s="340"/>
      <c r="AY16" s="340"/>
      <c r="AZ16" s="340"/>
      <c r="BA16" s="340"/>
      <c r="BB16" s="340"/>
      <c r="BC16" s="340"/>
      <c r="BD16" s="340"/>
      <c r="BE16" s="340"/>
      <c r="BF16" s="340"/>
      <c r="BG16" s="340"/>
      <c r="BH16" s="340"/>
      <c r="BI16" s="340"/>
      <c r="BJ16" s="340"/>
      <c r="BK16" s="340"/>
      <c r="BL16" s="340"/>
      <c r="BM16" s="340"/>
      <c r="BN16" s="340"/>
      <c r="BO16" s="340"/>
      <c r="BP16" s="340"/>
      <c r="BQ16" s="340"/>
      <c r="BR16" s="340"/>
      <c r="BS16" s="340"/>
      <c r="BT16" s="340"/>
      <c r="BU16" s="340"/>
      <c r="BV16" s="340"/>
      <c r="BW16" s="340"/>
      <c r="BX16" s="340"/>
      <c r="BY16" s="340"/>
      <c r="BZ16" s="340"/>
      <c r="CA16" s="340"/>
      <c r="CB16" s="339"/>
    </row>
    <row r="17" spans="1:82" ht="12" customHeight="1" x14ac:dyDescent="0.25">
      <c r="B17" s="573"/>
      <c r="E17" s="417" t="e">
        <f>E18</f>
        <v>#VALUE!</v>
      </c>
      <c r="F17" s="485" t="s">
        <v>366</v>
      </c>
      <c r="G17" s="446"/>
      <c r="H17" s="446"/>
      <c r="I17" s="446"/>
      <c r="J17" s="446"/>
      <c r="K17" s="417" t="e">
        <f>K18</f>
        <v>#VALUE!</v>
      </c>
      <c r="L17" s="485" t="s">
        <v>366</v>
      </c>
      <c r="M17" s="446"/>
      <c r="N17" s="446"/>
      <c r="O17" s="417" t="e">
        <f>O18</f>
        <v>#VALUE!</v>
      </c>
      <c r="P17" s="485" t="s">
        <v>366</v>
      </c>
      <c r="Q17" s="446"/>
      <c r="R17" s="446"/>
      <c r="S17" s="446"/>
      <c r="T17" s="446"/>
      <c r="U17" s="417" t="e">
        <f>U18</f>
        <v>#VALUE!</v>
      </c>
      <c r="V17" s="485" t="s">
        <v>366</v>
      </c>
      <c r="AA17" s="593"/>
      <c r="AB17" s="593"/>
      <c r="AC17" s="767" t="s">
        <v>367</v>
      </c>
      <c r="AD17" s="735"/>
      <c r="AE17" s="735"/>
      <c r="AF17" s="735"/>
      <c r="AG17" s="735"/>
      <c r="AH17" s="735"/>
      <c r="AI17" s="735"/>
      <c r="AJ17" s="735"/>
      <c r="AK17" s="735"/>
      <c r="AL17" s="735"/>
      <c r="AM17" s="735"/>
      <c r="AN17" s="735"/>
      <c r="AO17" s="735"/>
      <c r="AP17" s="735"/>
      <c r="AQ17" s="735"/>
      <c r="AR17" s="735"/>
      <c r="AS17" s="735"/>
      <c r="AT17" s="735"/>
      <c r="AU17" s="333" t="s">
        <v>368</v>
      </c>
      <c r="AV17" s="761" t="s">
        <v>369</v>
      </c>
      <c r="AW17" s="757"/>
      <c r="AX17" s="761" t="s">
        <v>370</v>
      </c>
      <c r="AY17" s="757"/>
      <c r="AZ17" s="761" t="s">
        <v>371</v>
      </c>
      <c r="BA17" s="757"/>
      <c r="BB17" s="761" t="s">
        <v>372</v>
      </c>
      <c r="BC17" s="757"/>
      <c r="BD17" s="761" t="s">
        <v>373</v>
      </c>
      <c r="BE17" s="757"/>
      <c r="BF17" s="761" t="s">
        <v>374</v>
      </c>
      <c r="BG17" s="757"/>
      <c r="BH17" s="761" t="s">
        <v>375</v>
      </c>
      <c r="BI17" s="757"/>
      <c r="BJ17" s="761" t="s">
        <v>376</v>
      </c>
      <c r="BK17" s="757"/>
      <c r="BL17" s="761" t="s">
        <v>377</v>
      </c>
      <c r="BM17" s="757"/>
      <c r="BN17" s="761" t="s">
        <v>378</v>
      </c>
      <c r="BO17" s="757"/>
      <c r="BP17" s="761" t="s">
        <v>379</v>
      </c>
      <c r="BQ17" s="757"/>
      <c r="BR17" s="761" t="s">
        <v>380</v>
      </c>
      <c r="BS17" s="757"/>
      <c r="BT17" s="761" t="s">
        <v>381</v>
      </c>
      <c r="BU17" s="757"/>
      <c r="BV17" s="761" t="s">
        <v>382</v>
      </c>
      <c r="BW17" s="757"/>
      <c r="BX17" s="761" t="s">
        <v>383</v>
      </c>
      <c r="BY17" s="757"/>
      <c r="BZ17" s="761" t="s">
        <v>384</v>
      </c>
      <c r="CA17" s="757"/>
    </row>
    <row r="18" spans="1:82" ht="12" customHeight="1" x14ac:dyDescent="0.25">
      <c r="B18" s="345"/>
      <c r="C18" s="344"/>
      <c r="D18" s="426" t="s">
        <v>385</v>
      </c>
      <c r="E18" s="299" t="e">
        <f>IF(NOT(ISBLANK(F18)),F18,DGET('Grid Numbers'!$A$2:$L$4952,'Grid Numbers'!$H$2,$L$66:$R$67))</f>
        <v>#VALUE!</v>
      </c>
      <c r="F18" s="486"/>
      <c r="G18" s="344"/>
      <c r="H18" s="344"/>
      <c r="I18" s="344"/>
      <c r="J18" s="426" t="s">
        <v>385</v>
      </c>
      <c r="K18" s="301" t="e">
        <f>IF(NOT(ISBLANK(L18)),L18,DGET('Grid Numbers'!$A$2:$L$4952,'Grid Numbers'!$H$2,$L$68:$R$69))</f>
        <v>#VALUE!</v>
      </c>
      <c r="L18" s="488"/>
      <c r="N18" s="426" t="s">
        <v>385</v>
      </c>
      <c r="O18" s="299" t="e">
        <f>IF(NOT(ISBLANK(P18)),P18,DGET('Grid Numbers'!$A$2:$L$4952,'Grid Numbers'!$H$2,$L$70:$R$71))</f>
        <v>#VALUE!</v>
      </c>
      <c r="P18" s="487"/>
      <c r="T18" s="426" t="s">
        <v>385</v>
      </c>
      <c r="U18" s="299" t="e">
        <f>IF(NOT(ISBLANK(V18)),V18,DGET('Grid Numbers'!$A$2:$L$4952,'Grid Numbers'!$H$2,$L$72:$R$73))</f>
        <v>#VALUE!</v>
      </c>
      <c r="V18" s="487"/>
      <c r="AA18" s="593"/>
      <c r="AB18" s="593"/>
      <c r="AC18" s="298"/>
      <c r="AD18" s="340"/>
      <c r="AE18" s="761" t="s">
        <v>386</v>
      </c>
      <c r="AF18" s="757"/>
      <c r="AG18" s="761" t="s">
        <v>387</v>
      </c>
      <c r="AH18" s="757"/>
      <c r="AI18" s="761" t="s">
        <v>388</v>
      </c>
      <c r="AJ18" s="757"/>
      <c r="AK18" s="761" t="s">
        <v>389</v>
      </c>
      <c r="AL18" s="757"/>
      <c r="AM18" s="761" t="s">
        <v>390</v>
      </c>
      <c r="AN18" s="757"/>
      <c r="AO18" s="761" t="s">
        <v>391</v>
      </c>
      <c r="AP18" s="757"/>
      <c r="AQ18" s="761" t="s">
        <v>392</v>
      </c>
      <c r="AR18" s="757"/>
      <c r="AS18" s="761" t="s">
        <v>393</v>
      </c>
      <c r="AT18" s="757"/>
      <c r="AU18" s="333" t="s">
        <v>394</v>
      </c>
      <c r="AV18" s="464" t="s">
        <v>336</v>
      </c>
      <c r="AW18" s="465" t="s">
        <v>337</v>
      </c>
      <c r="AX18" s="464" t="s">
        <v>336</v>
      </c>
      <c r="AY18" s="465" t="s">
        <v>337</v>
      </c>
      <c r="AZ18" s="464" t="s">
        <v>336</v>
      </c>
      <c r="BA18" s="465" t="s">
        <v>337</v>
      </c>
      <c r="BB18" s="464" t="s">
        <v>336</v>
      </c>
      <c r="BC18" s="465" t="s">
        <v>337</v>
      </c>
      <c r="BD18" s="464" t="s">
        <v>336</v>
      </c>
      <c r="BE18" s="465" t="s">
        <v>337</v>
      </c>
      <c r="BF18" s="464" t="s">
        <v>336</v>
      </c>
      <c r="BG18" s="465" t="s">
        <v>337</v>
      </c>
      <c r="BH18" s="464" t="s">
        <v>336</v>
      </c>
      <c r="BI18" s="465" t="s">
        <v>337</v>
      </c>
      <c r="BJ18" s="464" t="s">
        <v>336</v>
      </c>
      <c r="BK18" s="465" t="s">
        <v>337</v>
      </c>
      <c r="BL18" s="464" t="s">
        <v>336</v>
      </c>
      <c r="BM18" s="465" t="s">
        <v>337</v>
      </c>
      <c r="BN18" s="464" t="s">
        <v>336</v>
      </c>
      <c r="BO18" s="465" t="s">
        <v>337</v>
      </c>
      <c r="BP18" s="464" t="s">
        <v>336</v>
      </c>
      <c r="BQ18" s="465" t="s">
        <v>337</v>
      </c>
      <c r="BR18" s="464" t="s">
        <v>336</v>
      </c>
      <c r="BS18" s="465" t="s">
        <v>337</v>
      </c>
      <c r="BT18" s="464" t="s">
        <v>336</v>
      </c>
      <c r="BU18" s="465" t="s">
        <v>337</v>
      </c>
      <c r="BV18" s="464" t="s">
        <v>336</v>
      </c>
      <c r="BW18" s="465" t="s">
        <v>337</v>
      </c>
      <c r="BX18" s="464" t="s">
        <v>336</v>
      </c>
      <c r="BY18" s="465" t="s">
        <v>337</v>
      </c>
      <c r="BZ18" s="464" t="s">
        <v>336</v>
      </c>
      <c r="CA18" s="465" t="s">
        <v>337</v>
      </c>
    </row>
    <row r="19" spans="1:82" ht="12" customHeight="1" x14ac:dyDescent="0.25">
      <c r="B19" s="345"/>
      <c r="C19" s="344"/>
      <c r="D19" s="426" t="s">
        <v>395</v>
      </c>
      <c r="E19" s="293" t="e">
        <f>IF(NOT(ISBLANK(F19)),F19,DGET('Grid Numbers'!$A$2:$L$4952,'Grid Numbers'!$I$2,$L$66:$R$67))</f>
        <v>#VALUE!</v>
      </c>
      <c r="F19" s="486"/>
      <c r="G19" s="344"/>
      <c r="H19" s="344"/>
      <c r="I19" s="344"/>
      <c r="J19" s="426" t="s">
        <v>395</v>
      </c>
      <c r="K19" s="294" t="e">
        <f>IF(NOT(ISBLANK(L19)),L19,DGET('Grid Numbers'!$A$2:$L$4952,'Grid Numbers'!$I$2,$L$68:$R$69))</f>
        <v>#VALUE!</v>
      </c>
      <c r="L19" s="487"/>
      <c r="N19" s="426" t="s">
        <v>395</v>
      </c>
      <c r="O19" s="293" t="e">
        <f>IF(NOT(ISBLANK(P19)),P19,DGET('Grid Numbers'!$A$2:$L$4952,'Grid Numbers'!$I$2,$L$70:$R$71))</f>
        <v>#VALUE!</v>
      </c>
      <c r="P19" s="487"/>
      <c r="T19" s="426" t="s">
        <v>395</v>
      </c>
      <c r="U19" s="293" t="e">
        <f>IF(NOT(ISBLANK(V19)),V19,DGET('Grid Numbers'!$A$2:$L$4952,'Grid Numbers'!$I$2,$L$72:$R$73))</f>
        <v>#VALUE!</v>
      </c>
      <c r="V19" s="487"/>
      <c r="AA19" s="593"/>
      <c r="AB19" s="593"/>
      <c r="AC19" s="466" t="s">
        <v>396</v>
      </c>
      <c r="AD19" s="467"/>
      <c r="AE19" s="588" t="s">
        <v>336</v>
      </c>
      <c r="AF19" s="588" t="s">
        <v>337</v>
      </c>
      <c r="AG19" s="588" t="s">
        <v>336</v>
      </c>
      <c r="AH19" s="588" t="s">
        <v>337</v>
      </c>
      <c r="AI19" s="588" t="s">
        <v>336</v>
      </c>
      <c r="AJ19" s="588" t="s">
        <v>337</v>
      </c>
      <c r="AK19" s="588" t="s">
        <v>336</v>
      </c>
      <c r="AL19" s="588" t="s">
        <v>337</v>
      </c>
      <c r="AM19" s="588" t="s">
        <v>336</v>
      </c>
      <c r="AN19" s="588" t="s">
        <v>337</v>
      </c>
      <c r="AO19" s="588" t="s">
        <v>336</v>
      </c>
      <c r="AP19" s="588" t="s">
        <v>337</v>
      </c>
      <c r="AQ19" s="588" t="s">
        <v>336</v>
      </c>
      <c r="AR19" s="588" t="s">
        <v>337</v>
      </c>
      <c r="AS19" s="588" t="s">
        <v>336</v>
      </c>
      <c r="AT19" s="588" t="s">
        <v>337</v>
      </c>
      <c r="AU19" s="333"/>
      <c r="AV19" s="647" t="e">
        <f>IF(AND($U$17&gt;0,$O$17&gt;0),$U$17*SIN(RADIANS(90-$U$23)),IF(AND($U$17=0,$O$17&gt;0),$O$17/2*SIN(RADIANS(90-$O$23)),IF(AND($U$17&gt;0,$O$17=0),$U$17/2*SIN(RADIANS(90-$U$23)),IF(AND($U$17=0,$O$17=0,$K$17=0),$E$17/4*SIN(RADIANS(90-$E$23)),$K$17/4*SIN(RADIANS(90-$K$23))))))</f>
        <v>#VALUE!</v>
      </c>
      <c r="AW19" s="648" t="e">
        <f>IF(AND($U$17&gt;0,$O$17&gt;0),$U$17*COS(RADIANS(90-$U$23)),IF(AND($U$17=0,$O$17&gt;0),$O$17/2*COS(RADIANS(90-$O$23)),IF(AND($U$17&gt;0,$O$17=0),$U$17/2*COS(RADIANS(90-$U$23)),IF(AND($U$17=0,$O$17=0,$K$17=0),$E$17/4*COS(RADIANS(90-$E$23)),$K$17/4*COS(RADIANS(90-$K$23))))))</f>
        <v>#VALUE!</v>
      </c>
      <c r="AX19" s="647" t="e">
        <f>IF(AND($U$17&gt;0,$O$17&gt;0),$O$17*SIN(RADIANS(90-$O$23)),IF(AND($U$17=0,$O$17&gt;0),$O$17/2*SIN(RADIANS(90-$O$23)),IF(AND($U$17&gt;0,$O$17=0),$U$17/2*SIN(RADIANS(90-$U$23)),IF(AND($U$17=0,$O$17=0,$K$17=0),$E$17/4*SIN(RADIANS(90-$E$23)),$K$17/4*SIN(RADIANS(90-$K$23))))))</f>
        <v>#VALUE!</v>
      </c>
      <c r="AY19" s="648" t="e">
        <f>IF(AND($U$17&gt;0,$O$17&gt;0),$O$17*COS(RADIANS(90-$O$23)),IF(AND($U$17=0,$O$17&gt;0),$O$17/2*COS(RADIANS(90-$O$23)),IF(AND($U$17&gt;0,$O$17=0),$U$17/2*COS(RADIANS(90-$U$23)),IF(AND($U$17=0,$O$17=0,$K$17=0),$E$17/4*COS(RADIANS(90-$E$23)),$K$17/4*COS(RADIANS(90-$K$23))))))</f>
        <v>#VALUE!</v>
      </c>
      <c r="AZ19" s="647" t="e">
        <f>IF(AND($K$17&gt;0,$E$17&gt;0,OR($O$17&gt;0,$U$17&gt;0)),$K$17*SIN(RADIANS(90-$K$23)),IF(AND($K$17=0,$E$17&gt;0,OR($O$17&gt;0,$U$17&gt;0)),$E$17/2*SIN(RADIANS(90-$E$23)),IF(AND($K$17&gt;0,$E$17=0,OR($O$17&gt;0,$U$17&gt;0)),$K$17/2*SIN(RADIANS(90-$K$23)),IF(AND($K$17&gt;0,$O$17=0,$U$17=0),$K$17/4*SIN(RADIANS(90-$K$23)),$E$17/4*SIN(RADIANS(90-$E$23))))))</f>
        <v>#VALUE!</v>
      </c>
      <c r="BA19" s="648" t="e">
        <f>IF(AND($K$17&gt;0,$E$17&gt;0,OR($O$17&gt;0,$U$17&gt;0)),$K$17*COS(RADIANS(90-$K$23)),IF(AND($K$17=0,$E$17&gt;0,OR($O$17&gt;0,$U$17&gt;0)),$E$17/2*COS(RADIANS(90-$E$23)),IF(AND($K$17&gt;0,$E$17=0,OR($O$17&gt;0,$U$17&gt;0)),$K$17/2*COS(RADIANS(90-$K$23)),IF(AND($K$17&gt;0,$O$17=0,$U$17=0),$K$17/4*COS(RADIANS(90-$K$23)),$E$17/4*COS(RADIANS(90-$E$23))))))</f>
        <v>#VALUE!</v>
      </c>
      <c r="BB19" s="647" t="e">
        <f>IF(AND($K$17&gt;0,$E$17&gt;0,OR($O$17&gt;0,$U$17&gt;0)),$E$17*SIN(RADIANS(90-$E$23)),IF(AND($K$17=0,$E$17&gt;0,OR($O$17&gt;0,$U$17&gt;0)),$E$17/2*SIN(RADIANS(90-$E$23)),IF(AND($K$17&gt;0,$E$17=0,OR($O$17&gt;0,$U$17&gt;0)),$K$17/2*SIN(RADIANS(90-$K$23)),IF(AND($K$17&gt;0,$O$17=0,$U$17=0),$K$17/4*SIN(RADIANS(90-$K$23)),$E$17/4*SIN(RADIANS(90-$E$23))))))</f>
        <v>#VALUE!</v>
      </c>
      <c r="BC19" s="636" t="e">
        <f>IF(AND($K$17&gt;0,$E$17&gt;0,OR($O$17&gt;0,$U$17&gt;0)),$E$17*COS(RADIANS(90-$E$23)),IF(AND($K$17=0,$E$17&gt;0,OR($O$17&gt;0,$U$17&gt;0)),$E$17/2*COS(RADIANS(90-$E$23)),IF(AND($K$17&gt;0,$E$17=0,OR($O$17&gt;0,$U$17&gt;0)),$K$17/2*COS(RADIANS(90-$K$23)),IF(AND($K$17&gt;0,$O$17=0,$U$17=0),$K$17/4*COS(RADIANS(90-$K$23)),$E$17/4*COS(RADIANS(90-$E$23))))))</f>
        <v>#VALUE!</v>
      </c>
      <c r="BD19" s="647" t="e">
        <f>IF(AND($B$32&gt;0,$B$24&gt;0,OR($B$41&gt;0,$B$49&gt;0)),$B$24*COS(RADIANS(180-$B$30)),IF(AND($B$32=0,$B$24&gt;0,OR($B$41&gt;0,$B$49&gt;0)),$B$24/2*COS(RADIANS(180-$B$30)),IF(AND($B$32&gt;0,$B$24=0,OR($B$41&gt;0,$B$49&gt;0)),$B$32/2*COS(RADIANS(180-$B$38)),IF(AND($B$32&gt;0,$B$41=0,$B$49=0),$B$32/4*COS(RADIANS(180-$B$38)),$B$24/4*COS(RADIANS(180-$B$30))))))</f>
        <v>#VALUE!</v>
      </c>
      <c r="BE19" s="648" t="e">
        <f>IF(AND($B$32&gt;0,$B$24&gt;0,OR($B$41&gt;0,$B$49&gt;0)),$B$24*-SIN(RADIANS(180-$B$30)),IF(AND($B$32&gt;0,$B$24&gt;0,OR($B$41&gt;0,$B$49&gt;0)),$B$32*-SIN(RADIANS(180-$B$38)),IF(AND($B$32&gt;0,$B$24=0,OR($B$41&gt;0,$B$49&gt;0)),$B$32/2*-SIN(RADIANS(180-$B$38)),IF(AND($B$32&gt;0,$B$41=0,$B$49=0),$B$32/4*-SIN(RADIANS(180-$B$38)),$B$24/4*-SIN(RADIANS(180-$B$30))))))</f>
        <v>#VALUE!</v>
      </c>
      <c r="BF19" s="647" t="e">
        <f>IF(AND($B$32&gt;0,$B$24&gt;0,OR($B$41&gt;0,$B$49&gt;0)),$B$32*COS(RADIANS(180-$B$38)),IF(AND($B$32=0,$B$24&gt;0,OR($B$41&gt;0,$B$49&gt;0)),$B$24/2*COS(RADIANS(180-$B$30)),IF(AND($B$32&gt;0,$B$24=0,OR($B$41&gt;0,$B$49&gt;0)),$B$32/2*COS(RADIANS(180-$B$38)),IF(AND($B$32&gt;0,$B$41=0,$B$49=0),$B$32/4*COS(RADIANS(180-$B$38)),$B$24/4*COS(RADIANS(180-$B$30))))))</f>
        <v>#VALUE!</v>
      </c>
      <c r="BG19" s="648" t="e">
        <f>IF(AND($B$32&gt;0,$B$24&gt;0,OR($B$41&gt;0,$B$49&gt;0)),$B$32*-SIN(RADIANS(180-$B$38)),IF(AND($B$32&gt;0,$B$24&gt;0,OR($B$41&gt;0,$B$49&gt;0)),$B$32*-SIN(RADIANS(180-$B$38)),IF(AND($B$32&gt;0,$B$24=0,OR($B$41&gt;0,$B$49&gt;0)),$B$32/2*-SIN(RADIANS(180-$B$38)),IF(AND($B$32&gt;0,$B$41=0,$B$49=0),$B$32/4*-SIN(RADIANS(180-$B$38)),$B$24/4*-SIN(RADIANS(180-$B$30))))))</f>
        <v>#VALUE!</v>
      </c>
      <c r="BH19" s="647" t="e">
        <f>IF(AND($B$49&gt;0,$B$41&gt;0),$B$41*COS(RADIANS(180-$B$47)),IF(AND($B$49=0,$B$41&gt;0),$B$41/2*COS(RADIANS(180-$B$47)),IF(AND($B$49&gt;0,$B$41=0),$B$49/2*COS(RADIANS(180-$B$55)),IF(AND($B$49=0,$B$41=0,$B$32=0),$B$24/4*COS(RADIANS(180-$B$30)),$B$32/4*COS(RADIANS(180-$B$38))))))</f>
        <v>#VALUE!</v>
      </c>
      <c r="BI19" s="648" t="e">
        <f>IF(AND($B$49&gt;0,$B$41&gt;0),$B$41*-SIN(RADIANS(180-$B$47)),IF(AND($B$49=0,$B$41&gt;0),$B$41/2*-SIN(RADIANS(180-$B$47)),IF(AND($B$49&gt;0,$B$41=0),$B$49/2*-SIN(RADIANS(180-$B$55)),IF(AND($B$49=0,$B$41=0,$B$32=0),$B$24/4*-SIN(RADIANS(180-$B$30)),$B$32/4*-SIN(RADIANS(180-$B$38))))))</f>
        <v>#VALUE!</v>
      </c>
      <c r="BJ19" s="647" t="e">
        <f>IF(AND($B$49&gt;0,$B$41&gt;0),$B$49*COS(RADIANS(180-$B$55)),IF(AND($B$49=0,$B$41&gt;0),$B$41/2*COS(RADIANS(180-$B$47)),IF(AND($B$49&gt;0,$B$41=0),$B$49/2*COS(RADIANS(180-$B$55)),IF(AND($B$49=0,$B$41=0,$B$32=0),$B$24/4*COS(RADIANS(180-$B$30)),$B$32/4*COS(RADIANS(180-$B$38))))))</f>
        <v>#VALUE!</v>
      </c>
      <c r="BK19" s="648" t="e">
        <f>IF(AND($B$49&gt;0,$B$41&gt;0),$B$49*-SIN(RADIANS(180-$B$55)),IF(AND($B$49=0,$B$41&gt;0),$B$41/2*-SIN(RADIANS(180-$B$47)),IF(AND($B$49&gt;0,$B$41=0),$B$49/2*-SIN(RADIANS(180-$B$55)),IF(AND($B$49=0,$B$41=0,$B$32=0),$B$24/4*-SIN(RADIANS(180-$B$30)),$B$32/4*-SIN(RADIANS(180-$B$38))))))</f>
        <v>#VALUE!</v>
      </c>
      <c r="BL19" s="647" t="e">
        <f>IF(AND($K$63&gt;0,$E$63&gt;0,OR($O$63&gt;0,$U$63&gt;0)),$E$63*SIN(RADIANS(90-$E$62)),IF(AND($K$63=0,$E$63&gt;0,OR($O$63&gt;0,$U$63&gt;0)),$E$63/2*SIN(RADIANS(90-$E$62)),IF(AND($K$63&gt;0,$E$63=0,OR($O$63&gt;0,$U$63&gt;0)),$K$63/2*SIN(RADIANS(90-$K$62)),IF(AND($K$63&gt;0,$O$63=0,$U$63=0),$K$63/4*SIN(RADIANS(90-$K$62)),$E$63/4*SIN(RADIANS(90-$E$62))))))</f>
        <v>#VALUE!</v>
      </c>
      <c r="BM19" s="636" t="e">
        <f>IF(AND($K$63&gt;0,$E$63&gt;0,OR($O$63&gt;0,$U$63&gt;0)),$E$63*COS(RADIANS(90-$E$62)),IF(AND($K$63=0,$E$63&gt;0,OR($O$63&gt;0,$U$63&gt;0)),$E$63/2*COS(RADIANS(90-$E$62)),IF(AND($K$63&gt;0,$E$63=0,OR($O$63&gt;0,$U$63&gt;0)),$K$63/2*COS(RADIANS(90-$K$62)),IF(AND($K$63&gt;0,$O$63=0,$U$63=0),$K$63/4*COS(RADIANS(90-$K$62)),$E$63/4*COS(RADIANS(90-$E$62))))))</f>
        <v>#VALUE!</v>
      </c>
      <c r="BN19" s="647" t="e">
        <f>IF(AND($K$63&gt;0,$E$63&gt;0,OR($O$63&gt;0,$U$63&gt;0)),$K$63*SIN(RADIANS(90-$K$62)),IF(AND($K$63=0,$E$63&gt;0,OR($O$63&gt;0,$U$63&gt;0)),$E$63/2*SIN(RADIANS(90-$E$62)),IF(AND($K$63&gt;0,$E$63=0,OR($O$63&gt;0,$U$63&gt;0)),$K$63/2*SIN(RADIANS(90-$K$62)),IF(AND($K$63&gt;0,$O$63=0,$U$63=0),$K$63/4*SIN(RADIANS(90-$K$62)),$E$63/4*SIN(RADIANS(90-$E$62))))))</f>
        <v>#VALUE!</v>
      </c>
      <c r="BO19" s="648" t="e">
        <f>IF(AND($K$63&gt;0,$E$63&gt;0,OR($O$63&gt;0,$U$63&gt;0)),$K$63*COS(RADIANS(90-$K$62)),IF(AND($K$63=0,$E$63&gt;0,OR($O$63&gt;0,$U$63&gt;0)),$E$63/2*COS(RADIANS(90-$E$62)),IF(AND($K$63&gt;0,$E$63=0,OR($O$63&gt;0,$U$63&gt;0)),$K$63/2*COS(RADIANS(90-$K$62)),IF(AND($K$63&gt;0,$O$63=0,$U$63=0),$K$63/4*COS(RADIANS(90-$K$62)),$E$63/4*COS(RADIANS(90-$E$62))))))</f>
        <v>#VALUE!</v>
      </c>
      <c r="BP19" s="647" t="e">
        <f>IF(AND($U$63&gt;0,$O$63&gt;0),$O$63*SIN(RADIANS(90-$O$62)),IF(AND($U$63=0,$O$63&gt;0),$O$63/2*SIN(RADIANS(90-$O$62)),IF(AND($U$63&gt;0,$O$63=0),$U$63/2*SIN(RADIANS(90-$U$62)),IF(AND($U$63=0,$O$63=0,$K$63=0),$E$63/4*SIN(RADIANS(90-$E$62)),$K$63/4*SIN(RADIANS(90-$K$62))))))</f>
        <v>#VALUE!</v>
      </c>
      <c r="BQ19" s="648" t="e">
        <f>IF(AND($U$63&gt;0,$O$63&gt;0),$O$63*COS(RADIANS(90-$O$62)),IF(AND($U$63=0,$O$63&gt;0),$O$63/2*COS(RADIANS(90-$O$62)),IF(AND($U$63&gt;0,$O$63=0),$U$63/2*COS(RADIANS(90-$U$62)),IF(AND($U$63=0,$O$63=0,$K$63=0),$E$63/4*COS(RADIANS(90-$E$62)),$K$63/4*COS(RADIANS(90-$K$62))))))</f>
        <v>#VALUE!</v>
      </c>
      <c r="BR19" s="647" t="e">
        <f>IF(AND($U$63&gt;0,$O$63&gt;0),$U$63*SIN(RADIANS(90-$U$62)),IF(AND($U$63=0,$O$63&gt;0),$O$63/2*SIN(RADIANS(90-$O$62)),IF(AND($U$63&gt;0,$O$63=0),$U$63/2*SIN(RADIANS(90-$U$62)),IF(AND($U$63=0,$O$63=0,$K$63=0),$E$63/4*SIN(RADIANS(90-$E$62)),$K$63/4*SIN(RADIANS(90-$K$62))))))</f>
        <v>#VALUE!</v>
      </c>
      <c r="BS19" s="648" t="e">
        <f>IF(AND($U$63&gt;0,$O$63&gt;0),$U$63*COS(RADIANS(90-$U$62)),IF(AND($U$63=0,$O$63&gt;0),$O$63/2*COS(RADIANS(90-$O$62)),IF(AND($U$63&gt;0,$O$63=0),$U$63/2*COS(RADIANS(90-$U$62)),IF(AND($U$63=0,$O$63=0,$K$63=0),$E$63/4*COS(RADIANS(90-$E$62)),$K$63/4*COS(RADIANS(90-$K$62))))))</f>
        <v>#VALUE!</v>
      </c>
      <c r="BT19" s="647" t="e">
        <f>IF(AND($W$49&gt;0,$W$41&gt;0),$W$49*COS(RADIANS(180-$W$55)),IF(AND($W$49=0,$W$41&gt;0),$W$41/2*COS(RADIANS(180-$W$47)),IF(AND($W$49&gt;0,$W$41=0),$W$49/2*COS(RADIANS(180-$W$55)),IF(AND($W$49=0,$W$41=0,$W$32=0),$W$24/4*COS(RADIANS(180-$W$30)),$W$32/4*COS(RADIANS(180-$W$38))))))</f>
        <v>#VALUE!</v>
      </c>
      <c r="BU19" s="648" t="e">
        <f>IF(AND($W$49&gt;0,$W$41&gt;0),$W$49*-SIN(RADIANS(180-$W$55)),IF(AND($W$49=0,$W$41&gt;0),$W$41/2*-SIN(RADIANS(180-$W$47)),IF(AND($W$49&gt;0,$W$41=0),$W$49/2*-SIN(RADIANS(180-$W$55)),IF(AND($W$49=0,$W$41=0,$W$32=0),$W$24/4*-SIN(RADIANS(180-$W$30)),$W$32/4*-SIN(RADIANS(180-$W$38))))))</f>
        <v>#VALUE!</v>
      </c>
      <c r="BV19" s="647" t="e">
        <f>IF(AND($W$49&gt;0,$W$41&gt;0),$W$41*COS(RADIANS(180-$W$47)),IF(AND($W$49=0,$W$41&gt;0),$W$41/2*COS(RADIANS(180-$W$47)),IF(AND($W$49&gt;0,$W$41=0),$W$49/2*COS(RADIANS(180-$W$55)),IF(AND($W$49=0,$W$41=0,$W$32=0),$W$24/4*COS(RADIANS(180-$W$30)),$W$32/4*COS(RADIANS(180-$W$38))))))</f>
        <v>#VALUE!</v>
      </c>
      <c r="BW19" s="648" t="e">
        <f>IF(AND($W$49&gt;0,$W$41&gt;0),$W$41*-SIN(RADIANS(180-$W$47)),IF(AND($W$49=0,$W$41&gt;0),$W$41/2*-SIN(RADIANS(180-$W$47)),IF(AND($W$49&gt;0,$W$41=0),$W$49/2*-SIN(RADIANS(180-$W$55)),IF(AND($W$49=0,$W$41=0,$W$32=0),$W$24/4*-SIN(RADIANS(180-$W$30)),$W$32/4*-SIN(RADIANS(180-$W$38))))))</f>
        <v>#VALUE!</v>
      </c>
      <c r="BX19" s="647" t="e">
        <f>IF(AND($W$32&gt;0,$W$24&gt;0,OR($W$41&gt;0,$W$49&gt;0)),$W$32*COS(RADIANS(180-$W$38)),IF(AND($W$32=0,$W$24&gt;0,OR($W$41&gt;0,$W$49&gt;0)),$W$24/2*COS(RADIANS(180-$W$30)),IF(AND($W$32&gt;0,$W$24=0,OR($W$41&gt;0,$W$49&gt;0)),$W$32/2*COS(RADIANS(180-$W$38)),IF(AND($W$32&gt;0,$W$41=0,$W$49=0),$W$32/4*COS(RADIANS(180-$W$38)),$W$24/4*COS(RADIANS(180-$W$30))))))</f>
        <v>#VALUE!</v>
      </c>
      <c r="BY19" s="648" t="e">
        <f>IF(AND($W$32&gt;0,$W$24&gt;0,OR($W$41&gt;0,$W$49&gt;0)),$W$32*-SIN(RADIANS(180-$W$38)),IF(AND($W$32&gt;0,$W$24&gt;0,OR($W$41&gt;0,$W$49&gt;0)),$W$32*-SIN(RADIANS(180-$W$38)),IF(AND($W$32&gt;0,$W$24=0,OR($W$41&gt;0,$W$49&gt;0)),$W$32/2*-SIN(RADIANS(180-$W$38)),IF(AND($W$32&gt;0,$W$41=0,$W$49=0),$W$32/4*-SIN(RADIANS(180-$W$38)),$W$24/4*-SIN(RADIANS(180-$W$30))))))</f>
        <v>#VALUE!</v>
      </c>
      <c r="BZ19" s="647" t="e">
        <f>IF(AND($W$32&gt;0,$W$24&gt;0,OR($W$41&gt;0,$W$49&gt;0)),$W$24*COS(RADIANS(180-$W$30)),IF(AND($W$32=0,$W$24&gt;0,OR($W$41&gt;0,$W$49&gt;0)),$W$24/2*COS(RADIANS(180-$W$30)),IF(AND($W$32&gt;0,$W$24=0,OR($W$41&gt;0,$W$49&gt;0)),$W$32/2*COS(RADIANS(180-$W$38)),IF(AND($W$32&gt;0,$W$41=0,$W$49=0),$W$32/4*COS(RADIANS(180-$W$38)),$W$24/4*COS(RADIANS(180-$W$30))))))</f>
        <v>#VALUE!</v>
      </c>
      <c r="CA19" s="648" t="e">
        <f>IF(AND($W$32&gt;0,$W$24&gt;0,OR($W$41&gt;0,$W$49&gt;0)),$W$24*-SIN(RADIANS(180-$W$30)),IF(AND($W$32&gt;0,$W$24&gt;0,OR($W$41&gt;0,$W$49&gt;0)),$W$32*-SIN(RADIANS(180-$W$38)),IF(AND($W$32&gt;0,$W$24=0,OR($W$41&gt;0,$W$49&gt;0)),$W$32/2*-SIN(RADIANS(180-$W$38)),IF(AND($W$32&gt;0,$W$41=0,$W$49=0),$W$32/4*-SIN(RADIANS(180-$W$38)),$W$24/4*-SIN(RADIANS(180-$W$30))))))</f>
        <v>#VALUE!</v>
      </c>
    </row>
    <row r="20" spans="1:82" ht="12" customHeight="1" x14ac:dyDescent="0.25">
      <c r="B20" s="345"/>
      <c r="C20" s="344"/>
      <c r="D20" s="426" t="s">
        <v>398</v>
      </c>
      <c r="E20" s="293" t="e">
        <f>IF(NOT(ISBLANK(F20)),F20,DGET('Grid Numbers'!$A$2:$L$4952,'Grid Numbers'!$J$2,$L$66:$R$67))</f>
        <v>#VALUE!</v>
      </c>
      <c r="F20" s="486"/>
      <c r="G20" s="344"/>
      <c r="H20" s="344"/>
      <c r="I20" s="344"/>
      <c r="J20" s="426" t="s">
        <v>398</v>
      </c>
      <c r="K20" s="294" t="e">
        <f>IF(NOT(ISBLANK(L20)),L20,DGET('Grid Numbers'!$A$2:$L$4952,'Grid Numbers'!$J$2,$L$68:$R$69))</f>
        <v>#VALUE!</v>
      </c>
      <c r="L20" s="487"/>
      <c r="N20" s="426" t="s">
        <v>398</v>
      </c>
      <c r="O20" s="293" t="e">
        <f>IF(NOT(ISBLANK(P20)),P20,DGET('Grid Numbers'!$A$2:$L$4952,'Grid Numbers'!$J$2,$L$70:$R$71))</f>
        <v>#VALUE!</v>
      </c>
      <c r="P20" s="487"/>
      <c r="T20" s="426" t="s">
        <v>398</v>
      </c>
      <c r="U20" s="293" t="e">
        <f>IF(NOT(ISBLANK(V20)),V20,DGET('Grid Numbers'!$A$2:$L$4952,'Grid Numbers'!$J$2,$L$72:$R$73))</f>
        <v>#VALUE!</v>
      </c>
      <c r="V20" s="487"/>
      <c r="AA20" s="593"/>
      <c r="AB20" s="593"/>
      <c r="AC20" s="318">
        <v>1</v>
      </c>
      <c r="AD20" s="317" t="s">
        <v>399</v>
      </c>
      <c r="AE20" s="325" t="e">
        <f>IF($L$38='SHL Section'!$BE$50,IF('SHL Section'!$BF$38=8,'SHL Section'!$AG$24,IF('SHL Section'!$BF$39=7,'SHL Section'!$AI$24,IF('SHL Section'!$BF$40=6,'SHL Section'!$AK$24,""))),IF($L$38='SHL Section'!$BE$53,IF('SHL Section'!$BF$42=8,'SHL Section'!$AG$24,IF('SHL Section'!$BF$43=7,'SHL Section'!$AI$24,IF('SHL Section'!$BF$44=6,'SHL Section'!$AK$24,""))),IF($L$38='SHL Section'!$BE$56,IF('SHL Section'!$BF$46=8,'SHL Section'!$AG$24,IF('SHL Section'!$BF$47=7,'SHL Section'!$AI$24,IF('SHL Section'!$BF$48=6,'SHL Section'!$AK$24,""))),"")))</f>
        <v>#VALUE!</v>
      </c>
      <c r="AF20" s="325" t="e">
        <f>IF($L$38='SHL Section'!$BE$50,IF('SHL Section'!$BF$38=8,'SHL Section'!$AH$24,IF('SHL Section'!$BF$39=7,'SHL Section'!$AJ$24,IF('SHL Section'!$BF$40=6,'SHL Section'!$AL$24,""))),IF($L$38='SHL Section'!$BE$53,IF('SHL Section'!$BF$42=8,'SHL Section'!$AH$24,IF('SHL Section'!$BF$43=7,'SHL Section'!$AJ$24,IF('SHL Section'!$BF$44=6,'SHL Section'!$AL$24,""))),IF($L$38='SHL Section'!$BE$56,IF('SHL Section'!$BF$46=8,'SHL Section'!$AH$24,IF('SHL Section'!$BF$47=7,'SHL Section'!$AJ$24,IF('SHL Section'!$BF$48=6,'SHL Section'!$AL$24,""))),"")))</f>
        <v>#VALUE!</v>
      </c>
      <c r="AG20" s="342" t="e">
        <f>IF($AE$20="","",$AY$26+$AE$20)</f>
        <v>#VALUE!</v>
      </c>
      <c r="AH20" s="342" t="e">
        <f>IF($AF$20="","",$AZ$26+$AF$20)</f>
        <v>#VALUE!</v>
      </c>
      <c r="AI20" s="342" t="e">
        <f>IF($AE$20="","",$BG$26+$AY$26+$AE$20)</f>
        <v>#VALUE!</v>
      </c>
      <c r="AJ20" s="342" t="e">
        <f>IF($AF$20="","",$AZ$26+$BH$26+$AF$20)</f>
        <v>#VALUE!</v>
      </c>
      <c r="AK20" s="342" t="e">
        <f>IF($AE$20="","",$BW$26+$AE$20)</f>
        <v>#VALUE!</v>
      </c>
      <c r="AL20" s="342" t="e">
        <f>IF($AF$20="","",$AF$20+$BX$26)</f>
        <v>#VALUE!</v>
      </c>
      <c r="AM20" s="342" t="e">
        <f>IF($AE$20="","",$AW$22+$AE$20)</f>
        <v>#VALUE!</v>
      </c>
      <c r="AN20" s="342" t="e">
        <f>IF($AF$20="","",$AX$22+$AF$20)</f>
        <v>#VALUE!</v>
      </c>
      <c r="AO20" s="342" t="e">
        <f>IF($AE$20="","",$AY$26+$AE$20+$BE$22)</f>
        <v>#VALUE!</v>
      </c>
      <c r="AP20" s="342" t="e">
        <f>IF($AF$20="","",$AZ$26+$AF$20+$BF$22)</f>
        <v>#VALUE!</v>
      </c>
      <c r="AQ20" s="342" t="e">
        <f>IF($AE$20="","",$BW$26+$AE$20+$BQ$22)</f>
        <v>#VALUE!</v>
      </c>
      <c r="AR20" s="342" t="e">
        <f>IF($AF$20="","",$AF$20+$BX$26+$BR$22)</f>
        <v>#VALUE!</v>
      </c>
      <c r="AS20" s="342" t="e">
        <f>IF($AE$20="","",$BY$22+$AE$20)</f>
        <v>#VALUE!</v>
      </c>
      <c r="AT20" s="342" t="e">
        <f>IF($AF$20="","",$AF$20+$BZ$22)</f>
        <v>#VALUE!</v>
      </c>
      <c r="AU20" s="333" t="s">
        <v>400</v>
      </c>
      <c r="AV20" s="761" t="s">
        <v>401</v>
      </c>
      <c r="AW20" s="735"/>
      <c r="AX20" s="735"/>
      <c r="AY20" s="757"/>
      <c r="AZ20" s="761" t="s">
        <v>402</v>
      </c>
      <c r="BA20" s="735"/>
      <c r="BB20" s="735"/>
      <c r="BC20" s="757"/>
      <c r="BD20" s="761" t="s">
        <v>403</v>
      </c>
      <c r="BE20" s="735"/>
      <c r="BF20" s="735"/>
      <c r="BG20" s="757"/>
      <c r="BH20" s="761" t="s">
        <v>404</v>
      </c>
      <c r="BI20" s="735"/>
      <c r="BJ20" s="735"/>
      <c r="BK20" s="757"/>
      <c r="BL20" s="761" t="s">
        <v>405</v>
      </c>
      <c r="BM20" s="735"/>
      <c r="BN20" s="735"/>
      <c r="BO20" s="757"/>
      <c r="BP20" s="761" t="s">
        <v>406</v>
      </c>
      <c r="BQ20" s="735"/>
      <c r="BR20" s="735"/>
      <c r="BS20" s="757"/>
      <c r="BT20" s="761" t="s">
        <v>407</v>
      </c>
      <c r="BU20" s="735"/>
      <c r="BV20" s="735"/>
      <c r="BW20" s="757"/>
      <c r="BX20" s="761" t="s">
        <v>408</v>
      </c>
      <c r="BY20" s="735"/>
      <c r="BZ20" s="735"/>
      <c r="CA20" s="757"/>
      <c r="CC20" s="459" t="s">
        <v>409</v>
      </c>
      <c r="CD20" s="637" t="e">
        <f>(CC22^2+CD22^2)^0.5</f>
        <v>#VALUE!</v>
      </c>
    </row>
    <row r="21" spans="1:82" ht="12" customHeight="1" x14ac:dyDescent="0.25">
      <c r="D21" s="426" t="s">
        <v>410</v>
      </c>
      <c r="E21" s="293" t="e">
        <f>IF(NOT(ISBLANK(F21)),F21,DGET('Grid Numbers'!$A$2:$L$4952,'Grid Numbers'!$K$2,$L$66:$R$67))</f>
        <v>#VALUE!</v>
      </c>
      <c r="F21" s="487"/>
      <c r="J21" s="426" t="s">
        <v>410</v>
      </c>
      <c r="K21" s="294" t="e">
        <f>IF(NOT(ISBLANK(L21)),L21,DGET('Grid Numbers'!$A$2:$L$4952,'Grid Numbers'!$K$2,$L$68:$R$69))</f>
        <v>#VALUE!</v>
      </c>
      <c r="L21" s="487"/>
      <c r="N21" s="426" t="s">
        <v>410</v>
      </c>
      <c r="O21" s="293" t="e">
        <f>IF(NOT(ISBLANK(P21)),P21,DGET('Grid Numbers'!$A$2:$L$4952,'Grid Numbers'!$K$2,$L$70:$R$71))</f>
        <v>#VALUE!</v>
      </c>
      <c r="P21" s="487"/>
      <c r="T21" s="426" t="s">
        <v>410</v>
      </c>
      <c r="U21" s="293" t="e">
        <f>IF(NOT(ISBLANK(V21)),V21,DGET('Grid Numbers'!$A$2:$L$4952,'Grid Numbers'!$K$2,$L$72:$R$73))</f>
        <v>#VALUE!</v>
      </c>
      <c r="V21" s="487"/>
      <c r="AA21" s="338"/>
      <c r="AB21" s="338"/>
      <c r="AC21" s="318">
        <v>2</v>
      </c>
      <c r="AD21" s="317" t="s">
        <v>399</v>
      </c>
      <c r="AE21" s="324" t="e">
        <f>IF($AG$21="","",$AG$21-$AY$26)</f>
        <v>#VALUE!</v>
      </c>
      <c r="AF21" s="324" t="e">
        <f>IF($AH$21="","",$AH$21-$AZ$26)</f>
        <v>#VALUE!</v>
      </c>
      <c r="AG21" s="325" t="e">
        <f>IF($L$38='SHL Section'!$BE$50,IF('SHL Section'!$BF$37=4,'SHL Section'!$AE$24,IF('SHL Section'!$BF$39=6,'SHL Section'!$AI$24,IF('SHL Section'!$BF$40=5,'SHL Section'!$AK$24,""))),IF($L$38='SHL Section'!$BE$53,IF('SHL Section'!$BF$41=4,'SHL Section'!$AE$24,IF('SHL Section'!$BF$43=6,'SHL Section'!$AI$24,IF('SHL Section'!$BF$44=5,'SHL Section'!$AK$24,""))),IF($L$38='SHL Section'!$BE$56,IF('SHL Section'!$BF$45=4,'SHL Section'!$AE$24,IF('SHL Section'!$BF$47=6,'SHL Section'!$AI$24,IF('SHL Section'!$BF$48=5,'SHL Section'!$AK$24,""))),"")))</f>
        <v>#VALUE!</v>
      </c>
      <c r="AH21" s="325" t="e">
        <f>IF($L$38='SHL Section'!$BE$50,IF('SHL Section'!$BF$37=4,'SHL Section'!$AF$24,IF('SHL Section'!$BF$39=6,'SHL Section'!$AJ$24,IF('SHL Section'!$BF$40=5,'SHL Section'!$AL$24,""))),IF($L$38='SHL Section'!$BE$53,IF('SHL Section'!$BF$41=4,'SHL Section'!$AF$24,IF('SHL Section'!$BF$43=6,'SHL Section'!$AJ$24,IF('SHL Section'!$BF$44=5,'SHL Section'!$AL$24,""))),IF($L$38='SHL Section'!$BE$56,IF('SHL Section'!$BF$45=4,'SHL Section'!$AF$24,IF('SHL Section'!$BF$47=6,'SHL Section'!$AJ$24,IF('SHL Section'!$BF$48=5,'SHL Section'!$AL$24,""))),"")))</f>
        <v>#VALUE!</v>
      </c>
      <c r="AI21" s="324" t="e">
        <f>IF($AG$21="","",$BG$26+$AG$21)</f>
        <v>#VALUE!</v>
      </c>
      <c r="AJ21" s="324" t="e">
        <f>IF($AH$21="","",$AH$21+$BH$26)</f>
        <v>#VALUE!</v>
      </c>
      <c r="AK21" s="324" t="e">
        <f>IF($AG$21="","",$AG$21-$AY$26+$BW$26)</f>
        <v>#VALUE!</v>
      </c>
      <c r="AL21" s="324" t="e">
        <f>IF($AH$21="","",$AH$21-$AZ$26+$BX$26)</f>
        <v>#VALUE!</v>
      </c>
      <c r="AM21" s="324" t="e">
        <f>IF($AG$21="","",$AG$21-$BA$22)</f>
        <v>#VALUE!</v>
      </c>
      <c r="AN21" s="324" t="e">
        <f>IF($AH$21="","",AH$21-$BB$22)</f>
        <v>#VALUE!</v>
      </c>
      <c r="AO21" s="324" t="e">
        <f>IF($AG$21="","",$BE$22+$AG$21)</f>
        <v>#VALUE!</v>
      </c>
      <c r="AP21" s="324" t="e">
        <f>IF($AH$21="","",$AH$21+$BF$22)</f>
        <v>#VALUE!</v>
      </c>
      <c r="AQ21" s="324" t="e">
        <f>IF($AG$21="","",$BG$26+$AG$21-$BM$22)</f>
        <v>#VALUE!</v>
      </c>
      <c r="AR21" s="324" t="e">
        <f>IF($AH$21="","",$AH$21+$BH$26-$BN$22)</f>
        <v>#VALUE!</v>
      </c>
      <c r="AS21" s="324" t="e">
        <f>IF($AG$21="","",$AG$21-$AY$26+$BY$22)</f>
        <v>#VALUE!</v>
      </c>
      <c r="AT21" s="324" t="e">
        <f>IF($AH$21="","",$AH$21-$AZ$26+$BZ$22)</f>
        <v>#VALUE!</v>
      </c>
      <c r="AU21" s="333" t="s">
        <v>394</v>
      </c>
      <c r="AV21" s="296"/>
      <c r="AW21" s="464" t="s">
        <v>336</v>
      </c>
      <c r="AX21" s="465" t="s">
        <v>337</v>
      </c>
      <c r="AY21" s="334"/>
      <c r="AZ21" s="296"/>
      <c r="BA21" s="464" t="s">
        <v>336</v>
      </c>
      <c r="BB21" s="465" t="s">
        <v>337</v>
      </c>
      <c r="BC21" s="334"/>
      <c r="BD21" s="296"/>
      <c r="BE21" s="464" t="s">
        <v>336</v>
      </c>
      <c r="BF21" s="465" t="s">
        <v>337</v>
      </c>
      <c r="BG21" s="334"/>
      <c r="BH21" s="296"/>
      <c r="BI21" s="464" t="s">
        <v>336</v>
      </c>
      <c r="BJ21" s="465" t="s">
        <v>337</v>
      </c>
      <c r="BK21" s="334"/>
      <c r="BL21" s="296"/>
      <c r="BM21" s="464" t="s">
        <v>336</v>
      </c>
      <c r="BN21" s="465" t="s">
        <v>337</v>
      </c>
      <c r="BO21" s="334"/>
      <c r="BP21" s="296"/>
      <c r="BQ21" s="464" t="s">
        <v>336</v>
      </c>
      <c r="BR21" s="465" t="s">
        <v>337</v>
      </c>
      <c r="BS21" s="334"/>
      <c r="BT21" s="296"/>
      <c r="BU21" s="464" t="s">
        <v>336</v>
      </c>
      <c r="BV21" s="465" t="s">
        <v>337</v>
      </c>
      <c r="BW21" s="334"/>
      <c r="BX21" s="296"/>
      <c r="BY21" s="464" t="s">
        <v>336</v>
      </c>
      <c r="BZ21" s="465" t="s">
        <v>337</v>
      </c>
      <c r="CA21" s="334"/>
      <c r="CC21" s="464" t="s">
        <v>336</v>
      </c>
      <c r="CD21" s="465" t="s">
        <v>337</v>
      </c>
    </row>
    <row r="22" spans="1:82" ht="12" customHeight="1" x14ac:dyDescent="0.25">
      <c r="A22" s="339"/>
      <c r="B22" s="339"/>
      <c r="C22" s="339"/>
      <c r="D22" s="426" t="s">
        <v>411</v>
      </c>
      <c r="E22" s="319" t="e">
        <f>IF(NOT(ISBLANK(F22)),F22,DGET('Grid Numbers'!$A$2:$L$4952,'Grid Numbers'!$L$2,$L$66:$R$67))</f>
        <v>#VALUE!</v>
      </c>
      <c r="F22" s="490"/>
      <c r="G22" s="340"/>
      <c r="H22" s="340"/>
      <c r="I22" s="340"/>
      <c r="J22" s="426" t="s">
        <v>411</v>
      </c>
      <c r="K22" s="319" t="e">
        <f>IF(NOT(ISBLANK(L22)),L22,DGET('Grid Numbers'!$A$2:$L$4952,'Grid Numbers'!$L$2,$L$68:$R$69))</f>
        <v>#VALUE!</v>
      </c>
      <c r="L22" s="489"/>
      <c r="M22" s="339"/>
      <c r="N22" s="426" t="s">
        <v>411</v>
      </c>
      <c r="O22" s="319" t="e">
        <f>IF(NOT(ISBLANK(P22)),P22,DGET('Grid Numbers'!$A$2:$L$4952,'Grid Numbers'!$L$2,$L$70:$R$71))</f>
        <v>#VALUE!</v>
      </c>
      <c r="P22" s="490"/>
      <c r="Q22" s="340"/>
      <c r="R22" s="340"/>
      <c r="S22" s="340"/>
      <c r="T22" s="426" t="s">
        <v>411</v>
      </c>
      <c r="U22" s="319" t="e">
        <f>IF(NOT(ISBLANK(V22)),V22,DGET('Grid Numbers'!$A$2:$L$4952,'Grid Numbers'!$L$2,$L$72:$R$73))</f>
        <v>#VALUE!</v>
      </c>
      <c r="V22" s="489"/>
      <c r="W22" s="339"/>
      <c r="X22" s="339"/>
      <c r="AA22" s="593"/>
      <c r="AB22" s="593"/>
      <c r="AC22" s="318">
        <v>3</v>
      </c>
      <c r="AD22" s="317" t="s">
        <v>399</v>
      </c>
      <c r="AE22" s="324" t="e">
        <f>IF($AI$22="","",$AI$22-$BG$26-$AY$26)</f>
        <v>#VALUE!</v>
      </c>
      <c r="AF22" s="324" t="e">
        <f>IF($AJ$22="","",$AJ$22-$BH$26-$AZ$26)</f>
        <v>#VALUE!</v>
      </c>
      <c r="AG22" s="324" t="e">
        <f>IF($AI$22="","",$AI$22-$BG$26)</f>
        <v>#VALUE!</v>
      </c>
      <c r="AH22" s="324" t="e">
        <f>IF($AJ$22="","",$AJ$22-$BH$26)</f>
        <v>#VALUE!</v>
      </c>
      <c r="AI22" s="325" t="e">
        <f>IF($L$38='SHL Section'!$BE$50,IF('SHL Section'!$BF$37=3,'SHL Section'!$AE$24,IF('SHL Section'!$BF$38=2,'SHL Section'!$AG$24,IF('SHL Section'!$BF$40=4,'SHL Section'!$AK$24,""))),IF($L$38='SHL Section'!$BE$53,IF('SHL Section'!$BF$41=3,'SHL Section'!$AE$24,IF('SHL Section'!$BF$42=2,'SHL Section'!$AG$24,IF('SHL Section'!$BF$44=4,'SHL Section'!$AK$24,""))),IF($L$38='SHL Section'!$BE$56,IF('SHL Section'!$BF$45=3,'SHL Section'!$AE$24,IF('SHL Section'!$BF$46=2,'SHL Section'!$AG$24,IF('SHL Section'!$BF$48=4,'SHL Section'!$AK$24,""))),"")))</f>
        <v>#VALUE!</v>
      </c>
      <c r="AJ22" s="325" t="e">
        <f>IF($L$38='SHL Section'!$BE$50,IF('SHL Section'!$BF$37=3,'SHL Section'!$AF$24,IF('SHL Section'!$BF$38=2,'SHL Section'!$AH$24,IF('SHL Section'!$BF$40=4,'SHL Section'!$AL$24,""))),IF($L$38='SHL Section'!$BE$53,IF('SHL Section'!$BF$41=3,'SHL Section'!$AF$24,IF('SHL Section'!$BF$42=2,'SHL Section'!$AH$24,IF('SHL Section'!$BF$44=4,'SHL Section'!$AL$24,""))),IF($L$38='SHL Section'!$BE$56,IF('SHL Section'!$BF$45=3,'SHL Section'!$AF$24,IF('SHL Section'!$BF$46=2,'SHL Section'!$AH$24,IF('SHL Section'!$BF$48=4,'SHL Section'!$AL$24,""))),"")))</f>
        <v>#VALUE!</v>
      </c>
      <c r="AK22" s="324" t="e">
        <f>IF($AI$22="","",$AI$22-$BO$26)</f>
        <v>#VALUE!</v>
      </c>
      <c r="AL22" s="324" t="e">
        <f>IF($AJ$22="","",$AJ$22-$BP$26)</f>
        <v>#VALUE!</v>
      </c>
      <c r="AM22" s="324" t="e">
        <f>IF($AI$22="","",$AI$22-$BG$26-$BA$22)</f>
        <v>#VALUE!</v>
      </c>
      <c r="AN22" s="324" t="e">
        <f>IF($AJ$22="","",$AJ$22-$BH$26-$BB$22)</f>
        <v>#VALUE!</v>
      </c>
      <c r="AO22" s="324" t="e">
        <f>IF($AI$22="","",$AI$22-$BI$22)</f>
        <v>#VALUE!</v>
      </c>
      <c r="AP22" s="324" t="e">
        <f>IF($AJ$22="","",$AJ$22-$BJ$22)</f>
        <v>#VALUE!</v>
      </c>
      <c r="AQ22" s="324" t="e">
        <f>IF($AI$22="","",$AI$22-$BM$22)</f>
        <v>#VALUE!</v>
      </c>
      <c r="AR22" s="324" t="e">
        <f>IF($AJ$22="","",$AJ$22-$BN$22)</f>
        <v>#VALUE!</v>
      </c>
      <c r="AS22" s="324" t="e">
        <f>IF($AI$22="","",$AI$22-$BO$26-$BU$22)</f>
        <v>#VALUE!</v>
      </c>
      <c r="AT22" s="324" t="e">
        <f>IF($AJ$22="","",$AJ$22-$BP$26-$BV$22)</f>
        <v>#VALUE!</v>
      </c>
      <c r="AU22" s="333"/>
      <c r="AV22" s="296"/>
      <c r="AW22" s="638" t="e">
        <f>AV19+AX19</f>
        <v>#VALUE!</v>
      </c>
      <c r="AX22" s="639" t="e">
        <f>AW19+AY19</f>
        <v>#VALUE!</v>
      </c>
      <c r="AY22" s="334"/>
      <c r="AZ22" s="296"/>
      <c r="BA22" s="638" t="e">
        <f>AZ19+BB19</f>
        <v>#VALUE!</v>
      </c>
      <c r="BB22" s="639" t="e">
        <f>BA19+BC19</f>
        <v>#VALUE!</v>
      </c>
      <c r="BC22" s="334"/>
      <c r="BD22" s="296"/>
      <c r="BE22" s="638" t="e">
        <f>BD19+BF19</f>
        <v>#VALUE!</v>
      </c>
      <c r="BF22" s="639" t="e">
        <f>BE19+BG19</f>
        <v>#VALUE!</v>
      </c>
      <c r="BG22" s="334"/>
      <c r="BH22" s="296"/>
      <c r="BI22" s="638" t="e">
        <f>BH19+BJ19</f>
        <v>#VALUE!</v>
      </c>
      <c r="BJ22" s="639" t="e">
        <f>BI19+BK19</f>
        <v>#VALUE!</v>
      </c>
      <c r="BK22" s="334"/>
      <c r="BL22" s="296"/>
      <c r="BM22" s="638" t="e">
        <f>BL19+BN19</f>
        <v>#VALUE!</v>
      </c>
      <c r="BN22" s="639" t="e">
        <f>BM19+BO19</f>
        <v>#VALUE!</v>
      </c>
      <c r="BO22" s="334"/>
      <c r="BP22" s="296"/>
      <c r="BQ22" s="638" t="e">
        <f>BP19+BR19</f>
        <v>#VALUE!</v>
      </c>
      <c r="BR22" s="639" t="e">
        <f>BQ19+BS19</f>
        <v>#VALUE!</v>
      </c>
      <c r="BS22" s="334"/>
      <c r="BT22" s="296"/>
      <c r="BU22" s="638" t="e">
        <f>BT19+BV19</f>
        <v>#VALUE!</v>
      </c>
      <c r="BV22" s="639" t="e">
        <f>BU19+BW19</f>
        <v>#VALUE!</v>
      </c>
      <c r="BW22" s="334"/>
      <c r="BX22" s="296"/>
      <c r="BY22" s="638" t="e">
        <f>BX19+BZ19</f>
        <v>#VALUE!</v>
      </c>
      <c r="BZ22" s="639" t="e">
        <f>BY19+CA19</f>
        <v>#VALUE!</v>
      </c>
      <c r="CA22" s="334"/>
      <c r="CC22" s="640" t="e">
        <f>AY26+BG26-BO26-BW26</f>
        <v>#VALUE!</v>
      </c>
      <c r="CD22" s="641" t="e">
        <f>AZ26+BH26-BP26-BX26</f>
        <v>#VALUE!</v>
      </c>
    </row>
    <row r="23" spans="1:82" ht="12" customHeight="1" thickBot="1" x14ac:dyDescent="0.3">
      <c r="B23" s="759" t="e">
        <f>CONCATENATE("NW SC of ",$L$38)</f>
        <v>#VALUE!</v>
      </c>
      <c r="C23" s="679"/>
      <c r="D23" s="426" t="s">
        <v>412</v>
      </c>
      <c r="E23" s="642" t="e">
        <f>IF(AND($L$38='SHL Section'!$BE$50,MAX('SHL Section'!$BF$37:$BF$40)=6),'SHL Section'!$E$62,IF(AND($L$38='SHL Section'!$BE$53,MAX('SHL Section'!$BF$41:$BF$44)=6),'SHL Section'!$E$62,IF(AND($L$38='SHL Section'!$BE$56,MAX('SHL Section'!$BF$45:$BF$48)=6),'SHL Section'!$E$62,IF(E19="","",IF(OR(E22=1,E22=4),180-(E19+E20/60+E21/3600),(E19+E20/60+E21/3600))))))</f>
        <v>#VALUE!</v>
      </c>
      <c r="J23" s="426" t="s">
        <v>412</v>
      </c>
      <c r="K23" s="642" t="e">
        <f>IF(AND($L$38='SHL Section'!$BE$50,MAX('SHL Section'!$BF$37:$BF$40)=6),'SHL Section'!$K$62,IF(AND($L$38='SHL Section'!$BE$53,MAX('SHL Section'!$BF$41:$BF$44)=6),'SHL Section'!$K$62,IF(AND($L$38='SHL Section'!$BE$56,MAX('SHL Section'!$BF$45:$BF$48)=6),'SHL Section'!$K$62,IF(K19="","",IF(OR(K22=1,K22=4),180-(K19+K20/60+K21/3600),(K19+K20/60+K21/3600))))))</f>
        <v>#VALUE!</v>
      </c>
      <c r="L23" s="781" t="e">
        <f>CONCATENATE("N QC of ",$L$38)</f>
        <v>#VALUE!</v>
      </c>
      <c r="M23" s="704"/>
      <c r="N23" s="426" t="s">
        <v>412</v>
      </c>
      <c r="O23" s="643" t="e">
        <f>IF(AND($L$38='SHL Section'!$BE$50,MAX('SHL Section'!$BF$37:$BF$40)=6),'SHL Section'!$O$62,IF(AND($L$38='SHL Section'!$BE$53,MAX('SHL Section'!$BF$41:$BF$44)=6),'SHL Section'!$O$62,IF(AND($L$38='SHL Section'!$BE$56,MAX('SHL Section'!$BF$45:$BF$48)=6),'SHL Section'!$O$62,IF(O19="","",IF(OR(O22=1,O22=4),180-(O19+O20/60+O21/3600),(O19+O20/60+O21/3600))))))</f>
        <v>#VALUE!</v>
      </c>
      <c r="T23" s="426" t="s">
        <v>412</v>
      </c>
      <c r="U23" s="643" t="e">
        <f>IF(AND($L$38='SHL Section'!$BE$50,MAX('SHL Section'!$BF$37:$BF$40)=6),'SHL Section'!$U$62,IF(AND($L$38='SHL Section'!$BE$53,MAX('SHL Section'!$BF$41:$BF$44)=6),'SHL Section'!$U$62,IF(AND($L$38='SHL Section'!$BE$56,MAX('SHL Section'!$BF$45:$BF$48)=6),'SHL Section'!$U$62,IF(U19="","",IF(OR(U22=1,U22=4),180-(U19+U20/60+U21/3600),(U19+U20/60+U21/3600))))))</f>
        <v>#VALUE!</v>
      </c>
      <c r="V23" s="760" t="e">
        <f>CONCATENATE("NE SC of ",$L$38)</f>
        <v>#VALUE!</v>
      </c>
      <c r="W23" s="679"/>
      <c r="Y23" s="338"/>
      <c r="Z23" s="338"/>
      <c r="AA23" s="593"/>
      <c r="AB23" s="593"/>
      <c r="AC23" s="466">
        <v>4</v>
      </c>
      <c r="AD23" s="591" t="s">
        <v>399</v>
      </c>
      <c r="AE23" s="322" t="e">
        <f>IF($AK$23="","",$AK$23-$BW$26)</f>
        <v>#VALUE!</v>
      </c>
      <c r="AF23" s="322" t="e">
        <f>IF($AL$23="","",$AL$23-$BX$26)</f>
        <v>#VALUE!</v>
      </c>
      <c r="AG23" s="322" t="e">
        <f>IF($AK$23="","",$AK$23+$BO$26-$BG$26)</f>
        <v>#VALUE!</v>
      </c>
      <c r="AH23" s="322" t="e">
        <f>IF($AL$23="","",$AL$23+$BP$26+$BH$26)</f>
        <v>#VALUE!</v>
      </c>
      <c r="AI23" s="322" t="e">
        <f>IF($AK$23="","",$AK$23+$BO$26)</f>
        <v>#VALUE!</v>
      </c>
      <c r="AJ23" s="322" t="e">
        <f>IF($AL$23="","",$AL$23+$BP$26)</f>
        <v>#VALUE!</v>
      </c>
      <c r="AK23" s="323" t="e">
        <f>IF($L$38='SHL Section'!$BE$50,IF('SHL Section'!$BF$37=2,'SHL Section'!$AE$24,IF('SHL Section'!$BF$38=9,'SHL Section'!$AG$24,IF('SHL Section'!$BF$39=8,'SHL Section'!$AI$24,""))),IF($L$38='SHL Section'!$BE$53,IF('SHL Section'!$BF$41=2,'SHL Section'!$AE$24,IF('SHL Section'!$BF$42=9,'SHL Section'!$AG$24,IF('SHL Section'!$BF$43=8,'SHL Section'!$AI$24,""))),IF($L$38='SHL Section'!$BE$56,IF('SHL Section'!$BF$45=2,'SHL Section'!$AE$24,IF('SHL Section'!$BF$46=9,'SHL Section'!$AG$24,IF('SHL Section'!$BF$47=8,'SHL Section'!$AI$24,""))),"")))</f>
        <v>#VALUE!</v>
      </c>
      <c r="AL23" s="323" t="e">
        <f>IF($L$38='SHL Section'!$BE$50,IF('SHL Section'!$BF$37=2,'SHL Section'!$AF$24,IF('SHL Section'!$BF$38=9,'SHL Section'!$AH$24,IF('SHL Section'!$BF$39=8,'SHL Section'!$AJ$24,""))),IF($L$38='SHL Section'!$BE$53,IF('SHL Section'!$BF$41=2,'SHL Section'!$AF$24,IF('SHL Section'!$BF$42=9,'SHL Section'!$AH$24,IF('SHL Section'!$BF$43=8,'SHL Section'!$AJ$24,""))),IF($L$38='SHL Section'!$BE$56,IF('SHL Section'!$BF$45=2,'SHL Section'!$AF$24,IF('SHL Section'!$BF$46=9,'SHL Section'!$AH$24,IF('SHL Section'!$BF$47=8,'SHL Section'!$AJ$24,""))),"")))</f>
        <v>#VALUE!</v>
      </c>
      <c r="AM23" s="322" t="e">
        <f>IF($AK$23="","",$AK$23-$BW$26+$AW$22)</f>
        <v>#VALUE!</v>
      </c>
      <c r="AN23" s="322" t="e">
        <f>IF($AL$23="","",$AL$23-$BX$26+$AX$22)</f>
        <v>#VALUE!</v>
      </c>
      <c r="AO23" s="322" t="e">
        <f>IF($AK$23="","",$AK$23+$BO$26-$BI$22)</f>
        <v>#VALUE!</v>
      </c>
      <c r="AP23" s="322" t="e">
        <f>IF($AL$23="","",$AL$23+$BP$26-$BJ$22)</f>
        <v>#VALUE!</v>
      </c>
      <c r="AQ23" s="322" t="e">
        <f>IF($AK$23="","",$AK$23+$BQ$22)</f>
        <v>#VALUE!</v>
      </c>
      <c r="AR23" s="322" t="e">
        <f>IF($AL$23="","",$AL$23+$BR$22)</f>
        <v>#VALUE!</v>
      </c>
      <c r="AS23" s="322" t="e">
        <f>IF($AK$23="","",$AK$23-$BU$22)</f>
        <v>#VALUE!</v>
      </c>
      <c r="AT23" s="322" t="e">
        <f>IF($AL$23="","",$AL$23-$BV$22)</f>
        <v>#VALUE!</v>
      </c>
      <c r="AU23" s="333"/>
      <c r="AV23" s="296"/>
      <c r="BD23" s="296"/>
      <c r="BL23" s="296"/>
      <c r="BT23" s="296"/>
      <c r="BZ23" s="596"/>
      <c r="CA23" s="596"/>
      <c r="CB23" s="243"/>
    </row>
    <row r="24" spans="1:82" ht="12" customHeight="1" x14ac:dyDescent="0.25">
      <c r="B24" s="417" t="e">
        <f>B25</f>
        <v>#VALUE!</v>
      </c>
      <c r="C24" s="429"/>
      <c r="D24" s="583"/>
      <c r="E24" s="583"/>
      <c r="F24" s="583"/>
      <c r="G24" s="583"/>
      <c r="H24" s="583"/>
      <c r="I24" s="583"/>
      <c r="J24" s="583"/>
      <c r="K24" s="583"/>
      <c r="L24" s="428"/>
      <c r="M24" s="427"/>
      <c r="N24" s="583"/>
      <c r="O24" s="583"/>
      <c r="P24" s="583"/>
      <c r="Q24" s="583"/>
      <c r="R24" s="583"/>
      <c r="S24" s="583"/>
      <c r="T24" s="583"/>
      <c r="U24" s="583"/>
      <c r="V24" s="585"/>
      <c r="W24" s="425" t="e">
        <f>W25</f>
        <v>#VALUE!</v>
      </c>
      <c r="AA24" s="593"/>
      <c r="AB24" s="593"/>
      <c r="AC24" s="762"/>
      <c r="AD24" s="683"/>
      <c r="AE24" s="321" t="str">
        <f>IF(ISNUMBER($AE$20),AE$20,IF(ISNUMBER($AG$21),AE$21,IF(ISNUMBER($AI$22),AE$22,IF(ISNUMBER($AK$23),AE$23,""))))</f>
        <v/>
      </c>
      <c r="AF24" s="321" t="str">
        <f>IF(ISNUMBER($AF$20),AF$20,IF(ISNUMBER($AH$21),AF$21,IF(ISNUMBER($AJ$22),AF$22,IF(ISNUMBER($AL$23),AF$23,""))))</f>
        <v/>
      </c>
      <c r="AG24" s="321" t="str">
        <f>IF(ISNUMBER($AE$20),AG$20,IF(ISNUMBER($AG$21),AG$21,IF(ISNUMBER($AI$22),AG$22,IF(ISNUMBER($AK$23),AG$23,""))))</f>
        <v/>
      </c>
      <c r="AH24" s="321" t="str">
        <f>IF(ISNUMBER($AF$20),AH$20,IF(ISNUMBER($AH$21),AH$21,IF(ISNUMBER($AJ$22),AH$22,IF(ISNUMBER($AL$23),AH$23,""))))</f>
        <v/>
      </c>
      <c r="AI24" s="321" t="str">
        <f>IF(ISNUMBER($AE$20),AI$20,IF(ISNUMBER($AG$21),AI$21,IF(ISNUMBER($AI$22),AI$22,IF(ISNUMBER($AK$23),AI$23,""))))</f>
        <v/>
      </c>
      <c r="AJ24" s="321" t="str">
        <f>IF(ISNUMBER($AF$20),AJ$20,IF(ISNUMBER($AH$21),AJ$21,IF(ISNUMBER($AJ$22),AJ$22,IF(ISNUMBER($AL$23),AJ$23,""))))</f>
        <v/>
      </c>
      <c r="AK24" s="321" t="str">
        <f>IF(ISNUMBER($AE$20),AK$20,IF(ISNUMBER($AG$21),AK$21,IF(ISNUMBER($AI$22),AK$22,IF(ISNUMBER($AK$23),AK$23,""))))</f>
        <v/>
      </c>
      <c r="AL24" s="321" t="str">
        <f>IF(ISNUMBER($AF$20),AL$20,IF(ISNUMBER($AH$21),AL$21,IF(ISNUMBER($AJ$22),AL$22,IF(ISNUMBER($AL$23),AL$23,""))))</f>
        <v/>
      </c>
      <c r="AM24" s="321" t="str">
        <f>IF(ISNUMBER($AE$20),AM$20,IF(ISNUMBER($AG$21),AM$21,IF(ISNUMBER($AI$22),AM$22,IF(ISNUMBER($AK$23),AM$23,""))))</f>
        <v/>
      </c>
      <c r="AN24" s="321" t="str">
        <f>IF(ISNUMBER($AF$20),AN$20,IF(ISNUMBER($AH$21),AN$21,IF(ISNUMBER($AJ$22),AN$22,IF(ISNUMBER($AL$23),AN$23,""))))</f>
        <v/>
      </c>
      <c r="AO24" s="321" t="str">
        <f>IF(ISNUMBER($AE$20),AO$20,IF(ISNUMBER($AG$21),AO$21,IF(ISNUMBER($AI$22),AO$22,IF(ISNUMBER($AK$23),AO$23,""))))</f>
        <v/>
      </c>
      <c r="AP24" s="321" t="str">
        <f>IF(ISNUMBER($AF$20),AP$20,IF(ISNUMBER($AH$21),AP$21,IF(ISNUMBER($AJ$22),AP$22,IF(ISNUMBER($AL$23),AP$23,""))))</f>
        <v/>
      </c>
      <c r="AQ24" s="321" t="str">
        <f>IF(ISNUMBER($AE$20),AQ$20,IF(ISNUMBER($AG$21),AQ$21,IF(ISNUMBER($AI$22),AQ$22,IF(ISNUMBER($AK$23),AQ$23,""))))</f>
        <v/>
      </c>
      <c r="AR24" s="321" t="str">
        <f>IF(ISNUMBER($AF$20),AR$20,IF(ISNUMBER($AH$21),AR$21,IF(ISNUMBER($AJ$22),AR$22,IF(ISNUMBER($AL$23),AR$23,""))))</f>
        <v/>
      </c>
      <c r="AS24" s="321" t="str">
        <f>IF(ISNUMBER($AE$20),AS$20,IF(ISNUMBER($AG$21),AS$21,IF(ISNUMBER($AI$22),AS$22,IF(ISNUMBER($AK$23),AS$23,""))))</f>
        <v/>
      </c>
      <c r="AT24" s="321" t="str">
        <f>IF(ISNUMBER($AF$20),AT$20,IF(ISNUMBER($AH$21),AT$21,IF(ISNUMBER($AJ$22),AT$22,IF(ISNUMBER($AL$23),AT$23,""))))</f>
        <v/>
      </c>
      <c r="AU24" s="333" t="s">
        <v>171</v>
      </c>
      <c r="AV24" s="761" t="s">
        <v>12</v>
      </c>
      <c r="AW24" s="735"/>
      <c r="AX24" s="735"/>
      <c r="AY24" s="735"/>
      <c r="AZ24" s="735"/>
      <c r="BA24" s="735"/>
      <c r="BB24" s="735"/>
      <c r="BC24" s="757"/>
      <c r="BD24" s="761" t="s">
        <v>413</v>
      </c>
      <c r="BE24" s="735"/>
      <c r="BF24" s="735"/>
      <c r="BG24" s="735"/>
      <c r="BH24" s="735"/>
      <c r="BI24" s="735"/>
      <c r="BJ24" s="735"/>
      <c r="BK24" s="757"/>
      <c r="BL24" s="761" t="s">
        <v>414</v>
      </c>
      <c r="BM24" s="735"/>
      <c r="BN24" s="735"/>
      <c r="BO24" s="735"/>
      <c r="BP24" s="735"/>
      <c r="BQ24" s="735"/>
      <c r="BR24" s="735"/>
      <c r="BS24" s="757"/>
      <c r="BT24" s="761" t="s">
        <v>311</v>
      </c>
      <c r="BU24" s="735"/>
      <c r="BV24" s="735"/>
      <c r="BW24" s="735"/>
      <c r="BX24" s="735"/>
      <c r="BY24" s="735"/>
      <c r="BZ24" s="735"/>
      <c r="CA24" s="757"/>
    </row>
    <row r="25" spans="1:82" ht="12" customHeight="1" x14ac:dyDescent="0.25">
      <c r="A25" s="426" t="s">
        <v>385</v>
      </c>
      <c r="B25" s="366" t="e">
        <f>IF(NOT(ISBLANK(D25)),D25,DGET('Grid Numbers'!$A$2:$L$4952,'Grid Numbers'!$H$2,$B$66:$H$67))</f>
        <v>#VALUE!</v>
      </c>
      <c r="C25" s="598"/>
      <c r="D25" s="486"/>
      <c r="L25" s="308"/>
      <c r="M25" s="307"/>
      <c r="U25" s="486"/>
      <c r="V25" s="581"/>
      <c r="W25" s="470" t="e">
        <f>IF(NOT(ISBLANK(U25)),U25,DGET('Grid Numbers'!$A$2:$L$4952,'Grid Numbers'!$H$2,$B$74:$H$75))</f>
        <v>#VALUE!</v>
      </c>
      <c r="X25" s="423" t="s">
        <v>385</v>
      </c>
      <c r="AA25" s="593"/>
      <c r="AB25" s="593"/>
      <c r="AC25" s="330"/>
      <c r="AD25" s="329"/>
      <c r="AE25" s="328"/>
      <c r="AF25" s="328"/>
      <c r="AG25" s="328"/>
      <c r="AH25" s="328"/>
      <c r="AI25" s="328"/>
      <c r="AJ25" s="328"/>
      <c r="AK25" s="328"/>
      <c r="AL25" s="328"/>
      <c r="AM25" s="328"/>
      <c r="AN25" s="328"/>
      <c r="AO25" s="328"/>
      <c r="AP25" s="328"/>
      <c r="AQ25" s="328"/>
      <c r="AR25" s="328"/>
      <c r="AS25" s="328"/>
      <c r="AT25" s="328"/>
      <c r="AU25" s="333" t="s">
        <v>394</v>
      </c>
      <c r="AV25" s="298"/>
      <c r="AW25" s="337"/>
      <c r="AX25" s="337"/>
      <c r="AY25" s="464" t="s">
        <v>336</v>
      </c>
      <c r="AZ25" s="465" t="s">
        <v>337</v>
      </c>
      <c r="BA25" s="337"/>
      <c r="BB25" s="337"/>
      <c r="BC25" s="336"/>
      <c r="BD25" s="298"/>
      <c r="BE25" s="337"/>
      <c r="BF25" s="337"/>
      <c r="BG25" s="464" t="s">
        <v>336</v>
      </c>
      <c r="BH25" s="465" t="s">
        <v>337</v>
      </c>
      <c r="BI25" s="337"/>
      <c r="BJ25" s="337"/>
      <c r="BK25" s="336"/>
      <c r="BL25" s="298"/>
      <c r="BM25" s="337"/>
      <c r="BN25" s="337"/>
      <c r="BO25" s="464" t="s">
        <v>336</v>
      </c>
      <c r="BP25" s="465" t="s">
        <v>337</v>
      </c>
      <c r="BQ25" s="337"/>
      <c r="BR25" s="337"/>
      <c r="BS25" s="336"/>
      <c r="BT25" s="298"/>
      <c r="BU25" s="337"/>
      <c r="BV25" s="337"/>
      <c r="BW25" s="464" t="s">
        <v>336</v>
      </c>
      <c r="BX25" s="465" t="s">
        <v>337</v>
      </c>
      <c r="BY25" s="337"/>
      <c r="BZ25" s="337"/>
      <c r="CA25" s="336"/>
    </row>
    <row r="26" spans="1:82" ht="12" customHeight="1" x14ac:dyDescent="0.25">
      <c r="A26" s="426" t="s">
        <v>395</v>
      </c>
      <c r="B26" s="293" t="e">
        <f>IF(NOT(ISBLANK(D26)),D26,DGET('Grid Numbers'!$A$2:$L$4952,'Grid Numbers'!$I$2,$B$66:$H$67))</f>
        <v>#VALUE!</v>
      </c>
      <c r="C26" s="598"/>
      <c r="D26" s="486"/>
      <c r="G26" s="747" t="s">
        <v>415</v>
      </c>
      <c r="H26" s="735"/>
      <c r="I26" s="335"/>
      <c r="L26" s="308"/>
      <c r="M26" s="307"/>
      <c r="Q26" s="747" t="s">
        <v>416</v>
      </c>
      <c r="R26" s="735"/>
      <c r="U26" s="486"/>
      <c r="V26" s="581"/>
      <c r="W26" s="471" t="e">
        <f>IF(NOT(ISBLANK(U26)),U26,DGET('Grid Numbers'!$A$2:$L$4952,'Grid Numbers'!$I$2,$B$74:$H$75))</f>
        <v>#VALUE!</v>
      </c>
      <c r="X26" s="423" t="s">
        <v>395</v>
      </c>
      <c r="AB26" s="593"/>
      <c r="AC26" s="318">
        <v>1</v>
      </c>
      <c r="AD26" s="317" t="s">
        <v>417</v>
      </c>
      <c r="AE26" s="325" t="e">
        <f>IF(AND($AS$24+'SHL Section'!$AI$8&gt;0,$AN$24+'SHL Section'!$AK$8&gt;0),$AE$24+'SHL Section'!$AI$8,"")</f>
        <v>#VALUE!</v>
      </c>
      <c r="AF26" s="325" t="e">
        <f>IF(AND($AS$24+'SHL Section'!$AI$8&gt;0,$AN$24+'SHL Section'!$AK$8&gt;0),$AF$24+'SHL Section'!$AK$8,"")</f>
        <v>#VALUE!</v>
      </c>
      <c r="AG26" s="324" t="e">
        <f>IF($AE$26="","",$AY$26+$AE$26)</f>
        <v>#VALUE!</v>
      </c>
      <c r="AH26" s="324" t="e">
        <f>IF($AF$26="","",$AZ$26+$AF$26)</f>
        <v>#VALUE!</v>
      </c>
      <c r="AI26" s="324" t="e">
        <f>IF($AE$26="","",$BG$26+$AY$26+$AE$26)</f>
        <v>#VALUE!</v>
      </c>
      <c r="AJ26" s="324" t="e">
        <f>IF($AF$26="","",$AZ$26+$BH$26+$AF$26)</f>
        <v>#VALUE!</v>
      </c>
      <c r="AK26" s="324" t="e">
        <f>IF($AE$26="","",$BW$26+$AE$26)</f>
        <v>#VALUE!</v>
      </c>
      <c r="AL26" s="324" t="e">
        <f>IF($AF$26="","",$AF$26+$BX$26)</f>
        <v>#VALUE!</v>
      </c>
      <c r="AM26" s="324" t="e">
        <f>IF($AE$26="","",$AW$22+$AE$26)</f>
        <v>#VALUE!</v>
      </c>
      <c r="AN26" s="324" t="e">
        <f>IF($AF$26="","",$AX$22+$AF$26)</f>
        <v>#VALUE!</v>
      </c>
      <c r="AO26" s="324" t="e">
        <f>IF($AE$26="","",$AY$26+$AE$26+$BE$22)</f>
        <v>#VALUE!</v>
      </c>
      <c r="AP26" s="324" t="e">
        <f>IF($AF$26="","",$AZ$26+$AF$26+$BF$22)</f>
        <v>#VALUE!</v>
      </c>
      <c r="AQ26" s="324" t="e">
        <f>IF($AE$26="","",$BW$26+$AE$26+$BQ$22)</f>
        <v>#VALUE!</v>
      </c>
      <c r="AR26" s="324" t="e">
        <f>IF($AF$26="","",$AF$26+$BX$26+$BR$22)</f>
        <v>#VALUE!</v>
      </c>
      <c r="AS26" s="324" t="e">
        <f>IF($AE$26="","",$BY$22+$AE$26)</f>
        <v>#VALUE!</v>
      </c>
      <c r="AT26" s="324" t="e">
        <f>IF($AF$26="","",$AF$26+$BZ$22)</f>
        <v>#VALUE!</v>
      </c>
      <c r="AU26" s="333"/>
      <c r="AV26" s="296"/>
      <c r="AY26" s="638" t="e">
        <f>AW22+BA22</f>
        <v>#VALUE!</v>
      </c>
      <c r="AZ26" s="639" t="e">
        <f>AX22+BB22</f>
        <v>#VALUE!</v>
      </c>
      <c r="BC26" s="334"/>
      <c r="BD26" s="296"/>
      <c r="BG26" s="638" t="e">
        <f>BE22+BI22</f>
        <v>#VALUE!</v>
      </c>
      <c r="BH26" s="639" t="e">
        <f>BF22+BJ22</f>
        <v>#VALUE!</v>
      </c>
      <c r="BK26" s="334"/>
      <c r="BL26" s="296"/>
      <c r="BO26" s="638" t="e">
        <f>BM22+BQ22</f>
        <v>#VALUE!</v>
      </c>
      <c r="BP26" s="639" t="e">
        <f>BN22+BR22</f>
        <v>#VALUE!</v>
      </c>
      <c r="BS26" s="334"/>
      <c r="BT26" s="296"/>
      <c r="BW26" s="638" t="e">
        <f>BU22+BY22</f>
        <v>#VALUE!</v>
      </c>
      <c r="BX26" s="639" t="e">
        <f>BV22+BZ22</f>
        <v>#VALUE!</v>
      </c>
      <c r="BZ26" s="596"/>
      <c r="CA26" s="334"/>
    </row>
    <row r="27" spans="1:82" ht="12" customHeight="1" x14ac:dyDescent="0.25">
      <c r="A27" s="426" t="s">
        <v>398</v>
      </c>
      <c r="B27" s="293" t="e">
        <f>IF(NOT(ISBLANK(D27)),D27,DGET('Grid Numbers'!$A$2:$L$4952,'Grid Numbers'!$J$2,$B$66:$H$67))</f>
        <v>#VALUE!</v>
      </c>
      <c r="C27" s="598"/>
      <c r="D27" s="486"/>
      <c r="G27" s="313" t="str">
        <f>IF(ISNUMBER($AG$58),$B$8,"")</f>
        <v/>
      </c>
      <c r="H27" s="312" t="str">
        <f>IF(AND(G28="",G29=""),"",IF($AG$58=1,"NE/NW",IF($AG$58=2,"NW/NW",IF($AG$58=3,"SW/NW",IF($AG$58=4,"SE/NW","")))))</f>
        <v/>
      </c>
      <c r="L27" s="308"/>
      <c r="M27" s="307"/>
      <c r="Q27" s="332" t="str">
        <f>IF(ISNUMBER($AE$58),$B$8,"")</f>
        <v/>
      </c>
      <c r="R27" s="312" t="str">
        <f>IF(AND(Q28="",Q29=""),"",IF($AE$58=1,"NE/NE",IF($AE$58=2,"NW/NE",IF($AE$58=3,"SW/NE",IF($AE$58=4,"SE/NE","")))))</f>
        <v/>
      </c>
      <c r="U27" s="486"/>
      <c r="V27" s="581"/>
      <c r="W27" s="471" t="e">
        <f>IF(NOT(ISBLANK(U27)),U27,DGET('Grid Numbers'!$A$2:$L$4952,'Grid Numbers'!$J$2,$B$74:$H$75))</f>
        <v>#VALUE!</v>
      </c>
      <c r="X27" s="423" t="s">
        <v>398</v>
      </c>
      <c r="AB27" s="593"/>
      <c r="AC27" s="318">
        <v>2</v>
      </c>
      <c r="AD27" s="317" t="s">
        <v>417</v>
      </c>
      <c r="AE27" s="324" t="e">
        <f>IF($AG$27="","",$AG$27-$AY$26)</f>
        <v>#VALUE!</v>
      </c>
      <c r="AF27" s="324" t="e">
        <f>IF($AH$27="","",$AH$27-$AZ$26)</f>
        <v>#VALUE!</v>
      </c>
      <c r="AG27" s="325" t="e">
        <f>IF(AND($AO$24+'SHL Section'!$AI$8&gt;0,$AN$24+'SHL Section'!$AK$8&lt;0),$AG$24+'SHL Section'!$AI$8,"")</f>
        <v>#VALUE!</v>
      </c>
      <c r="AH27" s="325" t="e">
        <f>IF(AND($AO$24+'SHL Section'!$AI$8&gt;0,$AN$24+'SHL Section'!$AK$8&lt;0),$AH$24+'SHL Section'!$AK$8,"")</f>
        <v>#VALUE!</v>
      </c>
      <c r="AI27" s="324" t="e">
        <f>IF($AG$27="","",$BG$26+$AG$27)</f>
        <v>#VALUE!</v>
      </c>
      <c r="AJ27" s="324" t="e">
        <f>IF($AH$27="","",$AH$27+$BH$26)</f>
        <v>#VALUE!</v>
      </c>
      <c r="AK27" s="324" t="e">
        <f>IF($AG$27="","",$AG$27-$AY$26+$BW$26)</f>
        <v>#VALUE!</v>
      </c>
      <c r="AL27" s="324" t="e">
        <f>IF($AH$27="","",$AH$27-$AZ$26+$BX$26)</f>
        <v>#VALUE!</v>
      </c>
      <c r="AM27" s="324" t="e">
        <f>IF($AG$27="","",$AG$27-$BA$22)</f>
        <v>#VALUE!</v>
      </c>
      <c r="AN27" s="324" t="e">
        <f>IF($AH$27="","",AH$27-$BB$22)</f>
        <v>#VALUE!</v>
      </c>
      <c r="AO27" s="324" t="e">
        <f>IF($AG$27="","",$BE$22+$AG$27)</f>
        <v>#VALUE!</v>
      </c>
      <c r="AP27" s="324" t="e">
        <f>IF($AH$27="","",$AH$27+$BF$22)</f>
        <v>#VALUE!</v>
      </c>
      <c r="AQ27" s="324" t="e">
        <f>IF($AG$27="","",$BG$26+$AG$27-$BM$22)</f>
        <v>#VALUE!</v>
      </c>
      <c r="AR27" s="324" t="e">
        <f>IF($AH$27="","",$AH$27+$BH$26-$BN$22)</f>
        <v>#VALUE!</v>
      </c>
      <c r="AS27" s="324" t="e">
        <f>IF($AG$27="","",$AG$27-$AY$26+$BY$22)</f>
        <v>#VALUE!</v>
      </c>
      <c r="AT27" s="324" t="e">
        <f>IF($AH$27="","",$AH$27-$AZ$26+$BZ$22)</f>
        <v>#VALUE!</v>
      </c>
    </row>
    <row r="28" spans="1:82" ht="12" customHeight="1" x14ac:dyDescent="0.25">
      <c r="A28" s="426" t="s">
        <v>410</v>
      </c>
      <c r="B28" s="293" t="e">
        <f>IF(NOT(ISBLANK(D28)),D28,DGET('Grid Numbers'!$A$2:$L$4952,'Grid Numbers'!$K$2,$B$66:$H$67))</f>
        <v>#VALUE!</v>
      </c>
      <c r="C28" s="598"/>
      <c r="D28" s="487"/>
      <c r="G28" s="310" t="str">
        <f>IF(ISNUMBER($AG$58),$I$8,"")</f>
        <v/>
      </c>
      <c r="H28" s="309" t="str">
        <f>IF(ISNUMBER($AG$58),"FNL","")</f>
        <v/>
      </c>
      <c r="J28" s="596"/>
      <c r="K28" s="596"/>
      <c r="L28" s="308"/>
      <c r="M28" s="307"/>
      <c r="Q28" s="310" t="str">
        <f>IF(ISNUMBER($AE$58),$I$8,"")</f>
        <v/>
      </c>
      <c r="R28" s="309" t="str">
        <f>IF(ISNUMBER($AE$58),"FNL","")</f>
        <v/>
      </c>
      <c r="U28" s="487"/>
      <c r="V28" s="581"/>
      <c r="W28" s="471" t="e">
        <f>IF(NOT(ISBLANK(U28)),U28,DGET('Grid Numbers'!$A$2:$L$4952,'Grid Numbers'!$K$2,$B$74:$H$75))</f>
        <v>#VALUE!</v>
      </c>
      <c r="X28" s="423" t="s">
        <v>410</v>
      </c>
      <c r="AB28" s="593"/>
      <c r="AC28" s="318">
        <v>3</v>
      </c>
      <c r="AD28" s="317" t="s">
        <v>417</v>
      </c>
      <c r="AE28" s="324" t="e">
        <f>IF($AI$28="","",$AI$28-$BG$26-$AY$26)</f>
        <v>#VALUE!</v>
      </c>
      <c r="AF28" s="324" t="e">
        <f>IF($AJ$28="","",$AJ$28-$BH$26-$AZ$26)</f>
        <v>#VALUE!</v>
      </c>
      <c r="AG28" s="324" t="e">
        <f>IF($AI$28="","",$AI$28-$BG$26)</f>
        <v>#VALUE!</v>
      </c>
      <c r="AH28" s="324" t="e">
        <f>IF($AJ$28="","",$AJ$28-$BH$26)</f>
        <v>#VALUE!</v>
      </c>
      <c r="AI28" s="325" t="e">
        <f>IF(AND($AO$24+'SHL Section'!$AI$8&lt;0,$AR$24+'SHL Section'!$AK$8&lt;0),$AI$24+'SHL Section'!$AI$8,"")</f>
        <v>#VALUE!</v>
      </c>
      <c r="AJ28" s="325" t="e">
        <f>IF(AND($AO$24+'SHL Section'!$AI$8&lt;0,$AR$24+'SHL Section'!$AK$8&lt;0),$AJ$24+'SHL Section'!$AK$8,"")</f>
        <v>#VALUE!</v>
      </c>
      <c r="AK28" s="324" t="e">
        <f>IF($AI$28="","",$AI$28-$BO$26)</f>
        <v>#VALUE!</v>
      </c>
      <c r="AL28" s="324" t="e">
        <f>IF($AJ$28="","",$AJ$28-$BP$26)</f>
        <v>#VALUE!</v>
      </c>
      <c r="AM28" s="324" t="e">
        <f>IF($AI$28="","",$AI$28-$BG$26-$BA$26)</f>
        <v>#VALUE!</v>
      </c>
      <c r="AN28" s="324" t="e">
        <f>IF($AJ$28="","",$AJ$28-$BH$26-$BB$26)</f>
        <v>#VALUE!</v>
      </c>
      <c r="AO28" s="324" t="e">
        <f>IF($AI$28="","",$AI$28-$BI$26)</f>
        <v>#VALUE!</v>
      </c>
      <c r="AP28" s="324" t="e">
        <f>IF($AJ$28="","",$AJ$28-$BJ$26)</f>
        <v>#VALUE!</v>
      </c>
      <c r="AQ28" s="324" t="e">
        <f>IF($AI$28="","",$AI$28-$BM$26)</f>
        <v>#VALUE!</v>
      </c>
      <c r="AR28" s="324" t="e">
        <f>IF($AJ$28="","",$AJ$28-$BN$26)</f>
        <v>#VALUE!</v>
      </c>
      <c r="AS28" s="324" t="e">
        <f>IF($AI$28="","",$AI$28-$BO$26-$BU$26)</f>
        <v>#VALUE!</v>
      </c>
      <c r="AT28" s="324" t="e">
        <f>IF($AJ$28="","",$AJ$28-$BP$26-$BV$22)</f>
        <v>#VALUE!</v>
      </c>
      <c r="AU28" s="333" t="s">
        <v>418</v>
      </c>
      <c r="AV28" s="645" t="e">
        <f>$AW$19/($AV$19^2+$AW$19^2)^0.5</f>
        <v>#VALUE!</v>
      </c>
      <c r="AW28" s="645"/>
      <c r="AX28" s="645" t="e">
        <f>$AY$19/($AX$19^2+$AY$19^2)^0.5</f>
        <v>#VALUE!</v>
      </c>
      <c r="AY28" s="636"/>
      <c r="AZ28" s="645" t="e">
        <f>$BA$19/($AZ$19^2+$BA$19^2)^0.5</f>
        <v>#VALUE!</v>
      </c>
      <c r="BA28" s="645"/>
      <c r="BB28" s="645" t="e">
        <f>$BC$19/($BB$19^2+$BC$19^2)^0.5</f>
        <v>#VALUE!</v>
      </c>
      <c r="BC28" s="636"/>
      <c r="BD28" s="645" t="e">
        <f>$BD$19/($BD$19^2+$BE$19^2)^0.5</f>
        <v>#VALUE!</v>
      </c>
      <c r="BE28" s="645"/>
      <c r="BF28" s="645" t="e">
        <f>$BF$19/($BF$19^2+$BG$19^2)^0.5</f>
        <v>#VALUE!</v>
      </c>
      <c r="BG28" s="636"/>
      <c r="BH28" s="645" t="e">
        <f>$BH$19/($BH$19^2+$BI$19^2)^0.5</f>
        <v>#VALUE!</v>
      </c>
      <c r="BI28" s="645"/>
      <c r="BJ28" s="645" t="e">
        <f>$BJ$19/($BJ$19^2+$BK$19^2)^0.5</f>
        <v>#VALUE!</v>
      </c>
      <c r="BK28" s="636"/>
      <c r="BL28" s="645" t="e">
        <f>$BM$19/($BL$19^2+$BM$19^2)^0.5</f>
        <v>#VALUE!</v>
      </c>
      <c r="BM28" s="645"/>
      <c r="BN28" s="645" t="e">
        <f>$BO$19/($BN$19^2+$BO$19^2)^0.5</f>
        <v>#VALUE!</v>
      </c>
      <c r="BO28" s="636"/>
      <c r="BP28" s="645" t="e">
        <f>$BQ$19/($BP$19^2+$BQ$19^2)^0.5</f>
        <v>#VALUE!</v>
      </c>
      <c r="BQ28" s="645"/>
      <c r="BR28" s="645" t="e">
        <f>$BS$19/($BR$19^2+$BS$19^2)^0.5</f>
        <v>#VALUE!</v>
      </c>
      <c r="BS28" s="636"/>
      <c r="BT28" s="645" t="e">
        <f>$BT$19/($BT$19^2+$BU$19^2)^0.5</f>
        <v>#VALUE!</v>
      </c>
      <c r="BU28" s="645"/>
      <c r="BV28" s="645" t="e">
        <f>$BV$19/($BV$19^2+$BW$19^2)^0.5</f>
        <v>#VALUE!</v>
      </c>
      <c r="BW28" s="636"/>
      <c r="BX28" s="645" t="e">
        <f>$BX$19/($BX$19^2+$BY$19^2)^0.5</f>
        <v>#VALUE!</v>
      </c>
      <c r="BY28" s="645"/>
      <c r="BZ28" s="645" t="e">
        <f>$BZ$19/($BZ$19^2+$CA$19^2)^0.5</f>
        <v>#VALUE!</v>
      </c>
      <c r="CA28" s="636"/>
    </row>
    <row r="29" spans="1:82" ht="12" customHeight="1" x14ac:dyDescent="0.25">
      <c r="A29" s="426" t="s">
        <v>411</v>
      </c>
      <c r="B29" s="319" t="e">
        <f>IF(NOT(ISBLANK(D29)),D29,DGET('Grid Numbers'!$A$2:$L$4952,'Grid Numbers'!$L$2,$B$66:$H$67))</f>
        <v>#VALUE!</v>
      </c>
      <c r="C29" s="598"/>
      <c r="D29" s="490"/>
      <c r="G29" s="306" t="str">
        <f>IF(ISNUMBER($AG$58),$K$8,"")</f>
        <v/>
      </c>
      <c r="H29" s="305" t="str">
        <f>IF(ISNUMBER($AG$58),"FWL","")</f>
        <v/>
      </c>
      <c r="J29" s="596"/>
      <c r="K29" s="596"/>
      <c r="L29" s="308"/>
      <c r="M29" s="307"/>
      <c r="Q29" s="306" t="str">
        <f>IF(ISNUMBER($AE$58),$K$8,"")</f>
        <v/>
      </c>
      <c r="R29" s="305" t="str">
        <f>IF(ISNUMBER($AE$58),"FEL","")</f>
        <v/>
      </c>
      <c r="U29" s="490"/>
      <c r="V29" s="581"/>
      <c r="W29" s="319" t="e">
        <f>IF(NOT(ISBLANK(U29)),U29,DGET('Grid Numbers'!$A$2:$L$4952,'Grid Numbers'!$L$2,$B$74:$H$75))</f>
        <v>#VALUE!</v>
      </c>
      <c r="X29" s="423" t="s">
        <v>411</v>
      </c>
      <c r="AB29" s="593"/>
      <c r="AC29" s="466">
        <v>4</v>
      </c>
      <c r="AD29" s="591" t="s">
        <v>417</v>
      </c>
      <c r="AE29" s="322" t="e">
        <f>IF($AK$29="","",$AK$29-$BW$26)</f>
        <v>#VALUE!</v>
      </c>
      <c r="AF29" s="322" t="e">
        <f>IF($AL$29="","",$AL$29-$BX$26)</f>
        <v>#VALUE!</v>
      </c>
      <c r="AG29" s="322" t="e">
        <f>IF($AK$29="","",$AK$29+$BO$26-$BG$26)</f>
        <v>#VALUE!</v>
      </c>
      <c r="AH29" s="322" t="e">
        <f>IF($AL$29="","",$AL$29+$BP$26+$BH$26)</f>
        <v>#VALUE!</v>
      </c>
      <c r="AI29" s="322" t="e">
        <f>IF($AK$29="","",$AK$29+$BO$26)</f>
        <v>#VALUE!</v>
      </c>
      <c r="AJ29" s="322" t="e">
        <f>IF($AL$29="","",$AL$29+$BP$26)</f>
        <v>#VALUE!</v>
      </c>
      <c r="AK29" s="323" t="e">
        <f>IF(AND($AS$24+'SHL Section'!$AI$8&lt;0,$AR$24+'SHL Section'!$AK$8&gt;0),$AK$24+'SHL Section'!$AI$8,"")</f>
        <v>#VALUE!</v>
      </c>
      <c r="AL29" s="323" t="e">
        <f>IF(AND($AS$24+'SHL Section'!$AI$8&lt;0,$AR$24+'SHL Section'!$AK$8&gt;0),$AL$24+'SHL Section'!$AK$8,"")</f>
        <v>#VALUE!</v>
      </c>
      <c r="AM29" s="322" t="e">
        <f>IF($AK$29="","",$AK$29-$BW$26+$AW$22)</f>
        <v>#VALUE!</v>
      </c>
      <c r="AN29" s="322" t="e">
        <f>IF($AL$29="","",$AL$29-$BX$26+$AX$22)</f>
        <v>#VALUE!</v>
      </c>
      <c r="AO29" s="322" t="e">
        <f>IF($AK$29="","",$AK$29+$BO$26-$BI$22)</f>
        <v>#VALUE!</v>
      </c>
      <c r="AP29" s="322" t="e">
        <f>IF($AL$29="","",$AL$29+$BP$26-$BJ$22)</f>
        <v>#VALUE!</v>
      </c>
      <c r="AQ29" s="322" t="e">
        <f>IF($AK$29="","",$AK$29+$BQ$22)</f>
        <v>#VALUE!</v>
      </c>
      <c r="AR29" s="322" t="e">
        <f>IF($AL$29="","",$AL$29+$BR$22)</f>
        <v>#VALUE!</v>
      </c>
      <c r="AS29" s="322" t="e">
        <f>IF($AK$29="","",$AK$29-$BU$22)</f>
        <v>#VALUE!</v>
      </c>
      <c r="AT29" s="322" t="e">
        <f>IF($AL$29="","",$AL$29-$BV$22)</f>
        <v>#VALUE!</v>
      </c>
      <c r="AV29" s="636"/>
      <c r="AW29" s="636"/>
      <c r="AX29" s="636"/>
      <c r="AY29" s="636"/>
      <c r="AZ29" s="636"/>
      <c r="BA29" s="636"/>
      <c r="BB29" s="636"/>
      <c r="BC29" s="636"/>
      <c r="BD29" s="636"/>
      <c r="BE29" s="636"/>
      <c r="BF29" s="636"/>
      <c r="BG29" s="636"/>
      <c r="BH29" s="636"/>
      <c r="BI29" s="636"/>
      <c r="BJ29" s="636"/>
      <c r="BK29" s="636"/>
      <c r="BL29" s="636"/>
      <c r="BM29" s="636"/>
      <c r="BN29" s="636"/>
      <c r="BO29" s="636"/>
      <c r="BP29" s="636"/>
      <c r="BQ29" s="636"/>
      <c r="BR29" s="636"/>
      <c r="BS29" s="636"/>
      <c r="BT29" s="636"/>
      <c r="BU29" s="636"/>
      <c r="BV29" s="636"/>
      <c r="BW29" s="636"/>
      <c r="BX29" s="636"/>
      <c r="BY29" s="636"/>
      <c r="BZ29" s="636"/>
      <c r="CA29" s="636"/>
    </row>
    <row r="30" spans="1:82" ht="12" customHeight="1" x14ac:dyDescent="0.25">
      <c r="A30" s="426" t="s">
        <v>412</v>
      </c>
      <c r="B30" s="643" t="e">
        <f>IF(AND($L$38='SHL Section'!$BE$50,MAX('SHL Section'!$BF$37:$BF$40)=4),'SHL Section'!$W$30,IF(AND($L$38='SHL Section'!$BE$53,MAX('SHL Section'!$BF$41:$BF$44)=4),'SHL Section'!$W$30,IF(AND($L$38='SHL Section'!$BE$56,MAX('SHL Section'!$BF$45:$BF$48)=4),'SHL Section'!$W$30,IF(B26="","",IF(OR(B29=1,B29=4),180-(B26+B27/60+B28/3600),180+(B26+B27/60+B28/3600))))))</f>
        <v>#VALUE!</v>
      </c>
      <c r="C30" s="598"/>
      <c r="G30" s="313" t="str">
        <f>IF(ISNUMBER($AG$69),$B$9,"")</f>
        <v/>
      </c>
      <c r="H30" s="312" t="str">
        <f>IF(AND(G31="",G32=""),"",IF($AG$69=1,"NE/NW",IF($AG$69=2,"NW/NW",IF($AG$69=3,"SW/NW",IF($AG$69=4,"SE/NW","")))))</f>
        <v/>
      </c>
      <c r="J30" s="424"/>
      <c r="K30" s="424"/>
      <c r="L30" s="308"/>
      <c r="M30" s="307"/>
      <c r="Q30" s="332" t="str">
        <f>IF(ISNUMBER($AE$69),$B$9,"")</f>
        <v/>
      </c>
      <c r="R30" s="312" t="str">
        <f>IF(AND(Q31="",Q32=""),"",IF($AE$69=1,"NE/NE",IF($AE$69=2,"NW/NE",IF($AE$69=3,"SW/NE",IF($AE$69=4,"SE/NE","")))))</f>
        <v/>
      </c>
      <c r="V30" s="581"/>
      <c r="W30" s="642" t="e">
        <f>IF(AND($L$38='SHL Section'!$BE$50,MAX('SHL Section'!$BF$37:$BF$40)=8),'SHL Section'!$B$30,IF(AND($L$38='SHL Section'!$BE$53,MAX('SHL Section'!$BF$41:$BF$44)=8),'SHL Section'!$B$30,IF(AND($L$38='SHL Section'!$BE$56,MAX('SHL Section'!$BF$45:$BF$48)=8),'SHL Section'!$B$30,IF(W26="","",IF(OR(W29=1,W29=4),180-(W26+W27/60+W28/3600),180+(W26+W27/60+W28/3600))))))</f>
        <v>#VALUE!</v>
      </c>
      <c r="X30" s="423" t="s">
        <v>412</v>
      </c>
      <c r="AB30" s="593"/>
      <c r="AC30" s="762"/>
      <c r="AD30" s="683"/>
      <c r="AE30" s="321" t="str">
        <f>IF(ISNUMBER($AE$26),AE$26,IF(ISNUMBER($AG$27),AE$27,IF(ISNUMBER($AI$28),AE$28,IF(ISNUMBER($AK$29),AE$29,""))))</f>
        <v/>
      </c>
      <c r="AF30" s="321" t="str">
        <f>IF(ISNUMBER($AF$26),AF$26,IF(ISNUMBER($AH$27),AF$27,IF(ISNUMBER($AJ$28),AF$28,IF(ISNUMBER($AL$29),AF$29,""))))</f>
        <v/>
      </c>
      <c r="AG30" s="321" t="str">
        <f>IF(ISNUMBER($AE$26),AG$26,IF(ISNUMBER($AG$27),AG$27,IF(ISNUMBER($AI$28),AG$28,IF(ISNUMBER($AK$29),AG$29,""))))</f>
        <v/>
      </c>
      <c r="AH30" s="321" t="str">
        <f>IF(ISNUMBER($AF$26),AH$26,IF(ISNUMBER($AH$27),AH$27,IF(ISNUMBER($AJ$28),AH$28,IF(ISNUMBER($AL$29),AH$29,""))))</f>
        <v/>
      </c>
      <c r="AI30" s="321" t="str">
        <f>IF(ISNUMBER($AE$26),AI$26,IF(ISNUMBER($AG$27),AI$27,IF(ISNUMBER($AI$28),AI$28,IF(ISNUMBER($AK$29),AI$29,""))))</f>
        <v/>
      </c>
      <c r="AJ30" s="321" t="str">
        <f>IF(ISNUMBER($AF$26),AJ$26,IF(ISNUMBER($AH$27),AJ$27,IF(ISNUMBER($AJ$28),AJ$28,IF(ISNUMBER($AL$29),AJ$29,""))))</f>
        <v/>
      </c>
      <c r="AK30" s="321" t="str">
        <f>IF(ISNUMBER($AE$26),AK$26,IF(ISNUMBER($AG$27),AK$27,IF(ISNUMBER($AI$28),AK$28,IF(ISNUMBER($AK$29),AK$29,""))))</f>
        <v/>
      </c>
      <c r="AL30" s="321" t="str">
        <f>IF(ISNUMBER($AF$26),AL$26,IF(ISNUMBER($AH$27),AL$27,IF(ISNUMBER($AJ$28),AL$28,IF(ISNUMBER($AL$29),AL$29,""))))</f>
        <v/>
      </c>
      <c r="AM30" s="321" t="str">
        <f>IF(ISNUMBER($AE$26),AM$26,IF(ISNUMBER($AG$27),AM$27,IF(ISNUMBER($AI$28),AM$28,IF(ISNUMBER($AK$29),AM$29,""))))</f>
        <v/>
      </c>
      <c r="AN30" s="321" t="str">
        <f>IF(ISNUMBER($AF$26),AN$26,IF(ISNUMBER($AH$27),AN$27,IF(ISNUMBER($AJ$28),AN$28,IF(ISNUMBER($AL$29),AN$29,""))))</f>
        <v/>
      </c>
      <c r="AO30" s="321" t="str">
        <f>IF(ISNUMBER($AE$26),AO$26,IF(ISNUMBER($AG$27),AO$27,IF(ISNUMBER($AI$28),AO$28,IF(ISNUMBER($AK$29),AO$29,""))))</f>
        <v/>
      </c>
      <c r="AP30" s="321" t="str">
        <f>IF(ISNUMBER($AF$26),AP$26,IF(ISNUMBER($AH$27),AP$27,IF(ISNUMBER($AJ$28),AP$28,IF(ISNUMBER($AL$29),AP$29,""))))</f>
        <v/>
      </c>
      <c r="AQ30" s="321" t="str">
        <f>IF(ISNUMBER($AE$26),AQ$26,IF(ISNUMBER($AG$27),AQ$27,IF(ISNUMBER($AI$28),AQ$28,IF(ISNUMBER($AK$29),AQ$29,""))))</f>
        <v/>
      </c>
      <c r="AR30" s="321" t="str">
        <f>IF(ISNUMBER($AF$26),AR$26,IF(ISNUMBER($AH$27),AR$27,IF(ISNUMBER($AJ$28),AR$28,IF(ISNUMBER($AL$29),AR$29,""))))</f>
        <v/>
      </c>
      <c r="AS30" s="321" t="str">
        <f>IF(ISNUMBER($AE$26),AS$26,IF(ISNUMBER($AG$27),AS$27,IF(ISNUMBER($AI$28),AS$28,IF(ISNUMBER($AK$29),AS$29,""))))</f>
        <v/>
      </c>
      <c r="AT30" s="321" t="str">
        <f>IF(ISNUMBER($AF$26),AT$26,IF(ISNUMBER($AH$27),AT$27,IF(ISNUMBER($AJ$28),AT$28,IF(ISNUMBER($AL$29),AT$29,""))))</f>
        <v/>
      </c>
      <c r="AV30" s="636"/>
      <c r="AW30" s="636"/>
      <c r="AX30" s="636"/>
      <c r="AY30" s="636"/>
      <c r="AZ30" s="636"/>
      <c r="BA30" s="636"/>
      <c r="BB30" s="636"/>
      <c r="BC30" s="636"/>
      <c r="BD30" s="636"/>
      <c r="BE30" s="636"/>
      <c r="BF30" s="636"/>
      <c r="BG30" s="636"/>
      <c r="BH30" s="636"/>
      <c r="BI30" s="636"/>
      <c r="BJ30" s="636"/>
      <c r="BK30" s="636"/>
      <c r="BL30" s="636"/>
      <c r="BM30" s="636"/>
      <c r="BN30" s="636"/>
      <c r="BO30" s="636"/>
      <c r="BP30" s="636"/>
      <c r="BQ30" s="636"/>
      <c r="BR30" s="636"/>
      <c r="BS30" s="636"/>
      <c r="BT30" s="636"/>
      <c r="BU30" s="636"/>
      <c r="BV30" s="636"/>
      <c r="BW30" s="636"/>
      <c r="BX30" s="636"/>
      <c r="BY30" s="636"/>
      <c r="BZ30" s="636"/>
      <c r="CA30" s="636"/>
    </row>
    <row r="31" spans="1:82" ht="12" customHeight="1" x14ac:dyDescent="0.25">
      <c r="C31" s="598"/>
      <c r="G31" s="310" t="str">
        <f>IF(ISNUMBER($AG$69),$I$9,"")</f>
        <v/>
      </c>
      <c r="H31" s="309" t="str">
        <f>IF(ISNUMBER($AG$69),"FNL","")</f>
        <v/>
      </c>
      <c r="J31" s="424"/>
      <c r="K31" s="424"/>
      <c r="L31" s="308"/>
      <c r="M31" s="307"/>
      <c r="Q31" s="310" t="str">
        <f>IF(ISNUMBER($AE$69),$I$9,"")</f>
        <v/>
      </c>
      <c r="R31" s="309" t="str">
        <f>IF(ISNUMBER($AE$69),"FNL","")</f>
        <v/>
      </c>
      <c r="V31" s="581"/>
      <c r="AB31" s="593"/>
      <c r="AC31" s="330"/>
      <c r="AD31" s="329"/>
      <c r="AE31" s="328"/>
      <c r="AF31" s="328"/>
      <c r="AG31" s="328"/>
      <c r="AH31" s="328"/>
      <c r="AI31" s="328"/>
      <c r="AJ31" s="328"/>
      <c r="AK31" s="328"/>
      <c r="AL31" s="328"/>
      <c r="AM31" s="328"/>
      <c r="AN31" s="328"/>
      <c r="AO31" s="328"/>
      <c r="AP31" s="328"/>
      <c r="AQ31" s="328"/>
      <c r="AR31" s="328"/>
      <c r="AS31" s="328"/>
      <c r="AT31" s="328"/>
      <c r="AV31" s="636"/>
      <c r="AW31" s="636"/>
      <c r="AX31" s="636"/>
      <c r="AY31" s="636"/>
      <c r="AZ31" s="636"/>
      <c r="BA31" s="636"/>
      <c r="BB31" s="636"/>
      <c r="BC31" s="636"/>
      <c r="BD31" s="636"/>
      <c r="BE31" s="636"/>
      <c r="BF31" s="636"/>
      <c r="BG31" s="636"/>
      <c r="BH31" s="636"/>
      <c r="BI31" s="636"/>
      <c r="BJ31" s="636"/>
      <c r="BK31" s="636"/>
      <c r="BL31" s="636"/>
      <c r="BM31" s="636"/>
      <c r="BN31" s="636"/>
      <c r="BO31" s="636"/>
      <c r="BP31" s="636"/>
      <c r="BQ31" s="636"/>
      <c r="BR31" s="636"/>
      <c r="BS31" s="636"/>
      <c r="BT31" s="636"/>
      <c r="BU31" s="636"/>
      <c r="BV31" s="636"/>
      <c r="BW31" s="636"/>
      <c r="BX31" s="636"/>
      <c r="BY31" s="636"/>
      <c r="BZ31" s="636"/>
      <c r="CA31" s="636"/>
    </row>
    <row r="32" spans="1:82" ht="12" customHeight="1" x14ac:dyDescent="0.25">
      <c r="B32" s="417" t="e">
        <f>B33</f>
        <v>#VALUE!</v>
      </c>
      <c r="C32" s="598"/>
      <c r="F32" s="596"/>
      <c r="G32" s="306" t="str">
        <f>IF(ISNUMBER($AG$69),$K$9,"")</f>
        <v/>
      </c>
      <c r="H32" s="305" t="str">
        <f>IF(ISNUMBER($AG$69),"FWL","")</f>
        <v/>
      </c>
      <c r="I32" s="425"/>
      <c r="J32" s="424"/>
      <c r="K32" s="424"/>
      <c r="L32" s="308"/>
      <c r="M32" s="307"/>
      <c r="Q32" s="306" t="str">
        <f>IF(ISNUMBER($AE$69),$K$9,"")</f>
        <v/>
      </c>
      <c r="R32" s="305" t="str">
        <f>IF(ISNUMBER($AE$69),"FEL","")</f>
        <v/>
      </c>
      <c r="V32" s="581"/>
      <c r="W32" s="425" t="e">
        <f>W33</f>
        <v>#VALUE!</v>
      </c>
      <c r="AB32" s="593"/>
      <c r="AC32" s="318">
        <v>1</v>
      </c>
      <c r="AD32" s="317" t="s">
        <v>419</v>
      </c>
      <c r="AE32" s="325" t="e">
        <f>IF(AND($AS$24+'SHL Section'!$AI$9&gt;0,$AN$24+'SHL Section'!$AK$9&gt;0),$AE$24+'SHL Section'!$AI$9,"")</f>
        <v>#VALUE!</v>
      </c>
      <c r="AF32" s="325" t="e">
        <f>IF(AND($AS$24+'SHL Section'!$AI$9&gt;0,$AN$24+'SHL Section'!$AK$9&gt;0),$AF$24+'SHL Section'!$AK$9,"")</f>
        <v>#VALUE!</v>
      </c>
      <c r="AG32" s="324" t="e">
        <f>IF($AE$32="","",$AY$26+$AE$32)</f>
        <v>#VALUE!</v>
      </c>
      <c r="AH32" s="324" t="e">
        <f>IF($AF$32="","",$AZ$26+$AF$32)</f>
        <v>#VALUE!</v>
      </c>
      <c r="AI32" s="324" t="e">
        <f>IF($AE$32="","",$BG$26+$AY$26+$AE$32)</f>
        <v>#VALUE!</v>
      </c>
      <c r="AJ32" s="324" t="e">
        <f>IF($AF$32="","",$AZ$26+$BH$26+$AF$32)</f>
        <v>#VALUE!</v>
      </c>
      <c r="AK32" s="324" t="e">
        <f>IF($AE$32="","",$BW$26+$AE$32)</f>
        <v>#VALUE!</v>
      </c>
      <c r="AL32" s="324" t="e">
        <f>IF($AF$32="","",$AF$32+$BX$26)</f>
        <v>#VALUE!</v>
      </c>
      <c r="AM32" s="324" t="e">
        <f>IF($AE$32="","",$AW$22+$AE$32)</f>
        <v>#VALUE!</v>
      </c>
      <c r="AN32" s="324" t="e">
        <f>IF($AF$32="","",$AX$22+$AF$32)</f>
        <v>#VALUE!</v>
      </c>
      <c r="AO32" s="324" t="e">
        <f>IF($AE$32="","",$AY$26+$AE$32+$BE$22)</f>
        <v>#VALUE!</v>
      </c>
      <c r="AP32" s="324" t="e">
        <f>IF($AF$32="","",$AZ$26+$AF$32+$BF$22)</f>
        <v>#VALUE!</v>
      </c>
      <c r="AQ32" s="324" t="e">
        <f>IF($AE$32="","",$BW$26+$AE$32+$BQ$22)</f>
        <v>#VALUE!</v>
      </c>
      <c r="AR32" s="324" t="e">
        <f>IF($AF$32="","",$AF$32+$BX$26+$BR$22)</f>
        <v>#VALUE!</v>
      </c>
      <c r="AS32" s="324" t="e">
        <f>IF($AE$32="","",$BY$22+$AE$32)</f>
        <v>#VALUE!</v>
      </c>
      <c r="AT32" s="324" t="e">
        <f>IF($AF$32="","",$AF$32+$BZ$22)</f>
        <v>#VALUE!</v>
      </c>
      <c r="AV32" s="636"/>
      <c r="AW32" s="636"/>
      <c r="AX32" s="636"/>
      <c r="AY32" s="636"/>
      <c r="AZ32" s="636"/>
      <c r="BA32" s="636"/>
      <c r="BB32" s="636"/>
      <c r="BC32" s="636"/>
      <c r="BD32" s="636"/>
      <c r="BE32" s="636"/>
      <c r="BF32" s="636"/>
      <c r="BG32" s="636"/>
      <c r="BH32" s="636"/>
      <c r="BI32" s="636"/>
      <c r="BJ32" s="636"/>
      <c r="BK32" s="636"/>
      <c r="BL32" s="636"/>
      <c r="BM32" s="636"/>
      <c r="BN32" s="636"/>
      <c r="BO32" s="636"/>
      <c r="BP32" s="636"/>
      <c r="BQ32" s="636"/>
      <c r="BR32" s="636"/>
      <c r="BS32" s="636"/>
      <c r="BT32" s="636"/>
      <c r="BU32" s="636"/>
      <c r="BV32" s="636"/>
      <c r="BW32" s="636"/>
      <c r="BX32" s="636"/>
      <c r="BY32" s="636"/>
      <c r="BZ32" s="636"/>
      <c r="CA32" s="636"/>
    </row>
    <row r="33" spans="1:79" ht="12" customHeight="1" x14ac:dyDescent="0.25">
      <c r="A33" s="426" t="s">
        <v>385</v>
      </c>
      <c r="B33" s="301" t="e">
        <f>IF(NOT(ISBLANK(D33)),D33,DGET('Grid Numbers'!$A$2:$L$4952,'Grid Numbers'!$H$2,$B$68:$H$69))</f>
        <v>#VALUE!</v>
      </c>
      <c r="C33" s="598"/>
      <c r="D33" s="486"/>
      <c r="G33" s="313" t="str">
        <f>IF(ISNUMBER($AG$80),$B$10,"")</f>
        <v/>
      </c>
      <c r="H33" s="312" t="str">
        <f>IF(AND(G34="",G35=""),"",IF($AG$80=1,"NE/NW",IF($AG$80=2,"NW/NW",IF($AG$80=3,"SW/NW",IF($AG$80=4,"SE/NW","")))))</f>
        <v/>
      </c>
      <c r="J33" s="424"/>
      <c r="K33" s="424"/>
      <c r="L33" s="308"/>
      <c r="M33" s="307"/>
      <c r="Q33" s="332" t="str">
        <f>IF(ISNUMBER($AE$80),$B$10,"")</f>
        <v/>
      </c>
      <c r="R33" s="312" t="str">
        <f>IF(AND(Q34="",Q35=""),"",IF($AE$80=1,"NE/NE",IF($AE$80=2,"NW/NE",IF($AE$80=3,"SW/NE",IF($AE$80=4,"SE/NE","")))))</f>
        <v/>
      </c>
      <c r="S33" s="425"/>
      <c r="T33" s="424"/>
      <c r="U33" s="486"/>
      <c r="V33" s="581"/>
      <c r="W33" s="301" t="e">
        <f>IF(NOT(ISBLANK(U33)),U33,DGET('Grid Numbers'!$A$2:$L$4952,'Grid Numbers'!$H$2,$B$76:$H$77))</f>
        <v>#VALUE!</v>
      </c>
      <c r="X33" s="423" t="s">
        <v>385</v>
      </c>
      <c r="AB33" s="593"/>
      <c r="AC33" s="318">
        <v>2</v>
      </c>
      <c r="AD33" s="317" t="s">
        <v>419</v>
      </c>
      <c r="AE33" s="324" t="e">
        <f>IF($AG$33="","",$AG$33-$AY$26)</f>
        <v>#VALUE!</v>
      </c>
      <c r="AF33" s="324" t="e">
        <f>IF($AH$33="","",$AH$33-$AZ$26)</f>
        <v>#VALUE!</v>
      </c>
      <c r="AG33" s="325" t="e">
        <f>IF(AND($AO$24+'SHL Section'!$AI$9&gt;0,$AN$24+'SHL Section'!$AK$9&lt;0),$AG$24+'SHL Section'!$AI$9,"")</f>
        <v>#VALUE!</v>
      </c>
      <c r="AH33" s="325" t="e">
        <f>IF(AND($AO$24+'SHL Section'!$AI$9&gt;0,$AN$24+'SHL Section'!$AK$9&lt;0),$AH$24+'SHL Section'!$AK$9,"")</f>
        <v>#VALUE!</v>
      </c>
      <c r="AI33" s="324" t="e">
        <f>IF($AG$33="","",$BG$26+$AG$33)</f>
        <v>#VALUE!</v>
      </c>
      <c r="AJ33" s="324" t="e">
        <f>IF($AH$33="","",$AH$33+$BH$26)</f>
        <v>#VALUE!</v>
      </c>
      <c r="AK33" s="324" t="e">
        <f>IF($AG$33="","",$AG$33-$AY$26+$BW$26)</f>
        <v>#VALUE!</v>
      </c>
      <c r="AL33" s="324" t="e">
        <f>IF($AH$33="","",$AH$33-$AZ$26+$BX$26)</f>
        <v>#VALUE!</v>
      </c>
      <c r="AM33" s="324" t="e">
        <f>IF($AG$33="","",$AG$33-$BA$22)</f>
        <v>#VALUE!</v>
      </c>
      <c r="AN33" s="324" t="e">
        <f>IF($AH$33="","",AH$33-$BB$22)</f>
        <v>#VALUE!</v>
      </c>
      <c r="AO33" s="324" t="e">
        <f>IF($AG$33="","",$BE$22+$AG$33)</f>
        <v>#VALUE!</v>
      </c>
      <c r="AP33" s="324" t="e">
        <f>IF($AH$33="","",$AH$33+$BF$22)</f>
        <v>#VALUE!</v>
      </c>
      <c r="AQ33" s="324" t="e">
        <f>IF($AG$33="","",$BG$26+$AG$33-$BM$22)</f>
        <v>#VALUE!</v>
      </c>
      <c r="AR33" s="324" t="e">
        <f>IF($AH$33="","",$AH$33+$BH$26-$BN$22)</f>
        <v>#VALUE!</v>
      </c>
      <c r="AS33" s="324" t="e">
        <f>IF($AG$33="","",$AG$33-$AY$26+$BY$22)</f>
        <v>#VALUE!</v>
      </c>
      <c r="AT33" s="324" t="e">
        <f>IF($AH$33="","",$AH$33-$AZ$26+$BZ$22)</f>
        <v>#VALUE!</v>
      </c>
    </row>
    <row r="34" spans="1:79" ht="12" customHeight="1" x14ac:dyDescent="0.25">
      <c r="A34" s="426" t="s">
        <v>395</v>
      </c>
      <c r="B34" s="294" t="e">
        <f>IF(NOT(ISBLANK(D34)),D34,DGET('Grid Numbers'!$A$2:$L$4952,'Grid Numbers'!$I$2,$B$68:$H$69))</f>
        <v>#VALUE!</v>
      </c>
      <c r="C34" s="598"/>
      <c r="D34" s="486"/>
      <c r="G34" s="310" t="str">
        <f>IF(ISNUMBER($AG$80),$I$10,"")</f>
        <v/>
      </c>
      <c r="H34" s="309" t="str">
        <f>IF(ISNUMBER($AG$80),"FNL","")</f>
        <v/>
      </c>
      <c r="J34" s="424"/>
      <c r="K34" s="424"/>
      <c r="L34" s="308"/>
      <c r="M34" s="307"/>
      <c r="Q34" s="310" t="str">
        <f>IF(ISNUMBER($AE$80),$I$10,"")</f>
        <v/>
      </c>
      <c r="R34" s="309" t="str">
        <f>IF(ISNUMBER($AE$80),"FNL","")</f>
        <v/>
      </c>
      <c r="S34" s="425"/>
      <c r="T34" s="424"/>
      <c r="U34" s="486"/>
      <c r="V34" s="581"/>
      <c r="W34" s="469" t="e">
        <f>IF(NOT(ISBLANK(U34)),U34,DGET('Grid Numbers'!$A$2:$L$4952,'Grid Numbers'!$I$2,$B$76:$H$77))</f>
        <v>#VALUE!</v>
      </c>
      <c r="X34" s="423" t="s">
        <v>395</v>
      </c>
      <c r="AB34" s="593"/>
      <c r="AC34" s="318">
        <v>3</v>
      </c>
      <c r="AD34" s="317" t="s">
        <v>419</v>
      </c>
      <c r="AE34" s="324" t="e">
        <f>IF($AI$34="","",$AI$34-$BG$26-$AY$26)</f>
        <v>#VALUE!</v>
      </c>
      <c r="AF34" s="326" t="e">
        <f>IF($AJ$34="","",$AJ$34-$BH$26-$AZ$26)</f>
        <v>#VALUE!</v>
      </c>
      <c r="AG34" s="324" t="e">
        <f>IF($AI$34="","",$AI$34-$BG$26)</f>
        <v>#VALUE!</v>
      </c>
      <c r="AH34" s="324" t="e">
        <f>IF($AJ$34="","",$AJ$34-$BH$26)</f>
        <v>#VALUE!</v>
      </c>
      <c r="AI34" s="325" t="e">
        <f>IF(AND($AO$24+'SHL Section'!$AI$9&lt;0,$AR$24+'SHL Section'!$AK$9&lt;0),$AI$24+'SHL Section'!$AI$9,"")</f>
        <v>#VALUE!</v>
      </c>
      <c r="AJ34" s="325" t="e">
        <f>IF(AND($AO$24+'SHL Section'!$AI$9&lt;0,$AR$24+'SHL Section'!$AK$9&lt;0),$AJ$24+'SHL Section'!$AK$9,"")</f>
        <v>#VALUE!</v>
      </c>
      <c r="AK34" s="324" t="e">
        <f>IF($AI$34="","",$AI$34-$BO$26)</f>
        <v>#VALUE!</v>
      </c>
      <c r="AL34" s="324" t="e">
        <f>IF($AJ$34="","",$AJ$34-$BP$26)</f>
        <v>#VALUE!</v>
      </c>
      <c r="AM34" s="324" t="e">
        <f>IF($AI$34="","",$AI$34-$BG$26-$BA$26)</f>
        <v>#VALUE!</v>
      </c>
      <c r="AN34" s="324" t="e">
        <f>IF($AJ$34="","",$AJ$34-$BH$26-$BB$26)</f>
        <v>#VALUE!</v>
      </c>
      <c r="AO34" s="324" t="e">
        <f>IF($AI$34="","",$AI$34-$BI$26)</f>
        <v>#VALUE!</v>
      </c>
      <c r="AP34" s="324" t="e">
        <f>IF($AJ$34="","",$AJ$34-$BJ$26)</f>
        <v>#VALUE!</v>
      </c>
      <c r="AQ34" s="324" t="e">
        <f>IF($AI$34="","",$AI$34-$BM$26)</f>
        <v>#VALUE!</v>
      </c>
      <c r="AR34" s="324" t="e">
        <f>IF($AJ$34="","",$AJ$34-$BN$26)</f>
        <v>#VALUE!</v>
      </c>
      <c r="AS34" s="324" t="e">
        <f>IF($AI$34="","",$AI$34-$BO$26-$BU$26)</f>
        <v>#VALUE!</v>
      </c>
      <c r="AT34" s="324" t="e">
        <f>IF($AJ$34="","",$AJ$34-$BP$26-$BV$22)</f>
        <v>#VALUE!</v>
      </c>
      <c r="BZ34" s="596"/>
      <c r="CA34" s="596"/>
    </row>
    <row r="35" spans="1:79" ht="12" customHeight="1" x14ac:dyDescent="0.25">
      <c r="A35" s="426" t="s">
        <v>398</v>
      </c>
      <c r="B35" s="294" t="e">
        <f>IF(NOT(ISBLANK(D35)),D35,DGET('Grid Numbers'!$A$2:$L$4952,'Grid Numbers'!$J$2,$B$68:$H$69))</f>
        <v>#VALUE!</v>
      </c>
      <c r="C35" s="598"/>
      <c r="D35" s="486"/>
      <c r="G35" s="306" t="str">
        <f>IF(ISNUMBER($AG$80),$K$10,"")</f>
        <v/>
      </c>
      <c r="H35" s="305" t="str">
        <f>IF(ISNUMBER($AG$80),"FWL","")</f>
        <v/>
      </c>
      <c r="J35" s="424"/>
      <c r="K35" s="424"/>
      <c r="L35" s="308"/>
      <c r="M35" s="307"/>
      <c r="Q35" s="306" t="str">
        <f>IF(ISNUMBER($AE$80),$K$10,"")</f>
        <v/>
      </c>
      <c r="R35" s="305" t="str">
        <f>IF(ISNUMBER($AE$80),"FEL","")</f>
        <v/>
      </c>
      <c r="S35" s="425"/>
      <c r="T35" s="424"/>
      <c r="U35" s="486"/>
      <c r="V35" s="581"/>
      <c r="W35" s="469" t="e">
        <f>IF(NOT(ISBLANK(U35)),U35,DGET('Grid Numbers'!$A$2:$L$4952,'Grid Numbers'!$J$2,$B$76:$H$77))</f>
        <v>#VALUE!</v>
      </c>
      <c r="X35" s="423" t="s">
        <v>398</v>
      </c>
      <c r="AB35" s="292"/>
      <c r="AC35" s="466">
        <v>4</v>
      </c>
      <c r="AD35" s="591" t="s">
        <v>419</v>
      </c>
      <c r="AE35" s="322" t="e">
        <f>IF($AK$35="","",$AK$35-$BW$26)</f>
        <v>#VALUE!</v>
      </c>
      <c r="AF35" s="322" t="e">
        <f>IF($AL$35="","",$AL$35-$BX$26)</f>
        <v>#VALUE!</v>
      </c>
      <c r="AG35" s="322" t="e">
        <f>IF($AK$35="","",$AK$35+$BO$26-$BG$26)</f>
        <v>#VALUE!</v>
      </c>
      <c r="AH35" s="322" t="e">
        <f>IF($AL$35="","",$AL$35+$BP$26+$BH$26)</f>
        <v>#VALUE!</v>
      </c>
      <c r="AI35" s="322" t="e">
        <f>IF($AK$35="","",$AK$35+$BO$26)</f>
        <v>#VALUE!</v>
      </c>
      <c r="AJ35" s="322" t="e">
        <f>IF($AL$35="","",$AL$35+$BP$26)</f>
        <v>#VALUE!</v>
      </c>
      <c r="AK35" s="323" t="e">
        <f>IF(AND($AS$24+'SHL Section'!$AI$9&lt;0,$AR$24+'SHL Section'!$AK$9&gt;0),$AK$24+'SHL Section'!$AI$9,"")</f>
        <v>#VALUE!</v>
      </c>
      <c r="AL35" s="323" t="e">
        <f>IF(AND($AS$24+'SHL Section'!$AI$9&lt;0,$AR$24+'SHL Section'!$AK$9&gt;0),$AL$24+'SHL Section'!$AK$9,"")</f>
        <v>#VALUE!</v>
      </c>
      <c r="AM35" s="322" t="e">
        <f>IF($AK$35="","",$AK$35-$BW$26+$AW$22)</f>
        <v>#VALUE!</v>
      </c>
      <c r="AN35" s="322" t="e">
        <f>IF($AL$35="","",$AL$35-$BX$26+$AX$22)</f>
        <v>#VALUE!</v>
      </c>
      <c r="AO35" s="322" t="e">
        <f>IF($AK$35="","",$AK$35+$BO$26-$BI$22)</f>
        <v>#VALUE!</v>
      </c>
      <c r="AP35" s="322" t="e">
        <f>IF($AL$35="","",$AL$35+$BP$26-$BJ$22)</f>
        <v>#VALUE!</v>
      </c>
      <c r="AQ35" s="322" t="e">
        <f>IF($AK$35="","",$AK$35+$BQ$22)</f>
        <v>#VALUE!</v>
      </c>
      <c r="AR35" s="322" t="e">
        <f>IF($AL$35="","",$AL$35+$BR$22)</f>
        <v>#VALUE!</v>
      </c>
      <c r="AS35" s="322" t="e">
        <f>IF($AK$35="","",$AK$35-$BU$22)</f>
        <v>#VALUE!</v>
      </c>
      <c r="AT35" s="322" t="e">
        <f>IF($AL$35="","",$AL$35-$BV$22)</f>
        <v>#VALUE!</v>
      </c>
      <c r="BG35" s="317">
        <v>1</v>
      </c>
      <c r="BH35" s="317">
        <v>2</v>
      </c>
      <c r="BI35" s="317">
        <v>3</v>
      </c>
      <c r="BJ35" s="317">
        <v>4</v>
      </c>
      <c r="BK35" s="317">
        <v>5</v>
      </c>
      <c r="BL35" s="317">
        <v>6</v>
      </c>
      <c r="BM35" s="317">
        <v>7</v>
      </c>
      <c r="BN35" s="317">
        <v>8</v>
      </c>
      <c r="BO35" s="317">
        <v>9</v>
      </c>
      <c r="BZ35" s="596"/>
      <c r="CA35" s="596"/>
    </row>
    <row r="36" spans="1:79" ht="12" customHeight="1" x14ac:dyDescent="0.25">
      <c r="A36" s="426" t="s">
        <v>410</v>
      </c>
      <c r="B36" s="294" t="e">
        <f>IF(NOT(ISBLANK(D36)),D36,DGET('Grid Numbers'!$A$2:$L$4952,'Grid Numbers'!$K$2,$B$68:$H$69))</f>
        <v>#VALUE!</v>
      </c>
      <c r="C36" s="598"/>
      <c r="D36" s="487"/>
      <c r="J36" s="424"/>
      <c r="K36" s="424"/>
      <c r="L36" s="308"/>
      <c r="M36" s="307"/>
      <c r="S36" s="425"/>
      <c r="T36" s="424"/>
      <c r="U36" s="487"/>
      <c r="V36" s="581"/>
      <c r="W36" s="469" t="e">
        <f>IF(NOT(ISBLANK(U36)),U36,DGET('Grid Numbers'!$A$2:$L$4952,'Grid Numbers'!$K$2,$B$76:$H$77))</f>
        <v>#VALUE!</v>
      </c>
      <c r="X36" s="423" t="s">
        <v>410</v>
      </c>
      <c r="AB36" s="292"/>
      <c r="AC36" s="762"/>
      <c r="AD36" s="683"/>
      <c r="AE36" s="321" t="str">
        <f>IF(ISNUMBER($AE$32),AE$32,IF(ISNUMBER($AG$33),AE$33,IF(ISNUMBER($AI$34),AE$34,IF(ISNUMBER($AK$35),AE$35,""))))</f>
        <v/>
      </c>
      <c r="AF36" s="321" t="str">
        <f>IF(ISNUMBER($AF$32),AF$32,IF(ISNUMBER($AH$33),AF$33,IF(ISNUMBER($AJ$34),AF$34,IF(ISNUMBER($AL$35),AF$35,""))))</f>
        <v/>
      </c>
      <c r="AG36" s="321" t="str">
        <f>IF(ISNUMBER($AE$32),AG$32,IF(ISNUMBER($AG$33),AG$33,IF(ISNUMBER($AI$34),AG$34,IF(ISNUMBER($AK$35),AG$35,""))))</f>
        <v/>
      </c>
      <c r="AH36" s="321" t="str">
        <f>IF(ISNUMBER($AF$32),AH$32,IF(ISNUMBER($AH$33),AH$33,IF(ISNUMBER($AJ$34),AH$34,IF(ISNUMBER($AL$35),AH$35,""))))</f>
        <v/>
      </c>
      <c r="AI36" s="321" t="str">
        <f>IF(ISNUMBER($AE$32),AI$32,IF(ISNUMBER($AG$33),AI$33,IF(ISNUMBER($AI$34),AI$34,IF(ISNUMBER($AK$35),AI$35,""))))</f>
        <v/>
      </c>
      <c r="AJ36" s="321" t="str">
        <f>IF(ISNUMBER($AF$32),AJ$32,IF(ISNUMBER($AH$33),AJ$33,IF(ISNUMBER($AJ$34),AJ$34,IF(ISNUMBER($AL$35),AJ$35,""))))</f>
        <v/>
      </c>
      <c r="AK36" s="321" t="str">
        <f>IF(ISNUMBER($AE$32),AK$32,IF(ISNUMBER($AG$33),AK$33,IF(ISNUMBER($AI$34),AK$34,IF(ISNUMBER($AK$35),AK$35,""))))</f>
        <v/>
      </c>
      <c r="AL36" s="321" t="str">
        <f>IF(ISNUMBER($AF$32),AL$32,IF(ISNUMBER($AH$33),AL$33,IF(ISNUMBER($AJ$34),AL$34,IF(ISNUMBER($AL$35),AL$35,""))))</f>
        <v/>
      </c>
      <c r="AM36" s="321" t="str">
        <f>IF(ISNUMBER($AE$32),AM$32,IF(ISNUMBER($AG$33),AM$33,IF(ISNUMBER($AI$34),AM$34,IF(ISNUMBER($AK$35),AM$35,""))))</f>
        <v/>
      </c>
      <c r="AN36" s="321" t="str">
        <f>IF(ISNUMBER($AF$32),AN$32,IF(ISNUMBER($AH$33),AN$33,IF(ISNUMBER($AJ$34),AN$34,IF(ISNUMBER($AL$35),AN$35,""))))</f>
        <v/>
      </c>
      <c r="AO36" s="321" t="str">
        <f>IF(ISNUMBER($AE$32),AO$32,IF(ISNUMBER($AG$33),AO$33,IF(ISNUMBER($AI$34),AO$34,IF(ISNUMBER($AK$35),AO$35,""))))</f>
        <v/>
      </c>
      <c r="AP36" s="321" t="str">
        <f>IF(ISNUMBER($AF$32),AP$32,IF(ISNUMBER($AH$33),AP$33,IF(ISNUMBER($AJ$34),AP$34,IF(ISNUMBER($AL$35),AP$35,""))))</f>
        <v/>
      </c>
      <c r="AQ36" s="321" t="str">
        <f>IF(ISNUMBER($AE$32),AQ$32,IF(ISNUMBER($AG$33),AQ$33,IF(ISNUMBER($AI$34),AQ$34,IF(ISNUMBER($AK$35),AQ$35,""))))</f>
        <v/>
      </c>
      <c r="AR36" s="321" t="str">
        <f>IF(ISNUMBER($AF$32),AR$32,IF(ISNUMBER($AH$33),AR$33,IF(ISNUMBER($AJ$34),AR$34,IF(ISNUMBER($AL$35),AR$35,""))))</f>
        <v/>
      </c>
      <c r="AS36" s="321" t="str">
        <f>IF(ISNUMBER($AE$32),AS$32,IF(ISNUMBER($AG$33),AS$33,IF(ISNUMBER($AI$34),AS$34,IF(ISNUMBER($AK$35),AS$35,""))))</f>
        <v/>
      </c>
      <c r="AT36" s="321" t="str">
        <f>IF(ISNUMBER($AF$32),AT$32,IF(ISNUMBER($AH$33),AT$33,IF(ISNUMBER($AJ$34),AT$34,IF(ISNUMBER($AL$35),AT$35,""))))</f>
        <v/>
      </c>
      <c r="AV36" s="311" t="s">
        <v>186</v>
      </c>
      <c r="AW36" s="311" t="s">
        <v>399</v>
      </c>
      <c r="AX36" s="311" t="s">
        <v>427</v>
      </c>
      <c r="AY36" s="311" t="s">
        <v>12</v>
      </c>
      <c r="AZ36" s="291" t="s">
        <v>422</v>
      </c>
      <c r="BA36" s="311" t="s">
        <v>428</v>
      </c>
      <c r="BB36" s="311" t="s">
        <v>429</v>
      </c>
      <c r="BD36" s="464" t="s">
        <v>396</v>
      </c>
      <c r="BE36" s="331" t="s">
        <v>420</v>
      </c>
      <c r="BF36" s="465" t="s">
        <v>421</v>
      </c>
      <c r="BG36" s="317" t="s">
        <v>399</v>
      </c>
      <c r="BH36" s="317" t="s">
        <v>12</v>
      </c>
      <c r="BI36" s="317" t="s">
        <v>422</v>
      </c>
      <c r="BJ36" s="317" t="s">
        <v>311</v>
      </c>
      <c r="BK36" s="317" t="s">
        <v>423</v>
      </c>
      <c r="BL36" s="317" t="s">
        <v>414</v>
      </c>
      <c r="BM36" s="317" t="s">
        <v>424</v>
      </c>
      <c r="BN36" s="317" t="s">
        <v>413</v>
      </c>
      <c r="BO36" s="317" t="s">
        <v>425</v>
      </c>
      <c r="BZ36" s="596"/>
      <c r="CA36" s="596"/>
    </row>
    <row r="37" spans="1:79" ht="12" customHeight="1" thickBot="1" x14ac:dyDescent="0.3">
      <c r="A37" s="426" t="s">
        <v>411</v>
      </c>
      <c r="B37" s="319" t="e">
        <f>IF(NOT(ISBLANK(D37)),D37,DGET('Grid Numbers'!$A$2:$L$4952,'Grid Numbers'!$L$2,$B$68:$H$69))</f>
        <v>#VALUE!</v>
      </c>
      <c r="C37" s="598"/>
      <c r="D37" s="490"/>
      <c r="J37" s="424"/>
      <c r="K37" s="424"/>
      <c r="L37" s="308"/>
      <c r="M37" s="307"/>
      <c r="O37" s="596"/>
      <c r="P37" s="596"/>
      <c r="S37" s="425"/>
      <c r="T37" s="424"/>
      <c r="U37" s="490"/>
      <c r="V37" s="581"/>
      <c r="W37" s="319" t="e">
        <f>IF(NOT(ISBLANK(U37)),U37,DGET('Grid Numbers'!$A$2:$L$4952,'Grid Numbers'!$L$2,$B$76:$H$77))</f>
        <v>#VALUE!</v>
      </c>
      <c r="X37" s="423" t="s">
        <v>411</v>
      </c>
      <c r="AB37" s="593"/>
      <c r="AC37" s="330"/>
      <c r="AD37" s="329"/>
      <c r="AE37" s="328"/>
      <c r="AF37" s="328"/>
      <c r="AG37" s="328"/>
      <c r="AH37" s="328"/>
      <c r="AI37" s="328"/>
      <c r="AJ37" s="328"/>
      <c r="AK37" s="328"/>
      <c r="AL37" s="328"/>
      <c r="AM37" s="328"/>
      <c r="AN37" s="328"/>
      <c r="AO37" s="328"/>
      <c r="AP37" s="328"/>
      <c r="AQ37" s="328"/>
      <c r="AR37" s="328"/>
      <c r="AS37" s="328"/>
      <c r="AT37" s="328"/>
      <c r="AV37" s="311" t="s">
        <v>187</v>
      </c>
      <c r="AW37" s="311" t="s">
        <v>499</v>
      </c>
      <c r="AX37" s="311" t="s">
        <v>432</v>
      </c>
      <c r="AY37" s="311" t="s">
        <v>414</v>
      </c>
      <c r="AZ37" s="291" t="s">
        <v>425</v>
      </c>
      <c r="BA37" s="311" t="s">
        <v>433</v>
      </c>
      <c r="BB37" s="311" t="s">
        <v>434</v>
      </c>
      <c r="BD37" s="318">
        <v>1</v>
      </c>
      <c r="BE37" s="317" t="s">
        <v>417</v>
      </c>
      <c r="BF37" s="334" t="str">
        <f>IF(AND(MAX($AE$58:$AL$58)&lt;1,ISNUMBER($AE$26), ISNUMBER($AF$26)),IF(AND($AE$26&gt;0,$AF$26&gt;0),3,IF(AND($AE$26&lt;0,IF(-$AE$26&lt;$BZ$19,$AO$62,$AO$65)&lt;0),4,IF(AND(IF(-$AF$26&lt;$AW$19,$AN$62,$AN$63)&lt;0,$AF$26&lt;0),2,""))),"")</f>
        <v/>
      </c>
      <c r="BG37" s="291">
        <v>1</v>
      </c>
      <c r="BH37" s="291">
        <v>36</v>
      </c>
      <c r="BI37" s="291">
        <v>31</v>
      </c>
      <c r="BJ37" s="291">
        <v>6</v>
      </c>
      <c r="BK37" s="291">
        <v>7</v>
      </c>
      <c r="BL37" s="291">
        <v>12</v>
      </c>
      <c r="BM37" s="291">
        <v>11</v>
      </c>
      <c r="BN37" s="291">
        <v>2</v>
      </c>
      <c r="BO37" s="291">
        <v>35</v>
      </c>
      <c r="BZ37" s="596"/>
      <c r="CA37" s="596"/>
    </row>
    <row r="38" spans="1:79" ht="12" customHeight="1" thickBot="1" x14ac:dyDescent="0.3">
      <c r="A38" s="426" t="s">
        <v>412</v>
      </c>
      <c r="B38" s="643" t="e">
        <f>IF(AND($L$38='SHL Section'!$BE$50,MAX('SHL Section'!$BF$37:$BF$40)=4),'SHL Section'!$W$38,IF(AND($L$38='SHL Section'!$BE$53,MAX('SHL Section'!$BF$41:$BF$44)=4),'SHL Section'!$W$38,IF(AND($L$38='SHL Section'!$BE$56,MAX('SHL Section'!$BF$45:$BF$48)=4),'SHL Section'!$W$38,IF(B34="","",IF(OR(B37=1,B37=4),180-(B34+B35/60+B36/3600),180+(B34+B35/60+B36/3600))))))</f>
        <v>#VALUE!</v>
      </c>
      <c r="C38" s="598"/>
      <c r="F38" s="646"/>
      <c r="I38" s="425"/>
      <c r="J38" s="424"/>
      <c r="K38" s="424"/>
      <c r="L38" s="763" t="e">
        <f>IF(NOT('SHL Section'!$BE$50='SHL Section'!$N$7),'SHL Section'!$BE$50,IF(NOT('SHL Section'!$BE$53='SHL Section'!$N$7),'SHL Section'!$BE$53,IF(NOT('SHL Section'!$BE$56='SHL Section'!$N$7),'SHL Section'!$BE$56,"")))</f>
        <v>#VALUE!</v>
      </c>
      <c r="M38" s="706"/>
      <c r="P38" s="646"/>
      <c r="S38" s="425"/>
      <c r="T38" s="424"/>
      <c r="U38" s="593"/>
      <c r="V38" s="581"/>
      <c r="W38" s="642" t="e">
        <f>IF(AND($L$38='SHL Section'!$BE$50,MAX('SHL Section'!$BF$37:$BF$40)=8),'SHL Section'!$B$38,IF(AND($L$38='SHL Section'!$BE$53,MAX('SHL Section'!$BF$41:$BF$44)=8),'SHL Section'!$B$38,IF(AND($L$38='SHL Section'!$BE$56,MAX('SHL Section'!$BF$45:$BF$48)=8),'SHL Section'!$B$38,IF(W34="","",IF(OR(W37=1,W37=4),180-(W34+W35/60+W36/3600),180+(W34+W35/60+W36/3600))))))</f>
        <v>#VALUE!</v>
      </c>
      <c r="X38" s="423" t="s">
        <v>412</v>
      </c>
      <c r="AB38" s="292"/>
      <c r="AC38" s="318">
        <v>1</v>
      </c>
      <c r="AD38" s="317" t="s">
        <v>430</v>
      </c>
      <c r="AE38" s="325" t="e">
        <f>IF(AND($AS$24+'SHL Section'!$AI$10&gt;0,$AN$24+'SHL Section'!$AK$10&gt;0),$AE$24+'SHL Section'!$AI$10,"")</f>
        <v>#VALUE!</v>
      </c>
      <c r="AF38" s="325" t="e">
        <f>IF(AND($AS$24+'SHL Section'!$AI$10&gt;0,$AN$24+'SHL Section'!$AK$10&gt;0),$AF$24+'SHL Section'!$AK$10,"")</f>
        <v>#VALUE!</v>
      </c>
      <c r="AG38" s="324" t="e">
        <f>IF($AE$38="","",$AY$26+$AE$38)</f>
        <v>#VALUE!</v>
      </c>
      <c r="AH38" s="324" t="e">
        <f>IF($AF$38="","",$AZ$26+$AF$38)</f>
        <v>#VALUE!</v>
      </c>
      <c r="AI38" s="324" t="e">
        <f>IF($AE$38="","",$BG$26+$AY$26+$AE$38)</f>
        <v>#VALUE!</v>
      </c>
      <c r="AJ38" s="324" t="e">
        <f>IF($AF$38="","",$AZ$26+$BH$26+$AF$38)</f>
        <v>#VALUE!</v>
      </c>
      <c r="AK38" s="324" t="e">
        <f>IF($AE$38="","",$BW$26+$AE$38)</f>
        <v>#VALUE!</v>
      </c>
      <c r="AL38" s="324" t="e">
        <f>IF($AF$38="","",$AF$38+$BX$26)</f>
        <v>#VALUE!</v>
      </c>
      <c r="AM38" s="324" t="e">
        <f>IF($AE$38="","",$AW$22+$AE$38)</f>
        <v>#VALUE!</v>
      </c>
      <c r="AN38" s="324" t="e">
        <f>IF($AF$38="","",$AX$22+$AF$38)</f>
        <v>#VALUE!</v>
      </c>
      <c r="AO38" s="324" t="e">
        <f>IF($AE$38="","",$AY$26+$AE$38+$BE$22)</f>
        <v>#VALUE!</v>
      </c>
      <c r="AP38" s="324" t="e">
        <f>IF($AF$38="","",$AZ$26+$AF$38+$BF$22)</f>
        <v>#VALUE!</v>
      </c>
      <c r="AQ38" s="324" t="e">
        <f>IF($AE$38="","",$BW$26+$AE$38+$BQ$22)</f>
        <v>#VALUE!</v>
      </c>
      <c r="AR38" s="324" t="e">
        <f>IF($AF$38="","",$AF$38+$BX$26+$BR$22)</f>
        <v>#VALUE!</v>
      </c>
      <c r="AS38" s="324" t="e">
        <f>IF($AE$38="","",$BY$22+$AE$38)</f>
        <v>#VALUE!</v>
      </c>
      <c r="AT38" s="324" t="e">
        <f>IF($AF$38="","",$AF$38+$BZ$22)</f>
        <v>#VALUE!</v>
      </c>
      <c r="AV38" s="311" t="s">
        <v>188</v>
      </c>
      <c r="AW38" s="311" t="s">
        <v>500</v>
      </c>
      <c r="AX38" s="311" t="s">
        <v>436</v>
      </c>
      <c r="AY38" s="311" t="s">
        <v>311</v>
      </c>
      <c r="AZ38" s="291" t="s">
        <v>424</v>
      </c>
      <c r="BA38" s="311"/>
      <c r="BB38" s="311" t="s">
        <v>437</v>
      </c>
      <c r="BD38" s="318">
        <v>2</v>
      </c>
      <c r="BE38" s="317" t="s">
        <v>417</v>
      </c>
      <c r="BF38" s="334" t="str">
        <f>IF(AND(MAX($AE$58:$AL$58)&lt;1,ISNUMBER($AG$27), ISNUMBER($AH$27)),IF(AND(IF($AH$27&lt;$BC$19,$AP$63,$AP$62)&lt;0,$AH$27&gt;0),2,IF(AND($AG$27&gt;0,$AH$27&lt;0),9,IF(AND($AG$27&lt;0,IF(-$AG$27&lt;$BD$19,$AQ$63,$AQ$64)&lt;0),8,""))),"")</f>
        <v/>
      </c>
      <c r="BG38" s="291">
        <v>2</v>
      </c>
      <c r="BH38" s="291">
        <v>35</v>
      </c>
      <c r="BI38" s="291">
        <v>36</v>
      </c>
      <c r="BJ38" s="291">
        <v>1</v>
      </c>
      <c r="BK38" s="291">
        <v>12</v>
      </c>
      <c r="BL38" s="291">
        <v>11</v>
      </c>
      <c r="BM38" s="291">
        <v>10</v>
      </c>
      <c r="BN38" s="291">
        <v>3</v>
      </c>
      <c r="BO38" s="291">
        <v>34</v>
      </c>
      <c r="BZ38" s="596"/>
      <c r="CA38" s="596"/>
    </row>
    <row r="39" spans="1:79" ht="12" customHeight="1" thickBot="1" x14ac:dyDescent="0.3">
      <c r="A39" s="748" t="e">
        <f>CONCATENATE("W QC of ",$L$38)</f>
        <v>#VALUE!</v>
      </c>
      <c r="B39" s="698"/>
      <c r="C39" s="422"/>
      <c r="D39" s="421"/>
      <c r="E39" s="421"/>
      <c r="F39" s="421"/>
      <c r="G39" s="421"/>
      <c r="H39" s="421"/>
      <c r="I39" s="421"/>
      <c r="J39" s="421"/>
      <c r="K39" s="421"/>
      <c r="L39" s="764"/>
      <c r="M39" s="698"/>
      <c r="N39" s="421"/>
      <c r="O39" s="421"/>
      <c r="P39" s="421"/>
      <c r="Q39" s="421"/>
      <c r="R39" s="421"/>
      <c r="S39" s="421"/>
      <c r="T39" s="421"/>
      <c r="U39" s="421"/>
      <c r="V39" s="420"/>
      <c r="W39" s="782" t="e">
        <f>CONCATENATE("E QC of ",$L$38)</f>
        <v>#VALUE!</v>
      </c>
      <c r="X39" s="679"/>
      <c r="AA39" s="593"/>
      <c r="AB39" s="292"/>
      <c r="AC39" s="318">
        <v>2</v>
      </c>
      <c r="AD39" s="317" t="s">
        <v>430</v>
      </c>
      <c r="AE39" s="324" t="e">
        <f>IF($AG$39="","",$AG$39-$AY$26)</f>
        <v>#VALUE!</v>
      </c>
      <c r="AF39" s="324" t="e">
        <f>IF($AH$39="","",$AH$39-$AZ$26)</f>
        <v>#VALUE!</v>
      </c>
      <c r="AG39" s="325" t="e">
        <f>IF(AND($AO$24+'SHL Section'!$AI$10&gt;0,$AN$24+'SHL Section'!$AK$10&lt;0),$AG$24+'SHL Section'!$AI$10,"")</f>
        <v>#VALUE!</v>
      </c>
      <c r="AH39" s="325" t="e">
        <f>IF(AND($AO$24+'SHL Section'!$AI$10&gt;0,$AN$24+'SHL Section'!$AK$10&lt;0),$AH$24+'SHL Section'!$AK$10,"")</f>
        <v>#VALUE!</v>
      </c>
      <c r="AI39" s="324" t="e">
        <f>IF($AG$39="","",$BG$26+$AG$39)</f>
        <v>#VALUE!</v>
      </c>
      <c r="AJ39" s="324" t="e">
        <f>IF($AH$39="","",$AH$39+$BH$26)</f>
        <v>#VALUE!</v>
      </c>
      <c r="AK39" s="324" t="e">
        <f>IF($AG$39="","",$AG$39-$AY$26+$BW$26)</f>
        <v>#VALUE!</v>
      </c>
      <c r="AL39" s="324" t="e">
        <f>IF($AH$39="","",$AH$39-$AZ$26+$BX$26)</f>
        <v>#VALUE!</v>
      </c>
      <c r="AM39" s="324" t="e">
        <f>IF($AG$39="","",$AG$39-$BA$22)</f>
        <v>#VALUE!</v>
      </c>
      <c r="AN39" s="324" t="e">
        <f>IF($AH$39="","",AH$39-$BB$22)</f>
        <v>#VALUE!</v>
      </c>
      <c r="AO39" s="324" t="e">
        <f>IF($AG$39="","",$BE$22+$AG$39)</f>
        <v>#VALUE!</v>
      </c>
      <c r="AP39" s="324" t="e">
        <f>IF($AH$39="","",$AH$39+$BF$22)</f>
        <v>#VALUE!</v>
      </c>
      <c r="AQ39" s="324" t="e">
        <f>IF($AG$39="","",$BG$26+$AG$39-$BM$22)</f>
        <v>#VALUE!</v>
      </c>
      <c r="AR39" s="324" t="e">
        <f>IF($AH$39="","",$AH$39+$BH$26-$BN$22)</f>
        <v>#VALUE!</v>
      </c>
      <c r="AS39" s="324" t="e">
        <f>IF($AG$39="","",$AG$39-$AY$26+$BY$22)</f>
        <v>#VALUE!</v>
      </c>
      <c r="AT39" s="324" t="e">
        <f>IF($AH$39="","",$AH$39-$AZ$26+$BZ$22)</f>
        <v>#VALUE!</v>
      </c>
      <c r="AV39" s="311" t="s">
        <v>189</v>
      </c>
      <c r="AW39" s="311" t="s">
        <v>420</v>
      </c>
      <c r="AX39" s="311" t="s">
        <v>438</v>
      </c>
      <c r="AY39" s="311" t="s">
        <v>413</v>
      </c>
      <c r="AZ39" s="291" t="s">
        <v>423</v>
      </c>
      <c r="BA39" s="311"/>
      <c r="BB39" s="311" t="s">
        <v>439</v>
      </c>
      <c r="BD39" s="318">
        <v>3</v>
      </c>
      <c r="BE39" s="317" t="s">
        <v>417</v>
      </c>
      <c r="BF39" s="334" t="str">
        <f>IF(AND(MAX($AE$58:$AL$58)&lt;1,ISNUMBER($AI$28), ISNUMBER($AJ$28)),IF(AND($AI$28&gt;0,IF($AI$28&lt;$BJ$19,$AS$64,$AS$63)&lt;0),8,IF(AND($AI$28&lt;0,$AJ$28&lt;0),7,IF(AND(IF($AJ$28&lt;$BM$19,$AR$64,$AR$65)&lt;0,$AJ$28&gt;0),6,""))),"")</f>
        <v/>
      </c>
      <c r="BG39" s="291">
        <v>3</v>
      </c>
      <c r="BH39" s="291">
        <v>34</v>
      </c>
      <c r="BI39" s="291">
        <v>35</v>
      </c>
      <c r="BJ39" s="291">
        <v>2</v>
      </c>
      <c r="BK39" s="291">
        <v>11</v>
      </c>
      <c r="BL39" s="291">
        <v>10</v>
      </c>
      <c r="BM39" s="291">
        <v>9</v>
      </c>
      <c r="BN39" s="291">
        <v>4</v>
      </c>
      <c r="BO39" s="291">
        <v>33</v>
      </c>
      <c r="BZ39" s="596"/>
      <c r="CA39" s="596"/>
    </row>
    <row r="40" spans="1:79" ht="12" customHeight="1" x14ac:dyDescent="0.25">
      <c r="A40" s="679"/>
      <c r="B40" s="698"/>
      <c r="C40" s="419"/>
      <c r="D40" s="418"/>
      <c r="E40" s="418"/>
      <c r="F40" s="418"/>
      <c r="G40" s="418"/>
      <c r="H40" s="418"/>
      <c r="I40" s="418"/>
      <c r="J40" s="418"/>
      <c r="K40" s="418"/>
      <c r="L40" s="764"/>
      <c r="M40" s="698"/>
      <c r="N40" s="418"/>
      <c r="O40" s="418"/>
      <c r="P40" s="418"/>
      <c r="Q40" s="418"/>
      <c r="R40" s="418"/>
      <c r="S40" s="418"/>
      <c r="T40" s="418"/>
      <c r="U40" s="418"/>
      <c r="V40" s="581"/>
      <c r="W40" s="764"/>
      <c r="X40" s="679"/>
      <c r="AA40" s="593"/>
      <c r="AB40" s="292"/>
      <c r="AC40" s="318">
        <v>3</v>
      </c>
      <c r="AD40" s="317" t="s">
        <v>430</v>
      </c>
      <c r="AE40" s="324" t="e">
        <f>IF($AI$40="","",$AI$40-$BG$26-$AY$26)</f>
        <v>#VALUE!</v>
      </c>
      <c r="AF40" s="326" t="e">
        <f>IF($AJ$40="","",$AJ$40-$BH$26-$AZ$26)</f>
        <v>#VALUE!</v>
      </c>
      <c r="AG40" s="324" t="e">
        <f>IF($AI$40="","",$AI$40-$BG$26)</f>
        <v>#VALUE!</v>
      </c>
      <c r="AH40" s="324" t="e">
        <f>IF($AJ$40="","",$AJ$40-$BH$26)</f>
        <v>#VALUE!</v>
      </c>
      <c r="AI40" s="325" t="e">
        <f>IF(AND($AO$24+'SHL Section'!$AI$10&lt;0,$AR$24+'SHL Section'!$AK$10&lt;0),$AI$24+'SHL Section'!$AI$10,"")</f>
        <v>#VALUE!</v>
      </c>
      <c r="AJ40" s="325" t="e">
        <f>IF(AND($AO$24+'SHL Section'!$AI$10&lt;0,$AR$24+'SHL Section'!$AK$10&lt;0),$AJ$24+'SHL Section'!$AK$10,"")</f>
        <v>#VALUE!</v>
      </c>
      <c r="AK40" s="324" t="e">
        <f>IF($AI$40="","",$AI$40-$BO$26)</f>
        <v>#VALUE!</v>
      </c>
      <c r="AL40" s="324" t="e">
        <f>IF($AJ$40="","",$AJ$40-$BP$26)</f>
        <v>#VALUE!</v>
      </c>
      <c r="AM40" s="324" t="e">
        <f>IF($AI$40="","",$AI$40-$BG$26-$BA$26)</f>
        <v>#VALUE!</v>
      </c>
      <c r="AN40" s="324" t="e">
        <f>IF($AJ$40="","",$AJ$40-$BH$26-$BB$26)</f>
        <v>#VALUE!</v>
      </c>
      <c r="AO40" s="324" t="e">
        <f>IF($AI$40="","",$AI$40-$BI$26)</f>
        <v>#VALUE!</v>
      </c>
      <c r="AP40" s="324" t="e">
        <f>IF($AJ$40="","",$AJ$40-$BJ$26)</f>
        <v>#VALUE!</v>
      </c>
      <c r="AQ40" s="324" t="e">
        <f>IF($AI$40="","",$AI$40-$BM$26)</f>
        <v>#VALUE!</v>
      </c>
      <c r="AR40" s="324" t="e">
        <f>IF($AJ$40="","",$AJ$40-$BN$26)</f>
        <v>#VALUE!</v>
      </c>
      <c r="AS40" s="324" t="e">
        <f>IF($AI$40="","",$AI$40-$BO$26-$BU$26)</f>
        <v>#VALUE!</v>
      </c>
      <c r="AT40" s="324" t="e">
        <f>IF($AJ$40="","",$AJ$40-$BP$26-$BV$22)</f>
        <v>#VALUE!</v>
      </c>
      <c r="AV40" s="311"/>
      <c r="AW40" s="311"/>
      <c r="AX40" s="311"/>
      <c r="AY40" s="311"/>
      <c r="AZ40" s="311"/>
      <c r="BA40" s="311"/>
      <c r="BB40" s="311" t="s">
        <v>440</v>
      </c>
      <c r="BD40" s="466">
        <v>4</v>
      </c>
      <c r="BE40" s="591" t="s">
        <v>417</v>
      </c>
      <c r="BF40" s="316" t="str">
        <f>IF(AND(MAX($AE$58:$AL$58)&lt;1,ISNUMBER($AK$29), ISNUMBER($AL$29)),IF(AND(IF(-$AL$29&lt;$BS$19,$AT$65,$AT$64)&lt;0,$AL$29&lt;0),6,IF(AND($AK$29&lt;0,$AL$29&gt;0),5,IF(AND($AK$29&gt;0,IF($AK$29&lt;$BT$19,$AU$65,$AU$62)&lt;0),4,""))),"")</f>
        <v/>
      </c>
      <c r="BG40" s="291">
        <v>4</v>
      </c>
      <c r="BH40" s="291">
        <v>33</v>
      </c>
      <c r="BI40" s="291">
        <v>34</v>
      </c>
      <c r="BJ40" s="291">
        <v>3</v>
      </c>
      <c r="BK40" s="291">
        <v>10</v>
      </c>
      <c r="BL40" s="291">
        <v>9</v>
      </c>
      <c r="BM40" s="291">
        <v>8</v>
      </c>
      <c r="BN40" s="291">
        <v>5</v>
      </c>
      <c r="BO40" s="291">
        <v>32</v>
      </c>
      <c r="BZ40" s="596"/>
      <c r="CA40" s="596"/>
    </row>
    <row r="41" spans="1:79" ht="12" customHeight="1" thickBot="1" x14ac:dyDescent="0.3">
      <c r="B41" s="417" t="e">
        <f>B42</f>
        <v>#VALUE!</v>
      </c>
      <c r="C41" s="598"/>
      <c r="L41" s="703"/>
      <c r="M41" s="707"/>
      <c r="V41" s="581"/>
      <c r="W41" s="425" t="e">
        <f>W42</f>
        <v>#VALUE!</v>
      </c>
      <c r="AA41" s="593"/>
      <c r="AB41" s="292"/>
      <c r="AC41" s="466">
        <v>4</v>
      </c>
      <c r="AD41" s="591" t="s">
        <v>430</v>
      </c>
      <c r="AE41" s="322" t="e">
        <f>IF($AK$41="","",$AK$41-$BW$26)</f>
        <v>#VALUE!</v>
      </c>
      <c r="AF41" s="322" t="e">
        <f>IF($AL$41="","",$AL$41-$BX$26)</f>
        <v>#VALUE!</v>
      </c>
      <c r="AG41" s="322" t="e">
        <f>IF($AK$41="","",$AK$41+$BO$26-$BG$26)</f>
        <v>#VALUE!</v>
      </c>
      <c r="AH41" s="322" t="e">
        <f>IF($AL$41="","",$AL$41+$BP$26+$BH$26)</f>
        <v>#VALUE!</v>
      </c>
      <c r="AI41" s="322" t="e">
        <f>IF($AK$41="","",$AK$41+$BO$26)</f>
        <v>#VALUE!</v>
      </c>
      <c r="AJ41" s="322" t="e">
        <f>IF($AL$41="","",$AL$41+$BP$26)</f>
        <v>#VALUE!</v>
      </c>
      <c r="AK41" s="323" t="e">
        <f>IF(AND($AS$24+'SHL Section'!$AI$10&lt;0,$AR$24+'SHL Section'!$AK$10&gt;0),$AK$24+'SHL Section'!$AI$10,"")</f>
        <v>#VALUE!</v>
      </c>
      <c r="AL41" s="323" t="e">
        <f>IF(AND($AS$24+'SHL Section'!$AI$10&lt;0,$AR$24+'SHL Section'!$AK$10&gt;0),$AL$24+'SHL Section'!$AK$10,"")</f>
        <v>#VALUE!</v>
      </c>
      <c r="AM41" s="322" t="e">
        <f>IF($AK$41="","",$AK$41-$BW$26+$AW$22)</f>
        <v>#VALUE!</v>
      </c>
      <c r="AN41" s="322" t="e">
        <f>IF($AL$41="","",$AL$41-$BX$26+$AX$22)</f>
        <v>#VALUE!</v>
      </c>
      <c r="AO41" s="322" t="e">
        <f>IF($AK$41="","",$AK$41+$BO$26-$BI$22)</f>
        <v>#VALUE!</v>
      </c>
      <c r="AP41" s="322" t="e">
        <f>IF($AL$41="","",$AL$41+$BP$26-$BJ$22)</f>
        <v>#VALUE!</v>
      </c>
      <c r="AQ41" s="322" t="e">
        <f>IF($AK$41="","",$AK$41+$BQ$22)</f>
        <v>#VALUE!</v>
      </c>
      <c r="AR41" s="322" t="e">
        <f>IF($AL$41="","",$AL$41+$BR$22)</f>
        <v>#VALUE!</v>
      </c>
      <c r="AS41" s="322" t="e">
        <f>IF($AK$41="","",$AK$41-$BU$22)</f>
        <v>#VALUE!</v>
      </c>
      <c r="AT41" s="322" t="e">
        <f>IF($AL$41="","",$AL$41-$BV$22)</f>
        <v>#VALUE!</v>
      </c>
      <c r="AV41" s="311"/>
      <c r="AW41" s="311"/>
      <c r="AX41" s="311"/>
      <c r="AY41" s="311"/>
      <c r="AZ41" s="311"/>
      <c r="BA41" s="311"/>
      <c r="BB41" s="311" t="s">
        <v>443</v>
      </c>
      <c r="BD41" s="318">
        <v>1</v>
      </c>
      <c r="BE41" s="317" t="s">
        <v>419</v>
      </c>
      <c r="BF41" s="334" t="str">
        <f>IF(AND(MAX($AE$69:$AL$69)&lt;1,ISNUMBER($AE$32), ISNUMBER($AF$32)),IF(AND($AE$32&gt;0,$AF$32&gt;0),3,IF(AND($AE$32&lt;0,IF(-$AE$32&lt;$BZ$19,$AO$73,$AO$76)&lt;0),4,IF(AND(IF(-$AF$32&lt;$AW$19,$AN$73,$AN$74)&lt;0,$AF$32&lt;0),2,""))),"")</f>
        <v/>
      </c>
      <c r="BG41" s="291">
        <v>5</v>
      </c>
      <c r="BH41" s="291">
        <v>32</v>
      </c>
      <c r="BI41" s="291">
        <v>33</v>
      </c>
      <c r="BJ41" s="291">
        <v>4</v>
      </c>
      <c r="BK41" s="291">
        <v>9</v>
      </c>
      <c r="BL41" s="291">
        <v>8</v>
      </c>
      <c r="BM41" s="291">
        <v>7</v>
      </c>
      <c r="BN41" s="291">
        <v>6</v>
      </c>
      <c r="BO41" s="291">
        <v>31</v>
      </c>
      <c r="BZ41" s="596"/>
      <c r="CA41" s="596"/>
    </row>
    <row r="42" spans="1:79" ht="12" customHeight="1" x14ac:dyDescent="0.25">
      <c r="A42" s="426" t="s">
        <v>385</v>
      </c>
      <c r="B42" s="299" t="e">
        <f>IF(NOT(ISBLANK(D42)),D42,DGET('Grid Numbers'!$A$2:$L$4952,'Grid Numbers'!$H$2,$B$70:$H$71))</f>
        <v>#VALUE!</v>
      </c>
      <c r="C42" s="598"/>
      <c r="D42" s="486"/>
      <c r="G42" s="747" t="s">
        <v>441</v>
      </c>
      <c r="H42" s="735"/>
      <c r="L42" s="308"/>
      <c r="M42" s="307"/>
      <c r="Q42" s="747" t="s">
        <v>442</v>
      </c>
      <c r="R42" s="735"/>
      <c r="U42" s="486"/>
      <c r="V42" s="581"/>
      <c r="W42" s="470" t="e">
        <f>IF(NOT(ISBLANK(U42)),U42,DGET('Grid Numbers'!$A$2:$L$4952,'Grid Numbers'!$H$2,$B$78:$H$79))</f>
        <v>#VALUE!</v>
      </c>
      <c r="X42" s="423" t="s">
        <v>385</v>
      </c>
      <c r="AA42" s="593"/>
      <c r="AB42" s="292"/>
      <c r="AC42" s="762"/>
      <c r="AD42" s="683"/>
      <c r="AE42" s="321" t="str">
        <f>IF(ISNUMBER($AE$38),AE$38,IF(ISNUMBER($AG$39),AE$39,IF(ISNUMBER($AI$40),AE$40,IF(ISNUMBER($AK$41),AE$41,""))))</f>
        <v/>
      </c>
      <c r="AF42" s="321" t="str">
        <f>IF(ISNUMBER($AF$38),AF$38,IF(ISNUMBER($AH$39),AF$39,IF(ISNUMBER($AJ$40),AF$40,IF(ISNUMBER($AL$41),AF$41,""))))</f>
        <v/>
      </c>
      <c r="AG42" s="321" t="str">
        <f>IF(ISNUMBER($AE$38),AG$38,IF(ISNUMBER($AG$39),AG$39,IF(ISNUMBER($AI$40),AG$40,IF(ISNUMBER($AK$41),AG$41,""))))</f>
        <v/>
      </c>
      <c r="AH42" s="321" t="str">
        <f>IF(ISNUMBER($AF$38),AH$38,IF(ISNUMBER($AH$39),AH$39,IF(ISNUMBER($AJ$40),AH$40,IF(ISNUMBER($AL$41),AH$41,""))))</f>
        <v/>
      </c>
      <c r="AI42" s="321" t="str">
        <f>IF(ISNUMBER($AE$38),AI$38,IF(ISNUMBER($AG$39),AI$39,IF(ISNUMBER($AI$40),AI$40,IF(ISNUMBER($AK$41),AI$41,""))))</f>
        <v/>
      </c>
      <c r="AJ42" s="321" t="str">
        <f>IF(ISNUMBER($AF$38),AJ$38,IF(ISNUMBER($AH$39),AJ$39,IF(ISNUMBER($AJ$40),AJ$40,IF(ISNUMBER($AL$41),AJ$41,""))))</f>
        <v/>
      </c>
      <c r="AK42" s="321" t="str">
        <f>IF(ISNUMBER($AE$38),AK$38,IF(ISNUMBER($AG$39),AK$39,IF(ISNUMBER($AI$40),AK$40,IF(ISNUMBER($AK$41),AK$41,""))))</f>
        <v/>
      </c>
      <c r="AL42" s="321" t="str">
        <f>IF(ISNUMBER($AF$38),AL$38,IF(ISNUMBER($AH$39),AL$39,IF(ISNUMBER($AJ$40),AL$40,IF(ISNUMBER($AL$41),AL$41,""))))</f>
        <v/>
      </c>
      <c r="AM42" s="321" t="str">
        <f>IF(ISNUMBER($AE$38),AM$38,IF(ISNUMBER($AG$39),AM$39,IF(ISNUMBER($AI$40),AM$40,IF(ISNUMBER($AK$41),AM$41,""))))</f>
        <v/>
      </c>
      <c r="AN42" s="321" t="str">
        <f>IF(ISNUMBER($AF$38),AN$38,IF(ISNUMBER($AH$39),AN$39,IF(ISNUMBER($AJ$40),AN$40,IF(ISNUMBER($AL$41),AN$41,""))))</f>
        <v/>
      </c>
      <c r="AO42" s="321" t="str">
        <f>IF(ISNUMBER($AE$38),AO$38,IF(ISNUMBER($AG$39),AO$39,IF(ISNUMBER($AI$40),AO$40,IF(ISNUMBER($AK$41),AO$41,""))))</f>
        <v/>
      </c>
      <c r="AP42" s="321" t="str">
        <f>IF(ISNUMBER($AF$38),AP$38,IF(ISNUMBER($AH$39),AP$39,IF(ISNUMBER($AJ$40),AP$40,IF(ISNUMBER($AL$41),AP$41,""))))</f>
        <v/>
      </c>
      <c r="AQ42" s="321" t="str">
        <f>IF(ISNUMBER($AE$38),AQ$38,IF(ISNUMBER($AG$39),AQ$39,IF(ISNUMBER($AI$40),AQ$40,IF(ISNUMBER($AK$41),AQ$41,""))))</f>
        <v/>
      </c>
      <c r="AR42" s="321" t="str">
        <f>IF(ISNUMBER($AF$38),AR$38,IF(ISNUMBER($AH$39),AR$39,IF(ISNUMBER($AJ$40),AR$40,IF(ISNUMBER($AL$41),AR$41,""))))</f>
        <v/>
      </c>
      <c r="AS42" s="321" t="str">
        <f>IF(ISNUMBER($AE$38),AS$38,IF(ISNUMBER($AG$39),AS$39,IF(ISNUMBER($AI$40),AS$40,IF(ISNUMBER($AK$41),AS$41,""))))</f>
        <v/>
      </c>
      <c r="AT42" s="321" t="str">
        <f>IF(ISNUMBER($AF$38),AT$38,IF(ISNUMBER($AH$39),AT$39,IF(ISNUMBER($AJ$40),AT$40,IF(ISNUMBER($AL$41),AT$41,""))))</f>
        <v/>
      </c>
      <c r="AV42" s="311"/>
      <c r="AW42" s="311"/>
      <c r="AX42" s="311"/>
      <c r="AY42" s="311"/>
      <c r="AZ42" s="311"/>
      <c r="BA42" s="311"/>
      <c r="BB42" s="311" t="s">
        <v>444</v>
      </c>
      <c r="BD42" s="318">
        <v>2</v>
      </c>
      <c r="BE42" s="317" t="s">
        <v>419</v>
      </c>
      <c r="BF42" s="334" t="str">
        <f>IF(AND(MAX($AE$69:$AL$69)&lt;1,ISNUMBER($AG$33), ISNUMBER($AH$33)),IF(AND(IF($AH$33&lt;$BC$19,$AP$74,$AP$73)&lt;0,$AH$33&gt;0),2,IF(AND($AG$33&gt;0,$AH$33&lt;0),9,IF(AND($AG$33&lt;0,IF(-$AG$33&lt;$BD$19,$AQ$74,$AQ$75)&lt;0),8,""))),"")</f>
        <v/>
      </c>
      <c r="BG42" s="291">
        <v>6</v>
      </c>
      <c r="BH42" s="291">
        <v>31</v>
      </c>
      <c r="BI42" s="291">
        <v>32</v>
      </c>
      <c r="BJ42" s="291">
        <v>5</v>
      </c>
      <c r="BK42" s="291">
        <v>8</v>
      </c>
      <c r="BL42" s="291">
        <v>7</v>
      </c>
      <c r="BM42" s="291">
        <v>12</v>
      </c>
      <c r="BN42" s="291">
        <v>1</v>
      </c>
      <c r="BO42" s="291">
        <v>36</v>
      </c>
      <c r="BZ42" s="596"/>
      <c r="CA42" s="596"/>
    </row>
    <row r="43" spans="1:79" ht="12" customHeight="1" x14ac:dyDescent="0.25">
      <c r="A43" s="426" t="s">
        <v>395</v>
      </c>
      <c r="B43" s="293" t="e">
        <f>IF(NOT(ISBLANK(D43)),D43,DGET('Grid Numbers'!$A$2:$L$4952,'Grid Numbers'!$I$2,$B$70:$H$71))</f>
        <v>#VALUE!</v>
      </c>
      <c r="C43" s="598"/>
      <c r="D43" s="486"/>
      <c r="G43" s="313" t="str">
        <f>IF(ISNUMBER($AI$58),$B$8,"")</f>
        <v/>
      </c>
      <c r="H43" s="312" t="str">
        <f>IF(AND(G44="",G45=""),"",IF($AI$58=1,"NE/SW",IF($AI$58=2,"NW/SW",IF($AI$58=3,"SW/SW",IF($AI$58=4,"SE/SW","")))))</f>
        <v/>
      </c>
      <c r="L43" s="308"/>
      <c r="M43" s="307"/>
      <c r="Q43" s="313" t="str">
        <f>IF(ISNUMBER($AK$58),$B$8,"")</f>
        <v/>
      </c>
      <c r="R43" s="312" t="str">
        <f>IF(AND(Q44="",Q45=""),"",IF($AK$58=1,"NE/SE",IF($AK$58=2,"NW/SE",IF($AK$58=3,"SW/SE",IF($AK$58=4,"SE/SE","")))))</f>
        <v/>
      </c>
      <c r="U43" s="486"/>
      <c r="V43" s="581"/>
      <c r="W43" s="471" t="e">
        <f>IF(NOT(ISBLANK(U43)),U43,DGET('Grid Numbers'!$A$2:$L$4952,'Grid Numbers'!$I$2,$B$78:$H$79))</f>
        <v>#VALUE!</v>
      </c>
      <c r="X43" s="423" t="s">
        <v>395</v>
      </c>
      <c r="AA43" s="593"/>
      <c r="AB43" s="292"/>
      <c r="AV43" s="311"/>
      <c r="AW43" s="311"/>
      <c r="AX43" s="311"/>
      <c r="AY43" s="311"/>
      <c r="AZ43" s="311"/>
      <c r="BA43" s="311"/>
      <c r="BB43" s="311" t="s">
        <v>445</v>
      </c>
      <c r="BD43" s="318">
        <v>3</v>
      </c>
      <c r="BE43" s="317" t="s">
        <v>419</v>
      </c>
      <c r="BF43" s="334" t="str">
        <f>IF(AND(MAX($AE$69:$AL$69)&lt;1,ISNUMBER($AI$34), ISNUMBER($AJ$34)),IF(AND($AI$34&gt;0,IF($AI$34&lt;$BJ$19,$AS$75,$AS$74)&lt;0),8,IF(AND($AI$34&lt;0,$AJ$34&lt;0),7,IF(AND(IF($AJ$34&lt;$BM$19,$AR$75,$AR$76)&lt;0,$AJ$34&gt;0),6,""))),"")</f>
        <v/>
      </c>
      <c r="BG43" s="291">
        <v>7</v>
      </c>
      <c r="BH43" s="291">
        <v>6</v>
      </c>
      <c r="BI43" s="291">
        <v>5</v>
      </c>
      <c r="BJ43" s="291">
        <v>8</v>
      </c>
      <c r="BK43" s="291">
        <v>17</v>
      </c>
      <c r="BL43" s="291">
        <v>18</v>
      </c>
      <c r="BM43" s="291">
        <v>13</v>
      </c>
      <c r="BN43" s="291">
        <v>12</v>
      </c>
      <c r="BO43" s="291">
        <v>1</v>
      </c>
      <c r="BZ43" s="596"/>
      <c r="CA43" s="596"/>
    </row>
    <row r="44" spans="1:79" ht="12" customHeight="1" x14ac:dyDescent="0.25">
      <c r="A44" s="426" t="s">
        <v>398</v>
      </c>
      <c r="B44" s="293" t="e">
        <f>IF(NOT(ISBLANK(D44)),D44,DGET('Grid Numbers'!$A$2:$L$4952,'Grid Numbers'!$J$2,$B$70:$H$71))</f>
        <v>#VALUE!</v>
      </c>
      <c r="C44" s="598"/>
      <c r="D44" s="486"/>
      <c r="G44" s="310" t="str">
        <f>IF(ISNUMBER($AI$58),$I$8,"")</f>
        <v/>
      </c>
      <c r="H44" s="309" t="str">
        <f>IF(ISNUMBER($AI$58),"FSL","")</f>
        <v/>
      </c>
      <c r="J44" s="596"/>
      <c r="K44" s="596"/>
      <c r="L44" s="308"/>
      <c r="M44" s="307"/>
      <c r="Q44" s="310" t="str">
        <f>IF(ISNUMBER($AK$58),$I$8,"")</f>
        <v/>
      </c>
      <c r="R44" s="309" t="str">
        <f>IF(ISNUMBER($AK$58),"FSL","")</f>
        <v/>
      </c>
      <c r="T44" s="596"/>
      <c r="U44" s="486"/>
      <c r="V44" s="581"/>
      <c r="W44" s="471" t="e">
        <f>IF(NOT(ISBLANK(U44)),U44,DGET('Grid Numbers'!$A$2:$L$4952,'Grid Numbers'!$J$2,$B$78:$H$79))</f>
        <v>#VALUE!</v>
      </c>
      <c r="X44" s="423" t="s">
        <v>398</v>
      </c>
      <c r="AA44" s="593"/>
      <c r="AB44" s="292"/>
      <c r="AV44" s="311"/>
      <c r="AW44" s="311"/>
      <c r="AX44" s="311"/>
      <c r="AY44" s="311"/>
      <c r="AZ44" s="311"/>
      <c r="BA44" s="311"/>
      <c r="BB44" s="311" t="s">
        <v>450</v>
      </c>
      <c r="BD44" s="466">
        <v>4</v>
      </c>
      <c r="BE44" s="591" t="s">
        <v>419</v>
      </c>
      <c r="BF44" s="316" t="str">
        <f>IF(AND(MAX($AE$69:$AL$69)&lt;1,ISNUMBER($AK$35), ISNUMBER($AL$35)),IF(AND(IF(-$AL$35&lt;$BS$19,$AT$76,$AT$75)&lt;0,$AL$35&lt;0),6,IF(AND($AK$35&lt;0,$AL$35&gt;0),5,IF(AND($AK$35&gt;0,IF($AK$35&lt;$BT$19,$AU$76,$AU$73)&lt;0),4,""))),"")</f>
        <v/>
      </c>
      <c r="BG44" s="291">
        <v>8</v>
      </c>
      <c r="BH44" s="291">
        <v>5</v>
      </c>
      <c r="BI44" s="291">
        <v>4</v>
      </c>
      <c r="BJ44" s="291">
        <v>9</v>
      </c>
      <c r="BK44" s="291">
        <v>16</v>
      </c>
      <c r="BL44" s="291">
        <v>17</v>
      </c>
      <c r="BM44" s="291">
        <v>18</v>
      </c>
      <c r="BN44" s="291">
        <v>7</v>
      </c>
      <c r="BO44" s="291">
        <v>6</v>
      </c>
      <c r="BZ44" s="596"/>
      <c r="CA44" s="596"/>
    </row>
    <row r="45" spans="1:79" ht="12" customHeight="1" x14ac:dyDescent="0.25">
      <c r="A45" s="426" t="s">
        <v>410</v>
      </c>
      <c r="B45" s="293" t="e">
        <f>IF(NOT(ISBLANK(D45)),D45,DGET('Grid Numbers'!$A$2:$L$4952,'Grid Numbers'!$K$2,$B$70:$H$71))</f>
        <v>#VALUE!</v>
      </c>
      <c r="C45" s="598"/>
      <c r="D45" s="487"/>
      <c r="G45" s="306" t="str">
        <f>IF(ISNUMBER($AI$58),$K$8,"")</f>
        <v/>
      </c>
      <c r="H45" s="305" t="str">
        <f>IF(ISNUMBER($AI$58),"FWL","")</f>
        <v/>
      </c>
      <c r="J45" s="596"/>
      <c r="K45" s="596"/>
      <c r="L45" s="308"/>
      <c r="M45" s="307"/>
      <c r="Q45" s="306" t="str">
        <f>IF(ISNUMBER($AK$58),$K$8,"")</f>
        <v/>
      </c>
      <c r="R45" s="305" t="str">
        <f>IF(ISNUMBER($AK$58),"FEL","")</f>
        <v/>
      </c>
      <c r="T45" s="596"/>
      <c r="U45" s="487"/>
      <c r="V45" s="581"/>
      <c r="W45" s="471" t="e">
        <f>IF(NOT(ISBLANK(U45)),U45,DGET('Grid Numbers'!$A$2:$L$4952,'Grid Numbers'!$K$2,$B$78:$H$79))</f>
        <v>#VALUE!</v>
      </c>
      <c r="X45" s="423" t="s">
        <v>410</v>
      </c>
      <c r="AA45" s="593"/>
      <c r="AB45" s="292"/>
      <c r="AC45" s="317"/>
      <c r="AD45" s="317"/>
      <c r="AE45" s="772" t="s">
        <v>446</v>
      </c>
      <c r="AF45" s="683"/>
      <c r="AG45" s="768" t="s">
        <v>447</v>
      </c>
      <c r="AH45" s="682"/>
      <c r="AI45" s="772" t="s">
        <v>448</v>
      </c>
      <c r="AJ45" s="683"/>
      <c r="AK45" s="772" t="s">
        <v>449</v>
      </c>
      <c r="AL45" s="683"/>
      <c r="AV45" s="311"/>
      <c r="AW45" s="311"/>
      <c r="AX45" s="311"/>
      <c r="AY45" s="311"/>
      <c r="AZ45" s="311"/>
      <c r="BA45" s="311"/>
      <c r="BB45" s="311" t="s">
        <v>451</v>
      </c>
      <c r="BD45" s="318">
        <v>1</v>
      </c>
      <c r="BE45" s="317" t="s">
        <v>430</v>
      </c>
      <c r="BF45" s="334" t="str">
        <f>IF(AND(MAX($AE$80:$AL$80)&lt;1,ISNUMBER($AE$38), ISNUMBER($AF$38)),IF(AND($AE$38&gt;0,$AF$38&gt;0),3,IF(AND($AE$38&lt;0,IF(-$AE$38&lt;$BZ$19,$AO$84,$AO$87)&lt;0),4,IF(AND(IF(-$AF$38&lt;$AW$19,$AN$84,$AN$85)&lt;0,$AF$38&lt;0),2,""))),"")</f>
        <v/>
      </c>
      <c r="BG45" s="291">
        <v>9</v>
      </c>
      <c r="BH45" s="291">
        <v>4</v>
      </c>
      <c r="BI45" s="291">
        <v>3</v>
      </c>
      <c r="BJ45" s="291">
        <v>10</v>
      </c>
      <c r="BK45" s="291">
        <v>15</v>
      </c>
      <c r="BL45" s="291">
        <v>16</v>
      </c>
      <c r="BM45" s="291">
        <v>17</v>
      </c>
      <c r="BN45" s="291">
        <v>8</v>
      </c>
      <c r="BO45" s="291">
        <v>5</v>
      </c>
      <c r="BZ45" s="596"/>
      <c r="CA45" s="596"/>
    </row>
    <row r="46" spans="1:79" ht="12" customHeight="1" x14ac:dyDescent="0.25">
      <c r="A46" s="426" t="s">
        <v>411</v>
      </c>
      <c r="B46" s="319" t="e">
        <f>IF(NOT(ISBLANK(D46)),D46,DGET('Grid Numbers'!$A$2:$L$4952,'Grid Numbers'!$L$2,$B$70:$H$71))</f>
        <v>#VALUE!</v>
      </c>
      <c r="C46" s="598"/>
      <c r="D46" s="490"/>
      <c r="G46" s="313" t="str">
        <f>IF(ISNUMBER($AI$69),$B$9,"")</f>
        <v/>
      </c>
      <c r="H46" s="312" t="str">
        <f>IF(AND(G47="",G48=""),"",IF($AI$69=1,"NE/SW",IF($AI$69=2,"NW/SW",IF($AI$69=3,"SW/SW",IF($AI$69=4,"SE/SW","")))))</f>
        <v/>
      </c>
      <c r="I46" s="425"/>
      <c r="J46" s="424"/>
      <c r="K46" s="424"/>
      <c r="L46" s="308"/>
      <c r="M46" s="307"/>
      <c r="Q46" s="313" t="str">
        <f>IF(ISNUMBER($AK$69),$B$9,"")</f>
        <v/>
      </c>
      <c r="R46" s="312" t="str">
        <f>IF(AND(Q47="",Q48=""),"",IF($AK$69=1,"NE/SE",IF($AK$69=2,"NW/SE",IF($AK$69=3,"SW/SE",IF($AK$69=4,"SE/SE","")))))</f>
        <v/>
      </c>
      <c r="S46" s="425"/>
      <c r="T46" s="424"/>
      <c r="U46" s="490"/>
      <c r="V46" s="581"/>
      <c r="W46" s="319" t="e">
        <f>IF(NOT(ISBLANK(U46)),U46,DGET('Grid Numbers'!$A$2:$L$4952,'Grid Numbers'!$L$2,$B$78:$H$79))</f>
        <v>#VALUE!</v>
      </c>
      <c r="X46" s="423" t="s">
        <v>411</v>
      </c>
      <c r="AA46" s="593"/>
      <c r="AB46" s="292"/>
      <c r="AD46" s="317"/>
      <c r="AE46" s="783">
        <v>1</v>
      </c>
      <c r="AF46" s="683"/>
      <c r="AG46" s="783">
        <v>2</v>
      </c>
      <c r="AH46" s="683"/>
      <c r="AI46" s="783">
        <v>3</v>
      </c>
      <c r="AJ46" s="683"/>
      <c r="AK46" s="783">
        <v>4</v>
      </c>
      <c r="AL46" s="683"/>
      <c r="AV46" s="311"/>
      <c r="AW46" s="311"/>
      <c r="AX46" s="311"/>
      <c r="AY46" s="311"/>
      <c r="AZ46" s="311"/>
      <c r="BA46" s="311"/>
      <c r="BB46" s="311" t="s">
        <v>453</v>
      </c>
      <c r="BD46" s="318">
        <v>2</v>
      </c>
      <c r="BE46" s="317" t="s">
        <v>430</v>
      </c>
      <c r="BF46" s="334" t="str">
        <f>IF(AND(MAX($AE$80:$AL$80)&lt;1,ISNUMBER($AG$39), ISNUMBER($AH$39)),IF(AND(IF($AH$39&lt;$BC$19,$AP$85,$AP$84)&lt;0,$AH$39&gt;0),2,IF(AND($AG$39&gt;0,$AH$39&lt;0),9,IF(AND($AG$39&lt;0,IF(-$AG$39&lt;$BD$19,$AQ$85,$AQ$86)&lt;0),8,""))),"")</f>
        <v/>
      </c>
      <c r="BG46" s="291">
        <v>10</v>
      </c>
      <c r="BH46" s="291">
        <v>3</v>
      </c>
      <c r="BI46" s="291">
        <v>2</v>
      </c>
      <c r="BJ46" s="291">
        <v>11</v>
      </c>
      <c r="BK46" s="291">
        <v>14</v>
      </c>
      <c r="BL46" s="291">
        <v>15</v>
      </c>
      <c r="BM46" s="291">
        <v>16</v>
      </c>
      <c r="BN46" s="291">
        <v>9</v>
      </c>
      <c r="BO46" s="291">
        <v>4</v>
      </c>
      <c r="BZ46" s="596"/>
      <c r="CA46" s="596"/>
    </row>
    <row r="47" spans="1:79" ht="12" customHeight="1" x14ac:dyDescent="0.25">
      <c r="A47" s="426" t="s">
        <v>412</v>
      </c>
      <c r="B47" s="643" t="e">
        <f>IF(AND($L$38='SHL Section'!$BE$50,MAX('SHL Section'!$BF$37:$BF$40)=4),'SHL Section'!$W$46,IF(AND($L$38='SHL Section'!$BE$53,MAX('SHL Section'!$BF$41:$BF$44)=4),'SHL Section'!$W$46,IF(AND($L$38='SHL Section'!$BE$56,MAX('SHL Section'!$BF$45:$BF$48)=4),'SHL Section'!$W$46,IF(B43="","",IF(OR(B46=1,B46=4),180-(B43+B44/60+B45/3600),180+(B43+B44/60+B45/3600))))))</f>
        <v>#VALUE!</v>
      </c>
      <c r="C47" s="598"/>
      <c r="G47" s="310" t="str">
        <f>IF(ISNUMBER($AI$69),$I$9,"")</f>
        <v/>
      </c>
      <c r="H47" s="309" t="str">
        <f>IF(ISNUMBER($AI$69),"FSL","")</f>
        <v/>
      </c>
      <c r="I47" s="425"/>
      <c r="J47" s="424"/>
      <c r="K47" s="424"/>
      <c r="L47" s="308"/>
      <c r="M47" s="307"/>
      <c r="Q47" s="310" t="str">
        <f>IF(ISNUMBER($AK$69),$I$9,"")</f>
        <v/>
      </c>
      <c r="R47" s="309" t="str">
        <f>IF(ISNUMBER($AK$69),"FSL","")</f>
        <v/>
      </c>
      <c r="S47" s="425"/>
      <c r="T47" s="424"/>
      <c r="V47" s="581"/>
      <c r="W47" s="642" t="e">
        <f>IF(AND($L$38='SHL Section'!$BE$50,MAX('SHL Section'!$BF$37:$BF$40)=8),'SHL Section'!$B$46,IF(AND($L$38='SHL Section'!$BE$53,MAX('SHL Section'!$BF$41:$BF$44)=8),'SHL Section'!$B$46,IF(AND($L$38='SHL Section'!$BE$56,MAX('SHL Section'!$BF$45:$BF$48)=8),'SHL Section'!$B$46,IF(W43="","",IF(OR(W46=1,W46=4),180-(W43+W44/60+W45/3600),180+(W43+W44/60+W45/3600))))))</f>
        <v>#VALUE!</v>
      </c>
      <c r="X47" s="423" t="s">
        <v>412</v>
      </c>
      <c r="AA47" s="593"/>
      <c r="AE47" s="761" t="s">
        <v>452</v>
      </c>
      <c r="AF47" s="757"/>
      <c r="AG47" s="767" t="s">
        <v>452</v>
      </c>
      <c r="AH47" s="735"/>
      <c r="AI47" s="761" t="s">
        <v>452</v>
      </c>
      <c r="AJ47" s="757"/>
      <c r="AK47" s="761" t="s">
        <v>452</v>
      </c>
      <c r="AL47" s="757"/>
      <c r="AV47" s="311"/>
      <c r="AW47" s="311"/>
      <c r="AX47" s="311"/>
      <c r="AY47" s="311"/>
      <c r="AZ47" s="311"/>
      <c r="BA47" s="311"/>
      <c r="BB47" s="311" t="s">
        <v>454</v>
      </c>
      <c r="BD47" s="318">
        <v>3</v>
      </c>
      <c r="BE47" s="317" t="s">
        <v>430</v>
      </c>
      <c r="BF47" s="334" t="str">
        <f>IF(AND(MAX($AE$80:$AL$80)&lt;1,ISNUMBER($AI$40), ISNUMBER($AJ$40)),IF(AND($AI$40&gt;0,IF($AI$40&lt;$BJ$19,$AS$86,$AS$85)&lt;0),8,IF(AND($AI$40&lt;0,$AJ$40&lt;0),7,IF(AND(IF($AJ$40&lt;$BM$19,$AR$86,$AR$87)&lt;0,$AJ$40&gt;0),6,""))),"")</f>
        <v/>
      </c>
      <c r="BG47" s="291">
        <v>11</v>
      </c>
      <c r="BH47" s="291">
        <v>2</v>
      </c>
      <c r="BI47" s="291">
        <v>1</v>
      </c>
      <c r="BJ47" s="291">
        <v>12</v>
      </c>
      <c r="BK47" s="291">
        <v>13</v>
      </c>
      <c r="BL47" s="291">
        <v>14</v>
      </c>
      <c r="BM47" s="291">
        <v>15</v>
      </c>
      <c r="BN47" s="291">
        <v>10</v>
      </c>
      <c r="BO47" s="291">
        <v>3</v>
      </c>
      <c r="BZ47" s="596"/>
      <c r="CA47" s="596"/>
    </row>
    <row r="48" spans="1:79" ht="12" customHeight="1" x14ac:dyDescent="0.25">
      <c r="C48" s="598"/>
      <c r="G48" s="306" t="str">
        <f>IF(ISNUMBER($AI$69),$K$9,"")</f>
        <v/>
      </c>
      <c r="H48" s="305" t="str">
        <f>IF(ISNUMBER($AI$69),"FWL","")</f>
        <v/>
      </c>
      <c r="I48" s="425"/>
      <c r="J48" s="424"/>
      <c r="K48" s="424"/>
      <c r="L48" s="308"/>
      <c r="M48" s="307"/>
      <c r="Q48" s="306" t="str">
        <f>IF(ISNUMBER($AK$69),$K$9,"")</f>
        <v/>
      </c>
      <c r="R48" s="305" t="str">
        <f>IF(ISNUMBER($AK$69),"FEL","")</f>
        <v/>
      </c>
      <c r="S48" s="425"/>
      <c r="T48" s="424"/>
      <c r="V48" s="581"/>
      <c r="AE48" s="762"/>
      <c r="AF48" s="683"/>
      <c r="AG48" s="762"/>
      <c r="AH48" s="683"/>
      <c r="AI48" s="762"/>
      <c r="AJ48" s="683"/>
      <c r="AK48" s="762"/>
      <c r="AL48" s="683"/>
      <c r="AV48" s="311"/>
      <c r="AW48" s="311"/>
      <c r="AX48" s="311"/>
      <c r="AY48" s="311"/>
      <c r="AZ48" s="311"/>
      <c r="BA48" s="311"/>
      <c r="BB48" s="311" t="s">
        <v>455</v>
      </c>
      <c r="BD48" s="466">
        <v>4</v>
      </c>
      <c r="BE48" s="591" t="s">
        <v>430</v>
      </c>
      <c r="BF48" s="316" t="str">
        <f>IF(AND(MAX($AE$80:$AL$80)&lt;1,ISNUMBER($AK$41), ISNUMBER($AL$41)),IF(AND(IF(-$AL$41&lt;$BS$19,$AT$87,$AT$86)&lt;0,$AL$41&lt;0),6,IF(AND($AK$41&lt;0,$AL$41&gt;0),5,IF(AND($AK$41&gt;0,IF($AK$41&lt;$BT$19,$AU$87,$AU$84)&lt;0),4,""))),"")</f>
        <v/>
      </c>
      <c r="BG48" s="291">
        <v>12</v>
      </c>
      <c r="BH48" s="291">
        <v>1</v>
      </c>
      <c r="BI48" s="291">
        <v>6</v>
      </c>
      <c r="BJ48" s="291">
        <v>7</v>
      </c>
      <c r="BK48" s="291">
        <v>18</v>
      </c>
      <c r="BL48" s="291">
        <v>13</v>
      </c>
      <c r="BM48" s="291">
        <v>14</v>
      </c>
      <c r="BN48" s="291">
        <v>11</v>
      </c>
      <c r="BO48" s="291">
        <v>2</v>
      </c>
      <c r="BZ48" s="596"/>
      <c r="CA48" s="596"/>
    </row>
    <row r="49" spans="1:79" ht="12" customHeight="1" x14ac:dyDescent="0.25">
      <c r="B49" s="417" t="e">
        <f>B50</f>
        <v>#VALUE!</v>
      </c>
      <c r="C49" s="598"/>
      <c r="G49" s="313" t="str">
        <f>IF(ISNUMBER($AI$80),$B$10,"")</f>
        <v/>
      </c>
      <c r="H49" s="312" t="str">
        <f>IF(AND(G50="",G51=""),"",IF($AI$80=1,"NE/SW",IF($AI$80=2,"NW/SW",IF($AI$80=3,"SW/SW",IF($AI$80=4,"SE/SW","")))))</f>
        <v/>
      </c>
      <c r="I49" s="425"/>
      <c r="J49" s="424"/>
      <c r="K49" s="424"/>
      <c r="L49" s="308"/>
      <c r="M49" s="307"/>
      <c r="Q49" s="313" t="str">
        <f>IF(ISNUMBER($AK$80),$B$10,"")</f>
        <v/>
      </c>
      <c r="R49" s="312" t="str">
        <f>IF(AND(Q50="",Q51=""),"",IF($AK$80=1,"NE/SE",IF($AK$80=2,"NW/SE",IF($AK$80=3,"SW/SE",IF($AK$80=4,"SE/SE","")))))</f>
        <v/>
      </c>
      <c r="S49" s="425"/>
      <c r="T49" s="424"/>
      <c r="U49" s="593"/>
      <c r="V49" s="581"/>
      <c r="W49" s="425" t="e">
        <f>W50</f>
        <v>#VALUE!</v>
      </c>
      <c r="AA49" s="593"/>
      <c r="AE49" s="289"/>
      <c r="AF49" s="288"/>
      <c r="AG49" s="290"/>
      <c r="AH49" s="290"/>
      <c r="AI49" s="289"/>
      <c r="AJ49" s="288"/>
      <c r="AK49" s="289"/>
      <c r="AL49" s="288"/>
      <c r="AV49" s="311"/>
      <c r="AW49" s="311"/>
      <c r="AX49" s="311"/>
      <c r="AY49" s="311"/>
      <c r="AZ49" s="311"/>
      <c r="BA49" s="311"/>
      <c r="BB49" s="311" t="s">
        <v>461</v>
      </c>
      <c r="BG49" s="291">
        <v>13</v>
      </c>
      <c r="BH49" s="291">
        <v>12</v>
      </c>
      <c r="BI49" s="291">
        <v>7</v>
      </c>
      <c r="BJ49" s="291">
        <v>18</v>
      </c>
      <c r="BK49" s="291">
        <v>19</v>
      </c>
      <c r="BL49" s="291">
        <v>24</v>
      </c>
      <c r="BM49" s="291">
        <v>23</v>
      </c>
      <c r="BN49" s="291">
        <v>14</v>
      </c>
      <c r="BO49" s="291">
        <v>11</v>
      </c>
      <c r="BZ49" s="596"/>
      <c r="CA49" s="596"/>
    </row>
    <row r="50" spans="1:79" ht="12" customHeight="1" x14ac:dyDescent="0.25">
      <c r="A50" s="426" t="s">
        <v>385</v>
      </c>
      <c r="B50" s="299" t="e">
        <f>IF(NOT(ISBLANK(D50)),D50,DGET('Grid Numbers'!$A$2:$L$4952,'Grid Numbers'!$H$2,$B$72:$H$73))</f>
        <v>#VALUE!</v>
      </c>
      <c r="C50" s="598"/>
      <c r="D50" s="486"/>
      <c r="G50" s="310" t="str">
        <f>IF(ISNUMBER($AI$80),$I$10,"")</f>
        <v/>
      </c>
      <c r="H50" s="309" t="str">
        <f>IF(ISNUMBER($AI$80),"FSL","")</f>
        <v/>
      </c>
      <c r="I50" s="425"/>
      <c r="J50" s="424"/>
      <c r="K50" s="424"/>
      <c r="L50" s="308"/>
      <c r="M50" s="307"/>
      <c r="Q50" s="310" t="str">
        <f>IF(ISNUMBER($AK$80),$I$10,"")</f>
        <v/>
      </c>
      <c r="R50" s="309" t="str">
        <f>IF(ISNUMBER($AK$80),"FSL","")</f>
        <v/>
      </c>
      <c r="S50" s="425"/>
      <c r="T50" s="424"/>
      <c r="U50" s="486"/>
      <c r="V50" s="581"/>
      <c r="W50" s="299" t="e">
        <f>IF(NOT(ISBLANK(U50)),U50,DGET('Grid Numbers'!$A$2:$L$4952,'Grid Numbers'!$H$2,$B$80:$H$81))</f>
        <v>#VALUE!</v>
      </c>
      <c r="X50" s="423" t="s">
        <v>385</v>
      </c>
      <c r="AA50" s="593"/>
      <c r="AE50" s="761" t="s">
        <v>456</v>
      </c>
      <c r="AF50" s="757"/>
      <c r="AG50" s="767" t="s">
        <v>457</v>
      </c>
      <c r="AH50" s="735"/>
      <c r="AI50" s="761" t="s">
        <v>458</v>
      </c>
      <c r="AJ50" s="757"/>
      <c r="AK50" s="761" t="s">
        <v>459</v>
      </c>
      <c r="AL50" s="757"/>
      <c r="AV50" s="311"/>
      <c r="AW50" s="311"/>
      <c r="AX50" s="311"/>
      <c r="AY50" s="311"/>
      <c r="AZ50" s="311"/>
      <c r="BA50" s="311"/>
      <c r="BB50" s="311" t="s">
        <v>463</v>
      </c>
      <c r="BG50" s="291">
        <v>14</v>
      </c>
      <c r="BH50" s="291">
        <v>11</v>
      </c>
      <c r="BI50" s="291">
        <v>12</v>
      </c>
      <c r="BJ50" s="291">
        <v>13</v>
      </c>
      <c r="BK50" s="291">
        <v>24</v>
      </c>
      <c r="BL50" s="291">
        <v>23</v>
      </c>
      <c r="BM50" s="291">
        <v>22</v>
      </c>
      <c r="BN50" s="291">
        <v>15</v>
      </c>
      <c r="BO50" s="291">
        <v>10</v>
      </c>
      <c r="BZ50" s="596"/>
      <c r="CA50" s="596"/>
    </row>
    <row r="51" spans="1:79" ht="12" customHeight="1" x14ac:dyDescent="0.25">
      <c r="A51" s="426" t="s">
        <v>395</v>
      </c>
      <c r="B51" s="293" t="e">
        <f>IF(NOT(ISBLANK(D51)),D51,DGET('Grid Numbers'!$A$2:$L$4952,'Grid Numbers'!$I$2,$B$72:$H$73))</f>
        <v>#VALUE!</v>
      </c>
      <c r="C51" s="598"/>
      <c r="D51" s="486"/>
      <c r="G51" s="306" t="str">
        <f>IF(ISNUMBER($AI$80),$K$10,"")</f>
        <v/>
      </c>
      <c r="H51" s="305" t="str">
        <f>IF(ISNUMBER($AI$80),"FWL","")</f>
        <v/>
      </c>
      <c r="I51" s="425"/>
      <c r="J51" s="424"/>
      <c r="K51" s="424"/>
      <c r="L51" s="308"/>
      <c r="M51" s="307"/>
      <c r="Q51" s="306" t="str">
        <f>IF(ISNUMBER($AK$80),$K$10,"")</f>
        <v/>
      </c>
      <c r="R51" s="305" t="str">
        <f>IF(ISNUMBER($AK$80),"FEL","")</f>
        <v/>
      </c>
      <c r="S51" s="425"/>
      <c r="T51" s="424"/>
      <c r="U51" s="486"/>
      <c r="V51" s="581"/>
      <c r="W51" s="471" t="e">
        <f>IF(NOT(ISBLANK(U51)),U51,DGET('Grid Numbers'!$A$2:$L$4952,'Grid Numbers'!$I$2,$B$80:$H$81))</f>
        <v>#VALUE!</v>
      </c>
      <c r="X51" s="423" t="s">
        <v>395</v>
      </c>
      <c r="AA51" s="593"/>
      <c r="AB51" s="292"/>
      <c r="AC51" s="292"/>
      <c r="AD51" s="467" t="s">
        <v>340</v>
      </c>
      <c r="AE51" s="588" t="s">
        <v>336</v>
      </c>
      <c r="AF51" s="588" t="s">
        <v>337</v>
      </c>
      <c r="AG51" s="465" t="s">
        <v>336</v>
      </c>
      <c r="AH51" s="464" t="s">
        <v>337</v>
      </c>
      <c r="AI51" s="588" t="s">
        <v>336</v>
      </c>
      <c r="AJ51" s="588" t="s">
        <v>337</v>
      </c>
      <c r="AK51" s="588" t="s">
        <v>336</v>
      </c>
      <c r="AL51" s="588" t="s">
        <v>337</v>
      </c>
      <c r="AV51" s="311"/>
      <c r="AW51" s="311"/>
      <c r="AX51" s="311"/>
      <c r="AY51" s="311"/>
      <c r="AZ51" s="311"/>
      <c r="BA51" s="311"/>
      <c r="BB51" s="311" t="s">
        <v>464</v>
      </c>
      <c r="BG51" s="291">
        <v>15</v>
      </c>
      <c r="BH51" s="291">
        <v>10</v>
      </c>
      <c r="BI51" s="291">
        <v>11</v>
      </c>
      <c r="BJ51" s="291">
        <v>14</v>
      </c>
      <c r="BK51" s="291">
        <v>23</v>
      </c>
      <c r="BL51" s="291">
        <v>22</v>
      </c>
      <c r="BM51" s="291">
        <v>21</v>
      </c>
      <c r="BN51" s="291">
        <v>16</v>
      </c>
      <c r="BO51" s="291">
        <v>9</v>
      </c>
      <c r="BZ51" s="596"/>
      <c r="CA51" s="596"/>
    </row>
    <row r="52" spans="1:79" ht="12" customHeight="1" x14ac:dyDescent="0.25">
      <c r="A52" s="426" t="s">
        <v>398</v>
      </c>
      <c r="B52" s="293" t="e">
        <f>IF(NOT(ISBLANK(D52)),D52,DGET('Grid Numbers'!$A$2:$L$4952,'Grid Numbers'!$J$2,$B$72:$H$73))</f>
        <v>#VALUE!</v>
      </c>
      <c r="C52" s="598"/>
      <c r="D52" s="486"/>
      <c r="I52" s="425"/>
      <c r="J52" s="424"/>
      <c r="K52" s="424"/>
      <c r="L52" s="308"/>
      <c r="M52" s="307"/>
      <c r="P52" s="596"/>
      <c r="S52" s="425"/>
      <c r="T52" s="424"/>
      <c r="U52" s="486"/>
      <c r="V52" s="581"/>
      <c r="W52" s="471" t="e">
        <f>IF(NOT(ISBLANK(U52)),U52,DGET('Grid Numbers'!$A$2:$L$4952,'Grid Numbers'!$J$2,$B$80:$H$81))</f>
        <v>#VALUE!</v>
      </c>
      <c r="X52" s="423" t="s">
        <v>398</v>
      </c>
      <c r="AA52" s="593"/>
      <c r="AB52" s="593"/>
      <c r="AD52" s="317">
        <v>1</v>
      </c>
      <c r="AE52" s="304" t="str">
        <f>IF($AD52=AE$48,-($Q$30/$AV$28+$Q$31/$BZ$28*$AV$19/$AW$19)/(1-$AV$19/$AW$19*$CA$19/$BZ$19),"")</f>
        <v/>
      </c>
      <c r="AF52" s="285" t="str">
        <f>IF($AD52=AE$48,-($Q$31/$BZ$28+$Q$30/$AV$28*$CA$19/$BZ$19)/(1-$AV$19/$AW$19*$CA$19/$BZ$19),"")</f>
        <v/>
      </c>
      <c r="AG52" s="417" t="str">
        <f>IF($AD52=AG$48,-($G$30/$AZ$28-$BB$19-($G$31/$BD$28-$BC$19)*$AZ$19/$BA$19)/(1-$AZ$19/$BA$19*$BE$19/$BD$19),"")</f>
        <v/>
      </c>
      <c r="AH52" s="417" t="str">
        <f>IF($AD52=AG$48,($G$31/$BD$28-$BC$19-($G$30/$AZ$28-$BB$19)*$BE$19/$BD$19)/(1-$AZ$19/$BA$19*$BE$19/$BD$19)+$BC$19,"")</f>
        <v/>
      </c>
      <c r="AI52" s="304" t="str">
        <f>IF($AD52=AI$48,($G$46/$BN$28-$BJ$19+$BL$19+($G$47/$BH$28-$BM$19+$BK$19)*$BN$19/$BO$19)/(1-$BI$19/$BH$19*$BN$19/$BO$19)+$BJ$19,"")</f>
        <v/>
      </c>
      <c r="AJ52" s="285" t="str">
        <f>IF($AD52=AI$48,($G$47/$BH$28-$BM$19+$BK$19+($G$46/$BN$28-$BJ$19+$BL$19)*$BI$19/$BH$19)/(1-$BI$19/$BH$19*$BN$19/$BO$19)+$BM$19,"")</f>
        <v/>
      </c>
      <c r="AK52" s="304" t="str">
        <f>IF($AD52=AK$48,($Q$46/$BR$28-$BT$19-($Q$47/$BV$28-$BU$19)*$BR$19/$BS$19)/(1-$BW$19/$BV$19*$BR$19/$BS$19)+$BT$19,"")</f>
        <v/>
      </c>
      <c r="AL52" s="285" t="str">
        <f>IF($AD52=AK$48,-($Q$47/$BV$28-$BU$19-($Q$46/$BR$28-$BT$19)*$BW$19/$BV$19)/(1-$BW$19/$BV$19*$BR$19/$BS$19),"")</f>
        <v/>
      </c>
      <c r="BG52" s="291">
        <v>16</v>
      </c>
      <c r="BH52" s="291">
        <v>9</v>
      </c>
      <c r="BI52" s="291">
        <v>10</v>
      </c>
      <c r="BJ52" s="291">
        <v>15</v>
      </c>
      <c r="BK52" s="291">
        <v>22</v>
      </c>
      <c r="BL52" s="291">
        <v>21</v>
      </c>
      <c r="BM52" s="291">
        <v>20</v>
      </c>
      <c r="BN52" s="291">
        <v>17</v>
      </c>
      <c r="BO52" s="291">
        <v>8</v>
      </c>
      <c r="BZ52" s="596"/>
      <c r="CA52" s="596"/>
    </row>
    <row r="53" spans="1:79" ht="12" customHeight="1" x14ac:dyDescent="0.25">
      <c r="A53" s="426" t="s">
        <v>410</v>
      </c>
      <c r="B53" s="293" t="e">
        <f>IF(NOT(ISBLANK(D53)),D53,DGET('Grid Numbers'!$A$2:$L$4952,'Grid Numbers'!$K$2,$B$72:$H$73))</f>
        <v>#VALUE!</v>
      </c>
      <c r="C53" s="598"/>
      <c r="D53" s="487"/>
      <c r="I53" s="425"/>
      <c r="J53" s="424"/>
      <c r="K53" s="424"/>
      <c r="L53" s="308"/>
      <c r="M53" s="307"/>
      <c r="P53" s="596"/>
      <c r="S53" s="425"/>
      <c r="T53" s="424"/>
      <c r="U53" s="487"/>
      <c r="V53" s="581"/>
      <c r="W53" s="471" t="e">
        <f>IF(NOT(ISBLANK(U53)),U53,DGET('Grid Numbers'!$A$2:$L$4952,'Grid Numbers'!$K$2,$B$80:$H$81))</f>
        <v>#VALUE!</v>
      </c>
      <c r="X53" s="423" t="s">
        <v>410</v>
      </c>
      <c r="AA53" s="593"/>
      <c r="AB53" s="593"/>
      <c r="AD53" s="317">
        <v>2</v>
      </c>
      <c r="AE53" s="304" t="str">
        <f>IF($AD53=AE$48,-($Q$30/$AX$28+$AV$19+($Q$31/$BZ$28-$AW$19)*$AX$19/$AY$19)/(1-$AX$19/$AY$19*$CA$19/$BZ$19),"")</f>
        <v/>
      </c>
      <c r="AF53" s="285" t="str">
        <f>IF($AD53=AE$48,-($Q$31/$BZ$28-$AW$19+($Q$30/$AX$28+$AV$19)*$CA$19/$BZ$19)/(1-$AX$19/$AY$19*$CA$19/$BZ$19)-$AW$19,"")</f>
        <v/>
      </c>
      <c r="AG53" s="417" t="str">
        <f>IF($AD53=AG$48,-($G$30/$BB$28-$G$31/$BD$28*$BB$19/$BC$19)/(1-$BE$19/$BD$19*$BB$19/$BC$19),"")</f>
        <v/>
      </c>
      <c r="AH53" s="417" t="str">
        <f>IF($AD53=AG$48,($G$31/$BD$28-$G$30/$BB$28*$BE$19/$BD$19)/(1-$BE$19/$BD$19*$BB$19/$BC$19),"")</f>
        <v/>
      </c>
      <c r="AI53" s="304" t="str">
        <f>IF($AD53=AI$48,($G$46/$BL$28-$BJ$19+($G$47/$BH$28+$BK$19)*$BL$19/$BM$19)/(1-$BI$19/$BH$19*$BL$19/$BM$19)+$BJ$19,"")</f>
        <v/>
      </c>
      <c r="AJ53" s="285" t="str">
        <f>IF($AD53=AI$48,($G$47/$BH$28+$BK$19+($G$46/$BL$28-$BJ$19)*$BI$19/$BH$19)/(1-$BI$19/$BH$19*$BL$19/$BM$19),"")</f>
        <v/>
      </c>
      <c r="AK53" s="304" t="str">
        <f>IF($AD53=AK$48,($Q$46/$BP$28-$BT19-$BR$19-($Q$47/$BV$28-$BS$19-$BU$19)*$BP$19/$BQ$19)/(1-$BW$19/$BV$19*$BP$19/$BQ$19)+$BT$19,"")</f>
        <v/>
      </c>
      <c r="AL53" s="285" t="str">
        <f>IF($AD53=AK$48,-($Q$47/$BV$28-$BS$19-$BU$19-($Q$46/$BP$28-$BT$19-$BR$19)*$BW$19/$BV$19)/(1-$BW$19/$BV$19*$BP$19/$BQ$19)-$BS$19,"")</f>
        <v/>
      </c>
      <c r="BG53" s="291">
        <v>17</v>
      </c>
      <c r="BH53" s="291">
        <v>8</v>
      </c>
      <c r="BI53" s="291">
        <v>9</v>
      </c>
      <c r="BJ53" s="291">
        <v>16</v>
      </c>
      <c r="BK53" s="291">
        <v>21</v>
      </c>
      <c r="BL53" s="291">
        <v>20</v>
      </c>
      <c r="BM53" s="291">
        <v>19</v>
      </c>
      <c r="BN53" s="291">
        <v>18</v>
      </c>
      <c r="BO53" s="291">
        <v>7</v>
      </c>
      <c r="BZ53" s="596"/>
      <c r="CA53" s="596"/>
    </row>
    <row r="54" spans="1:79" x14ac:dyDescent="0.25">
      <c r="A54" s="426" t="s">
        <v>411</v>
      </c>
      <c r="B54" s="319" t="e">
        <f>IF(NOT(ISBLANK(D54)),D54,DGET('Grid Numbers'!$A$2:$L$4952,'Grid Numbers'!$L$2,$B$72:$H$73))</f>
        <v>#VALUE!</v>
      </c>
      <c r="C54" s="598"/>
      <c r="D54" s="490"/>
      <c r="F54" s="646"/>
      <c r="I54" s="425"/>
      <c r="J54" s="424"/>
      <c r="K54" s="424"/>
      <c r="L54" s="308"/>
      <c r="M54" s="307"/>
      <c r="P54" s="646"/>
      <c r="S54" s="425"/>
      <c r="T54" s="424"/>
      <c r="U54" s="490"/>
      <c r="V54" s="581"/>
      <c r="W54" s="319" t="e">
        <f>IF(NOT(ISBLANK(U54)),U54,DGET('Grid Numbers'!$A$2:$L$4952,'Grid Numbers'!$L$2,$B$80:$H$81))</f>
        <v>#VALUE!</v>
      </c>
      <c r="X54" s="423" t="s">
        <v>411</v>
      </c>
      <c r="AA54" s="593"/>
      <c r="AB54" s="593"/>
      <c r="AD54" s="317">
        <v>3</v>
      </c>
      <c r="AE54" s="304" t="str">
        <f>IF($AD54=AE$48,-($Q$30/$AX$28+$AV$19-$BZ$19+($Q$31/$BX$28+$CA$19-$AW$19)*$AX$19/$AY$19)/(1-$AX$19/$AY$19*$BY$19/$BX$19)-$BZ$19,"")</f>
        <v/>
      </c>
      <c r="AF54" s="285" t="str">
        <f>IF($AD54=AE$48,-($Q$31/$BX$28+$CA$19-$AW$19+($Q$30/$AX$28+$AV$19-$BZ$19)*$BY$19/$BX$19)/(1-$AX$19/$AY$19*$BY$19/$BX$19)-$AW$19,"")</f>
        <v/>
      </c>
      <c r="AG54" s="417" t="str">
        <f>IF($AD54=AG$48,-($G$30/$BB$28-$BD$19-($G$31/$BF$28-$BE$19)*$BB$19/$BC$19)/(1-$BG$19/$BF$19*$BB$19/$BC$19)-$BD$19,"")</f>
        <v/>
      </c>
      <c r="AH54" s="417" t="str">
        <f>IF($AD54=AG$48,($G$31/$BF$28-$BE$19-($G$30/$BB$28-$BD$19)*$BG$19/$BF$19)/(1-$BG$19/$BF$19*$BB$19/$BC$19),"")</f>
        <v/>
      </c>
      <c r="AI54" s="304" t="str">
        <f>IF($AD54=AI$48,($G$46/$BL$28+$G$47/$BJ$28*$BL$19/$BM$19)/(1-$BK$19/$BJ$19*$BL$19/$BM$19),"")</f>
        <v/>
      </c>
      <c r="AJ54" s="285" t="str">
        <f>IF($AD54=AI$48,($G$47/$BJ$28+$G$46/$BL$28*$BK$19/$BJ$19)/(1-$BK$19/$BJ$19*$BL$19/$BM$19),"")</f>
        <v/>
      </c>
      <c r="AK54" s="304" t="str">
        <f>IF($AD54=AK$48,($Q$46/$BP$28-$BR$19-($Q$47/$BT$28-$BS$19)*$BP$19/$BQ$19)/(1-$BU$19/$BT$19*$BP$19/$BQ$19),"")</f>
        <v/>
      </c>
      <c r="AL54" s="285" t="str">
        <f>IF($AD54=AK$48,-($Q$47/$BT$28-$BS$19-($Q$46/$BP$28-$BR$19)*$BU$19/$BT$19)/(1-$BU$19/$BT$19*$BP$19/$BQ$19)-$BS$19,"")</f>
        <v/>
      </c>
      <c r="BG54" s="291">
        <v>18</v>
      </c>
      <c r="BH54" s="291">
        <v>7</v>
      </c>
      <c r="BI54" s="291">
        <v>8</v>
      </c>
      <c r="BJ54" s="291">
        <v>17</v>
      </c>
      <c r="BK54" s="291">
        <v>20</v>
      </c>
      <c r="BL54" s="291">
        <v>19</v>
      </c>
      <c r="BM54" s="291">
        <v>24</v>
      </c>
      <c r="BN54" s="291">
        <v>13</v>
      </c>
      <c r="BO54" s="291">
        <v>12</v>
      </c>
      <c r="BZ54" s="596"/>
      <c r="CA54" s="596"/>
    </row>
    <row r="55" spans="1:79" ht="12" customHeight="1" thickBot="1" x14ac:dyDescent="0.3">
      <c r="A55" s="426" t="s">
        <v>412</v>
      </c>
      <c r="B55" s="643" t="e">
        <f>IF(AND($L$38='SHL Section'!$BE$50,MAX('SHL Section'!$BF$37:$BF$40)=4),'SHL Section'!$W$54,IF(AND($L$38='SHL Section'!$BE$53,MAX('SHL Section'!$BF$41:$BF$44)=4),'SHL Section'!$W$54,IF(AND($L$38='SHL Section'!$BE$56,MAX('SHL Section'!$BF$45:$BF$48)=4),'SHL Section'!$W$54,IF(B51="","",IF(OR(B54=1,B54=4),180-(B51+B52/60+B53/3600),180+(B51+B52/60+B53/3600))))))</f>
        <v>#VALUE!</v>
      </c>
      <c r="C55" s="584"/>
      <c r="D55" s="576"/>
      <c r="E55" s="576"/>
      <c r="F55" s="576"/>
      <c r="G55" s="576"/>
      <c r="H55" s="576"/>
      <c r="I55" s="576"/>
      <c r="J55" s="576"/>
      <c r="K55" s="576"/>
      <c r="L55" s="303"/>
      <c r="M55" s="302"/>
      <c r="N55" s="576"/>
      <c r="O55" s="576"/>
      <c r="P55" s="576"/>
      <c r="Q55" s="576"/>
      <c r="R55" s="576"/>
      <c r="S55" s="576"/>
      <c r="T55" s="576"/>
      <c r="U55" s="576"/>
      <c r="V55" s="577"/>
      <c r="W55" s="642" t="e">
        <f>IF(AND($L$38='SHL Section'!$BE$50,MAX('SHL Section'!$BF$37:$BF$40)=8),'SHL Section'!$B$54,IF(AND($L$38='SHL Section'!$BE$53,MAX('SHL Section'!$BF$41:$BF$44)=8),'SHL Section'!$B$54,IF(AND($L$38='SHL Section'!$BE$56,MAX('SHL Section'!$BF$45:$BF$48)=8),'SHL Section'!$B$54,IF(W51="","",IF(OR(W54=1,W54=4),180-(W51+W52/60+W53/3600),180+(W51+W52/60+W53/3600))))))</f>
        <v>#VALUE!</v>
      </c>
      <c r="X55" s="423" t="s">
        <v>412</v>
      </c>
      <c r="AA55" s="593"/>
      <c r="AB55" s="593"/>
      <c r="AD55" s="317">
        <v>4</v>
      </c>
      <c r="AE55" s="304" t="str">
        <f>IF($AD55=AE$48,-($Q$30/$AV$28-$BZ$19+($Q$31/$BX$28+$CA$19)*$AV$19/$AW$19)/(1-$AV$19/$AW$19*$BY$19/$BX$19)-$BZ$19,"")</f>
        <v/>
      </c>
      <c r="AF55" s="285" t="str">
        <f>IF($AD55=AE$48,-($Q$31/$BX$28+$CA$19+($Q$30/$AV$28-$BZ$19)*$BY$19/$BX$19)/(1-$AV$19/$AW$19*$BY$19/$BX$19),"")</f>
        <v/>
      </c>
      <c r="AG55" s="417" t="str">
        <f>IF($AD55=AG$48,-($G$30/$AZ$28-$BD$19-$BB$19-($G$31/$BF$28-$BC$19-$BE$19)*$AZ$19/$BA$19)/(1-$AZ$19/$BA$19*$BG$19/$BF$19)-$BD$19,"")</f>
        <v/>
      </c>
      <c r="AH55" s="417" t="str">
        <f>IF($AD55=AG$48,($G$31/$BF$28-$BC$19-$BE$19-($G$30/$AZ$28-$BD$19-$BB$19)*$BG$19/$BF$19)/(1-$AZ$19/$BA$19*$BG$19/$BF$19)+$BC$19,"")</f>
        <v/>
      </c>
      <c r="AI55" s="304" t="str">
        <f>IF($AD55=AI$48,($G$46/$BN$28+$BL$19+($G$47/$BJ$28-$BM$19)*$BN$19/$BO$19)/(1-$BK$19/$BJ$19*$BN$19/$BO$19),"")</f>
        <v/>
      </c>
      <c r="AJ55" s="285" t="str">
        <f>IF($AD55=AI$48,($G$47/$BJ$28-$BM$19+($G$46/$BN$28+$BL$19)*$BK$19/$BJ$19)/(1-$BK$19/$BJ$19*$BN$19/$BO$19)+$BM$19,"")</f>
        <v/>
      </c>
      <c r="AK55" s="304" t="str">
        <f>IF($AD55=AK$48,($Q$46/$BR$28-$Q$47/$BT$28*$BR$19/$BS$19)/(1-$BU$19/$BT$19*$BR$19/$BS$19),"")</f>
        <v/>
      </c>
      <c r="AL55" s="285" t="str">
        <f>IF($AD55=AK$48,-($Q$47/$BT$28-$Q$46/$BR$28*$BU$19/$BT$19)/(1-$BU$19/$BT$19*$BR$19/$BS$19),"")</f>
        <v/>
      </c>
      <c r="AW55" s="596">
        <v>1</v>
      </c>
      <c r="AX55" s="596">
        <v>2</v>
      </c>
      <c r="AY55" s="596">
        <v>3</v>
      </c>
      <c r="AZ55" s="596">
        <v>4</v>
      </c>
      <c r="BG55" s="291">
        <v>19</v>
      </c>
      <c r="BH55" s="291">
        <v>18</v>
      </c>
      <c r="BI55" s="291">
        <v>17</v>
      </c>
      <c r="BJ55" s="291">
        <v>20</v>
      </c>
      <c r="BK55" s="291">
        <v>29</v>
      </c>
      <c r="BL55" s="291">
        <v>30</v>
      </c>
      <c r="BM55" s="291">
        <v>25</v>
      </c>
      <c r="BN55" s="291">
        <v>24</v>
      </c>
      <c r="BO55" s="291">
        <v>13</v>
      </c>
      <c r="BZ55" s="596"/>
      <c r="CA55" s="596"/>
    </row>
    <row r="56" spans="1:79" ht="12" customHeight="1" thickBot="1" x14ac:dyDescent="0.3">
      <c r="B56" s="775" t="e">
        <f>CONCATENATE("SW SC of ",$L$38)</f>
        <v>#VALUE!</v>
      </c>
      <c r="C56" s="679"/>
      <c r="L56" s="774" t="e">
        <f>CONCATENATE("S QC of ",$L$38)</f>
        <v>#VALUE!</v>
      </c>
      <c r="M56" s="702"/>
      <c r="V56" s="766" t="e">
        <f>CONCATENATE("SE SC of ",$L$38)</f>
        <v>#VALUE!</v>
      </c>
      <c r="W56" s="679"/>
      <c r="AA56" s="593"/>
      <c r="AB56" s="593"/>
      <c r="AE56" s="289"/>
      <c r="AF56" s="288"/>
      <c r="AG56" s="290"/>
      <c r="AH56" s="290"/>
      <c r="AI56" s="289"/>
      <c r="AJ56" s="288"/>
      <c r="AK56" s="289"/>
      <c r="AL56" s="288"/>
      <c r="AV56" s="596">
        <v>1</v>
      </c>
      <c r="AW56" s="291" t="s">
        <v>429</v>
      </c>
      <c r="AX56" s="291" t="s">
        <v>440</v>
      </c>
      <c r="AY56" s="291" t="s">
        <v>450</v>
      </c>
      <c r="AZ56" s="291" t="s">
        <v>455</v>
      </c>
      <c r="BG56" s="291">
        <v>20</v>
      </c>
      <c r="BH56" s="291">
        <v>17</v>
      </c>
      <c r="BI56" s="291">
        <v>16</v>
      </c>
      <c r="BJ56" s="291">
        <v>21</v>
      </c>
      <c r="BK56" s="291">
        <v>28</v>
      </c>
      <c r="BL56" s="291">
        <v>29</v>
      </c>
      <c r="BM56" s="291">
        <v>30</v>
      </c>
      <c r="BN56" s="291">
        <v>19</v>
      </c>
      <c r="BO56" s="291">
        <v>18</v>
      </c>
      <c r="BZ56" s="596"/>
      <c r="CA56" s="596"/>
    </row>
    <row r="57" spans="1:79" ht="12" customHeight="1" x14ac:dyDescent="0.25">
      <c r="D57" s="426" t="s">
        <v>385</v>
      </c>
      <c r="E57" s="300" t="e">
        <f>IF(NOT(ISBLANK(F57)),F57,DGET('Grid Numbers'!$A$2:$L$4952,'Grid Numbers'!$H$2,$L$74:$R$75))</f>
        <v>#VALUE!</v>
      </c>
      <c r="F57" s="486"/>
      <c r="H57" s="297"/>
      <c r="I57" s="297"/>
      <c r="J57" s="426" t="s">
        <v>385</v>
      </c>
      <c r="K57" s="301" t="e">
        <f>IF(NOT(ISBLANK(L57)),L57,DGET('Grid Numbers'!$A$2:$L$4952,'Grid Numbers'!$H$2,$L$76:$R$77))</f>
        <v>#VALUE!</v>
      </c>
      <c r="L57" s="486"/>
      <c r="N57" s="426" t="s">
        <v>385</v>
      </c>
      <c r="O57" s="300" t="e">
        <f>IF(NOT(ISBLANK(P57)),P57,DGET('Grid Numbers'!$A$2:$L$4952,'Grid Numbers'!$H$2,$L$78:$R$79))</f>
        <v>#VALUE!</v>
      </c>
      <c r="P57" s="486"/>
      <c r="Q57" s="297"/>
      <c r="R57" s="297"/>
      <c r="T57" s="426" t="s">
        <v>385</v>
      </c>
      <c r="U57" s="299" t="e">
        <f>IF(NOT(ISBLANK(V57)),V57,DGET('Grid Numbers'!$A$2:$L$4952,'Grid Numbers'!$H$2,$L$80:$R$81))</f>
        <v>#VALUE!</v>
      </c>
      <c r="V57" s="486"/>
      <c r="AA57" s="593"/>
      <c r="AB57" s="593"/>
      <c r="AE57" s="761" t="s">
        <v>467</v>
      </c>
      <c r="AF57" s="757"/>
      <c r="AG57" s="767" t="s">
        <v>467</v>
      </c>
      <c r="AH57" s="735"/>
      <c r="AI57" s="761" t="s">
        <v>467</v>
      </c>
      <c r="AJ57" s="757"/>
      <c r="AK57" s="761" t="s">
        <v>467</v>
      </c>
      <c r="AL57" s="757"/>
      <c r="AV57" s="596">
        <v>2</v>
      </c>
      <c r="AW57" s="291" t="s">
        <v>434</v>
      </c>
      <c r="AX57" s="291" t="s">
        <v>443</v>
      </c>
      <c r="AY57" s="291" t="s">
        <v>451</v>
      </c>
      <c r="AZ57" s="291" t="s">
        <v>461</v>
      </c>
      <c r="BG57" s="291">
        <v>21</v>
      </c>
      <c r="BH57" s="291">
        <v>16</v>
      </c>
      <c r="BI57" s="291">
        <v>15</v>
      </c>
      <c r="BJ57" s="291">
        <v>22</v>
      </c>
      <c r="BK57" s="291">
        <v>27</v>
      </c>
      <c r="BL57" s="291">
        <v>28</v>
      </c>
      <c r="BM57" s="291">
        <v>29</v>
      </c>
      <c r="BN57" s="291">
        <v>20</v>
      </c>
      <c r="BO57" s="291">
        <v>17</v>
      </c>
      <c r="BZ57" s="596"/>
      <c r="CA57" s="596"/>
    </row>
    <row r="58" spans="1:79" ht="12" customHeight="1" x14ac:dyDescent="0.25">
      <c r="D58" s="426" t="s">
        <v>395</v>
      </c>
      <c r="E58" s="293" t="e">
        <f>IF(NOT(ISBLANK(F58)),F58,DGET('Grid Numbers'!$A$2:$L$4952,'Grid Numbers'!$I$2,$L$74:$R$75))</f>
        <v>#VALUE!</v>
      </c>
      <c r="F58" s="486"/>
      <c r="J58" s="426" t="s">
        <v>395</v>
      </c>
      <c r="K58" s="294" t="e">
        <f>IF(NOT(ISBLANK(L58)),L58,DGET('Grid Numbers'!$A$2:$L$4952,'Grid Numbers'!$I$2,$L$76:$R$77))</f>
        <v>#VALUE!</v>
      </c>
      <c r="L58" s="486"/>
      <c r="N58" s="426" t="s">
        <v>395</v>
      </c>
      <c r="O58" s="293" t="e">
        <f>IF(NOT(ISBLANK(P58)),P58,DGET('Grid Numbers'!$A$2:$L$4952,'Grid Numbers'!$I$2,$L$78:$R$79))</f>
        <v>#VALUE!</v>
      </c>
      <c r="P58" s="486"/>
      <c r="T58" s="426" t="s">
        <v>395</v>
      </c>
      <c r="U58" s="293" t="e">
        <f>IF(NOT(ISBLANK(V58)),V58,DGET('Grid Numbers'!$A$2:$L$4952,'Grid Numbers'!$I$2,$L$80:$R$81))</f>
        <v>#VALUE!</v>
      </c>
      <c r="V58" s="486"/>
      <c r="AA58" s="593"/>
      <c r="AB58" s="593"/>
      <c r="AE58" s="762" t="str">
        <f>IF($AE$30="","",IF(AND((-$AE$30+$AF$30*$AV$19/$AW$19)&gt;0,-$AE$30&lt;$BZ$19,(-$AF$30+$AE$30*$CA$19/$BZ$19)&gt;0,-$AF$30&lt;$AW$19),1,IF(AND((-$AE$30-$AV$19+($AF$30+$AW$19)*$AX$19/$AY$19)&gt;0,-$AE$30&lt;$BZ$19,-$AF$30&gt;$AW$19,-$AF$30&lt;$AX$22),2,IF(AND(-$AE$30&lt;$BY$22,-$AE$30&gt;$BZ$19,-$AF$30&gt;$AW$19,-$AF$30&lt;$AX$22),3,IF(AND(-$AE$30&lt;$BY$22,-$AE$30&gt;$BZ$19,(-$AF$30-$CA$19-(-$AE$30-$BZ$19)*$BY$19/$BX$19)&gt;0,-$AF$30&lt;$AW$19),4,"")))))</f>
        <v/>
      </c>
      <c r="AF58" s="683"/>
      <c r="AG58" s="762" t="str">
        <f>IF($AG$30="","",IF(AND((-$AG$30+$BB$19+($AH$30-$BC$19)*$AZ$19/$BA$19)&gt;0,-$AG$30&lt;$BD$19,$AH$30&gt;$BC$19,$AH$30&lt;$BB$22),1,IF(AND((-$AG$30+$AH$30*$BB$19/$BC$19)&gt;0,-$AG$30&lt;$BD$19,($AH$30-$AG$30*$BE$19/$BD$19)&gt;0,$AH$30&lt;$BC$19),2,IF(AND(-$AG$30&gt;$BD$19,-$AG$30&lt;$BE$22,($AH$30+$BE$19+(-$AG$30-$BD$19)*$BG$19/$BF$19)&gt;0,$AH$30&lt;$BC$19),3,IF(AND(-$AG$30&gt;$BD$19,-$AG$30&lt;$BE$22,$AH$30&gt;$BC$19,$AH$30&lt;$BB$22),4,"")))))</f>
        <v/>
      </c>
      <c r="AH58" s="683"/>
      <c r="AI58" s="762" t="str">
        <f>IF($AI$30="","",IF(AND($AI$30&gt;$BJ$19,$AI$30&lt;$BI$22,$AJ$30&gt;$BM$19,$AJ$30&lt;$BN$22),1,IF(AND($AI$30&gt;$BJ$19,$AI$30&lt;$BI$22,($AJ$30-$BK$19-($AI$30-$BJ$19)*$BI$19/$BH$19)&gt;0,$AJ$30&lt;$BM$19),2,IF(AND(($AI$30-$AJ$30*$BL$19/$BM$19)&gt;0,$AI$30&lt;$BJ$19,($AJ$30-$AI$30*$BK$19/$BJ$19)&gt;0,$AJ$30&lt;$BM$19),3,IF(AND(($AI$30-$BL$19-($AJ$30-$BM$19)*$BN$19/$BO$19)&gt;0,$AI$30&lt;$BJ$19,$AJ$30&gt;$BM$19,$AJ$30&lt;$BN$22),4,"")))))</f>
        <v/>
      </c>
      <c r="AJ58" s="683"/>
      <c r="AK58" s="762" t="str">
        <f>IF($AK$30="","",IF(AND($AK$30&gt;$BT$19,$AK$30&lt;$BU$22,(-$AL$30+$BU$19+($AK$30-$BT$19)*$BW$19/$BV$19)&gt;0,-$AL$30&lt;$BS$19),1,IF(AND($AK$30&gt;$BT$19,$AK$30&lt;$BU$22,-$AL$30&gt;$BS$19,-$AL$30&lt;$BR$22),2,IF(AND(($AK$30+$BR$19+(-$AL$30-$BS$19)*$BP$19/$BQ$19)&gt;0,$AK$30&lt;$BT$19,-$AL$30&gt;$BS$19,-$AL$30&lt;$BR$22),3,IF(AND(($AK$30-$AL$30*$BR$19/$BS$19)&gt;0,$AK$30&lt;$BT$19,(-$AL$30+$AK$30*$BU$19/$BT$19)&gt;0,-$AL$30&lt;$BS$19),4,"")))))</f>
        <v/>
      </c>
      <c r="AL58" s="683"/>
      <c r="AV58" s="596">
        <v>3</v>
      </c>
      <c r="AW58" s="291" t="s">
        <v>437</v>
      </c>
      <c r="AX58" s="291" t="s">
        <v>444</v>
      </c>
      <c r="AY58" s="291" t="s">
        <v>453</v>
      </c>
      <c r="AZ58" s="291" t="s">
        <v>463</v>
      </c>
      <c r="BG58" s="291">
        <v>22</v>
      </c>
      <c r="BH58" s="291">
        <v>15</v>
      </c>
      <c r="BI58" s="291">
        <v>14</v>
      </c>
      <c r="BJ58" s="291">
        <v>23</v>
      </c>
      <c r="BK58" s="291">
        <v>26</v>
      </c>
      <c r="BL58" s="291">
        <v>27</v>
      </c>
      <c r="BM58" s="291">
        <v>28</v>
      </c>
      <c r="BN58" s="291">
        <v>21</v>
      </c>
      <c r="BO58" s="291">
        <v>16</v>
      </c>
      <c r="BZ58" s="596"/>
      <c r="CA58" s="596"/>
    </row>
    <row r="59" spans="1:79" ht="12" customHeight="1" x14ac:dyDescent="0.25">
      <c r="D59" s="426" t="s">
        <v>398</v>
      </c>
      <c r="E59" s="293" t="e">
        <f>IF(NOT(ISBLANK(F59)),F59,DGET('Grid Numbers'!$A$2:$L$4952,'Grid Numbers'!$J$2,$L$74:$R$75))</f>
        <v>#VALUE!</v>
      </c>
      <c r="F59" s="486"/>
      <c r="J59" s="426" t="s">
        <v>398</v>
      </c>
      <c r="K59" s="294" t="e">
        <f>IF(NOT(ISBLANK(L59)),L59,DGET('Grid Numbers'!$A$2:$L$4952,'Grid Numbers'!$J$2,$L$76:$R$77))</f>
        <v>#VALUE!</v>
      </c>
      <c r="L59" s="486"/>
      <c r="N59" s="426" t="s">
        <v>398</v>
      </c>
      <c r="O59" s="293" t="e">
        <f>IF(NOT(ISBLANK(P59)),P59,DGET('Grid Numbers'!$A$2:$L$4952,'Grid Numbers'!$J$2,$L$78:$R$79))</f>
        <v>#VALUE!</v>
      </c>
      <c r="P59" s="486"/>
      <c r="T59" s="426" t="s">
        <v>398</v>
      </c>
      <c r="U59" s="293" t="e">
        <f>IF(NOT(ISBLANK(V59)),V59,DGET('Grid Numbers'!$A$2:$L$4952,'Grid Numbers'!$J$2,$L$80:$R$81))</f>
        <v>#VALUE!</v>
      </c>
      <c r="V59" s="486"/>
      <c r="AA59" s="593"/>
      <c r="AB59" s="593"/>
      <c r="AE59" s="289"/>
      <c r="AF59" s="288"/>
      <c r="AG59" s="290"/>
      <c r="AH59" s="290"/>
      <c r="AI59" s="289"/>
      <c r="AJ59" s="288"/>
      <c r="AK59" s="289"/>
      <c r="AL59" s="288"/>
      <c r="AV59" s="596">
        <v>4</v>
      </c>
      <c r="AW59" s="291" t="s">
        <v>439</v>
      </c>
      <c r="AX59" s="291" t="s">
        <v>445</v>
      </c>
      <c r="AY59" s="291" t="s">
        <v>454</v>
      </c>
      <c r="AZ59" s="291" t="s">
        <v>464</v>
      </c>
      <c r="BG59" s="291">
        <v>23</v>
      </c>
      <c r="BH59" s="291">
        <v>14</v>
      </c>
      <c r="BI59" s="291">
        <v>13</v>
      </c>
      <c r="BJ59" s="291">
        <v>24</v>
      </c>
      <c r="BK59" s="291">
        <v>25</v>
      </c>
      <c r="BL59" s="291">
        <v>26</v>
      </c>
      <c r="BM59" s="291">
        <v>27</v>
      </c>
      <c r="BN59" s="291">
        <v>22</v>
      </c>
      <c r="BO59" s="291">
        <v>15</v>
      </c>
      <c r="BZ59" s="596"/>
      <c r="CA59" s="596"/>
    </row>
    <row r="60" spans="1:79" ht="12" customHeight="1" x14ac:dyDescent="0.25">
      <c r="D60" s="426" t="s">
        <v>410</v>
      </c>
      <c r="E60" s="293" t="e">
        <f>IF(NOT(ISBLANK(F60)),F60,DGET('Grid Numbers'!$A$2:$L$4952,'Grid Numbers'!$K$2,$L$74:$R$75))</f>
        <v>#VALUE!</v>
      </c>
      <c r="F60" s="487"/>
      <c r="J60" s="426" t="s">
        <v>410</v>
      </c>
      <c r="K60" s="294" t="e">
        <f>IF(NOT(ISBLANK(L60)),L60,DGET('Grid Numbers'!$A$2:$L$4952,'Grid Numbers'!$K$2,$L$76:$R$77))</f>
        <v>#VALUE!</v>
      </c>
      <c r="L60" s="487"/>
      <c r="N60" s="426" t="s">
        <v>410</v>
      </c>
      <c r="O60" s="293" t="e">
        <f>IF(NOT(ISBLANK(P60)),P60,DGET('Grid Numbers'!$A$2:$L$4952,'Grid Numbers'!$K$2,$L$78:$R$79))</f>
        <v>#VALUE!</v>
      </c>
      <c r="P60" s="487"/>
      <c r="T60" s="426" t="s">
        <v>410</v>
      </c>
      <c r="U60" s="293" t="e">
        <f>IF(NOT(ISBLANK(V60)),V60,DGET('Grid Numbers'!$A$2:$L$4952,'Grid Numbers'!$K$2,$L$80:$R$81))</f>
        <v>#VALUE!</v>
      </c>
      <c r="V60" s="487"/>
      <c r="AA60" s="593"/>
      <c r="AB60" s="593"/>
      <c r="AE60" s="761" t="s">
        <v>468</v>
      </c>
      <c r="AF60" s="757"/>
      <c r="AG60" s="761" t="s">
        <v>469</v>
      </c>
      <c r="AH60" s="757"/>
      <c r="AI60" s="761" t="s">
        <v>470</v>
      </c>
      <c r="AJ60" s="757"/>
      <c r="AK60" s="761" t="s">
        <v>471</v>
      </c>
      <c r="AL60" s="757"/>
      <c r="BG60" s="291">
        <v>24</v>
      </c>
      <c r="BH60" s="291">
        <v>13</v>
      </c>
      <c r="BI60" s="291">
        <v>18</v>
      </c>
      <c r="BJ60" s="291">
        <v>19</v>
      </c>
      <c r="BK60" s="291">
        <v>30</v>
      </c>
      <c r="BL60" s="291">
        <v>25</v>
      </c>
      <c r="BM60" s="291">
        <v>26</v>
      </c>
      <c r="BN60" s="291">
        <v>23</v>
      </c>
      <c r="BO60" s="291">
        <v>14</v>
      </c>
      <c r="BZ60" s="596"/>
      <c r="CA60" s="596"/>
    </row>
    <row r="61" spans="1:79" ht="12" customHeight="1" x14ac:dyDescent="0.25">
      <c r="D61" s="426" t="s">
        <v>411</v>
      </c>
      <c r="E61" s="319" t="e">
        <f>IF(NOT(ISBLANK(F61)),F61,DGET('Grid Numbers'!$A$2:$L$4952,'Grid Numbers'!$L$2,$L$74:$R$75))</f>
        <v>#VALUE!</v>
      </c>
      <c r="F61" s="490"/>
      <c r="J61" s="426" t="s">
        <v>411</v>
      </c>
      <c r="K61" s="319" t="e">
        <f>IF(NOT(ISBLANK(L61)),L61,DGET('Grid Numbers'!$A$2:$L$4952,'Grid Numbers'!$L$2,$L$76:$R$77))</f>
        <v>#VALUE!</v>
      </c>
      <c r="L61" s="490"/>
      <c r="N61" s="426" t="s">
        <v>411</v>
      </c>
      <c r="O61" s="319" t="e">
        <f>IF(NOT(ISBLANK(P61)),P61,DGET('Grid Numbers'!$A$2:$L$4952,'Grid Numbers'!$L$2,$L$78:$R$79))</f>
        <v>#VALUE!</v>
      </c>
      <c r="P61" s="490"/>
      <c r="T61" s="426" t="s">
        <v>411</v>
      </c>
      <c r="U61" s="319" t="e">
        <f>IF(NOT(ISBLANK(V61)),V61,DGET('Grid Numbers'!$A$2:$L$4952,'Grid Numbers'!$L$2,$L$80:$R$81))</f>
        <v>#VALUE!</v>
      </c>
      <c r="V61" s="490"/>
      <c r="AA61" s="593"/>
      <c r="AB61" s="593"/>
      <c r="AD61" s="467" t="s">
        <v>340</v>
      </c>
      <c r="AE61" s="588" t="s">
        <v>186</v>
      </c>
      <c r="AF61" s="588" t="s">
        <v>188</v>
      </c>
      <c r="AG61" s="465" t="s">
        <v>186</v>
      </c>
      <c r="AH61" s="464" t="s">
        <v>189</v>
      </c>
      <c r="AI61" s="588" t="s">
        <v>187</v>
      </c>
      <c r="AJ61" s="588" t="s">
        <v>189</v>
      </c>
      <c r="AK61" s="588" t="s">
        <v>187</v>
      </c>
      <c r="AL61" s="588" t="s">
        <v>188</v>
      </c>
      <c r="AN61" s="596" t="s">
        <v>472</v>
      </c>
      <c r="AW61" s="292" t="e">
        <f>VLOOKUP(MAX($AE$48:$AL$48),$AV$56:$AZ$59,MAX($AE$48:$AL$48)+1,FALSE)</f>
        <v>#N/A</v>
      </c>
      <c r="BG61" s="291">
        <v>25</v>
      </c>
      <c r="BH61" s="291">
        <v>24</v>
      </c>
      <c r="BI61" s="291">
        <v>19</v>
      </c>
      <c r="BJ61" s="291">
        <v>30</v>
      </c>
      <c r="BK61" s="291">
        <v>31</v>
      </c>
      <c r="BL61" s="291">
        <v>36</v>
      </c>
      <c r="BM61" s="291">
        <v>35</v>
      </c>
      <c r="BN61" s="291">
        <v>26</v>
      </c>
      <c r="BO61" s="291">
        <v>23</v>
      </c>
      <c r="BZ61" s="596"/>
      <c r="CA61" s="596"/>
    </row>
    <row r="62" spans="1:79" ht="12" customHeight="1" x14ac:dyDescent="0.25">
      <c r="D62" s="426" t="s">
        <v>412</v>
      </c>
      <c r="E62" s="642" t="e">
        <f>IF(AND($L$38='SHL Section'!$BE$50,MAX('SHL Section'!$BF$37:$BF$40)=2),'SHL Section'!$E$23,IF(AND($L$38='SHL Section'!$BE$53,MAX('SHL Section'!$BF$41:$BF$44)=2),'SHL Section'!$E$23,IF(AND($L$38='SHL Section'!$BE$56,MAX('SHL Section'!$BF$45:$BF$48)=2),'SHL Section'!$E$23,IF(E58="","",IF(OR(E61=1,E61=4),180-(E58+E59/60+E60/3600),(E58+E59/60+E60/3600))))))</f>
        <v>#VALUE!</v>
      </c>
      <c r="J62" s="426" t="s">
        <v>412</v>
      </c>
      <c r="K62" s="642" t="e">
        <f>IF(AND($L$38='SHL Section'!$BE$50,MAX('SHL Section'!$BF$37:$BF$40)=2),'SHL Section'!$K$23,IF(AND($L$38='SHL Section'!$BE$53,MAX('SHL Section'!$BF$41:$BF$44)=2),'SHL Section'!$K$23,IF(AND($L$38='SHL Section'!$BE$56,MAX('SHL Section'!$BF$45:$BF$48)=2),'SHL Section'!$K$23,IF(K58="","",IF(OR(K61=1,K61=4),180-(K58+K59/60+K60/3600),(K58+K59/60+K60/3600))))))</f>
        <v>#VALUE!</v>
      </c>
      <c r="L62" s="446"/>
      <c r="M62" s="446"/>
      <c r="N62" s="426" t="s">
        <v>412</v>
      </c>
      <c r="O62" s="642" t="e">
        <f>IF(AND($L$38='SHL Section'!$BE$50,MAX('SHL Section'!$BF$37:$BF$40)=2),'SHL Section'!$O$23,IF(AND($L$38='SHL Section'!$BE$53,MAX('SHL Section'!$BF$41:$BF$44)=2),'SHL Section'!$O$23,IF(AND($L$38='SHL Section'!$BE$56,MAX('SHL Section'!$BF$45:$BF$48)=2),'SHL Section'!$O$23,IF(O58="","",IF(OR(O61=1,O61=4),180-(O58+O59/60+O60/3600),(O58+O59/60+O60/3600))))))</f>
        <v>#VALUE!</v>
      </c>
      <c r="T62" s="426" t="s">
        <v>412</v>
      </c>
      <c r="U62" s="643" t="e">
        <f>IF(AND($L$38='SHL Section'!$BE$50,MAX('SHL Section'!$BF$37:$BF$40)=2),'SHL Section'!$U$23,IF(AND($L$38='SHL Section'!$BE$53,MAX('SHL Section'!$BF$41:$BF$44)=2),'SHL Section'!$U$23,IF(AND($L$38='SHL Section'!$BE$56,MAX('SHL Section'!$BF$45:$BF$48)=2),'SHL Section'!$U$23,IF(U58="","",IF(OR(U61=1,U61=4),180-(U58+U59/60+U60/3600),(U58+U59/60+U60/3600))))))</f>
        <v>#VALUE!</v>
      </c>
      <c r="AA62" s="593"/>
      <c r="AB62" s="593"/>
      <c r="AD62" s="317">
        <v>1</v>
      </c>
      <c r="AE62" s="304" t="str">
        <f>IF($AD62=AE$58,(-$AE$30+$AF$30*$AV$19/$AW$19)*$AV$28,"")</f>
        <v/>
      </c>
      <c r="AF62" s="285" t="str">
        <f>IF($AD62=AE$58,(-$AF$30+$AE$30*$CA$19/$BZ$19)*$BZ$28,"")</f>
        <v/>
      </c>
      <c r="AG62" s="304" t="str">
        <f>IF($AD62=AG$58,(-$AG$30+$BB$19+($AH$30-$BC$19)*$AZ$19/$BA$19)*$AZ$28,"")</f>
        <v/>
      </c>
      <c r="AH62" s="285" t="str">
        <f>IF($AD62=AG$58,($AH$30-$AG$30*$BE$19/$BD$19)*$BD$28,"")</f>
        <v/>
      </c>
      <c r="AI62" s="304" t="str">
        <f>IF($AD62=AI$58,($AI$30-$BL$19-($AJ$30-$BM$19)*$BN$19/$BO$19)*$BN$28,"")</f>
        <v/>
      </c>
      <c r="AJ62" s="285" t="str">
        <f>IF($AD62=AI$58,($AJ$30-$BK$19-($AI$30-$BJ$19)*$BI$19/$BH$19)*$BH$28,"")</f>
        <v/>
      </c>
      <c r="AK62" s="304" t="str">
        <f>IF($AD62=AK$58,($AK$30-$AL$30*$BR$19/$BS$19)*$BR$28,"")</f>
        <v/>
      </c>
      <c r="AL62" s="285" t="str">
        <f>IF($AD62=AK$58,(-$AL$30+$BU$19+($AK$30-$BT$19)*$BW$19/$BV$19)*$BV$28,"")</f>
        <v/>
      </c>
      <c r="AN62" s="287" t="str">
        <f>IF(ISNUMBER($AE$30),(-$AE$30+$AF$30*$AV$19/$AW$19),"")</f>
        <v/>
      </c>
      <c r="AO62" s="286" t="str">
        <f>IF(ISNUMBER($AF$30),(-$AF$30+$AE$30*$CA$19/$BZ$19),"")</f>
        <v/>
      </c>
      <c r="AP62" s="287" t="str">
        <f>IF(ISNUMBER($AG$30),(-$AG$30+$BB$19+($AH$30-$BC$19)*$AZ$19/$BA$19),"")</f>
        <v/>
      </c>
      <c r="AQ62" s="286" t="str">
        <f>IF(ISNUMBER($AH$30),($AH$30-$AG$30*$BE$19/$BD$19),"")</f>
        <v/>
      </c>
      <c r="AR62" s="287" t="str">
        <f>IF(ISNUMBER($AI$30),($AI$30-$BL$19-($AJ$30-$BM$19)*$BN$19/$BO$19),"")</f>
        <v/>
      </c>
      <c r="AS62" s="286" t="str">
        <f>IF(ISNUMBER($AJ$30),($AJ$30-$BK$19-($AI$30-$BJ$19)*$BI$19/$BH$19),"")</f>
        <v/>
      </c>
      <c r="AT62" s="287" t="str">
        <f>IF(ISNUMBER($AK$30),($AK$30-$AL$30*$BR$19/$BS$19),"")</f>
        <v/>
      </c>
      <c r="AU62" s="286" t="str">
        <f>IF(ISNUMBER($AL$30),(-$AL$30+$BU$19+($AK$30-$BT$19)*$BW$19/$BV$19),"")</f>
        <v/>
      </c>
      <c r="BG62" s="291">
        <v>26</v>
      </c>
      <c r="BH62" s="291">
        <v>23</v>
      </c>
      <c r="BI62" s="291">
        <v>24</v>
      </c>
      <c r="BJ62" s="291">
        <v>25</v>
      </c>
      <c r="BK62" s="291">
        <v>36</v>
      </c>
      <c r="BL62" s="291">
        <v>35</v>
      </c>
      <c r="BM62" s="291">
        <v>34</v>
      </c>
      <c r="BN62" s="291">
        <v>27</v>
      </c>
      <c r="BO62" s="291">
        <v>22</v>
      </c>
      <c r="BZ62" s="596"/>
      <c r="CA62" s="596"/>
    </row>
    <row r="63" spans="1:79" ht="12" customHeight="1" x14ac:dyDescent="0.25">
      <c r="E63" s="417" t="e">
        <f>E57</f>
        <v>#VALUE!</v>
      </c>
      <c r="F63" s="446"/>
      <c r="G63" s="446"/>
      <c r="H63" s="446"/>
      <c r="I63" s="446"/>
      <c r="J63" s="446"/>
      <c r="K63" s="417" t="e">
        <f>K57</f>
        <v>#VALUE!</v>
      </c>
      <c r="N63" s="446"/>
      <c r="O63" s="417" t="e">
        <f>O57</f>
        <v>#VALUE!</v>
      </c>
      <c r="P63" s="446"/>
      <c r="Q63" s="446"/>
      <c r="R63" s="446"/>
      <c r="S63" s="446"/>
      <c r="T63" s="446"/>
      <c r="U63" s="417" t="e">
        <f>U57</f>
        <v>#VALUE!</v>
      </c>
      <c r="AA63" s="593"/>
      <c r="AB63" s="593"/>
      <c r="AD63" s="317">
        <v>2</v>
      </c>
      <c r="AE63" s="304" t="str">
        <f>IF($AD63=AE$58,(-$AE$30-$AV$19+($AF$30+$AW$19)*$AX$19/$AY$19)*$AX$28,"")</f>
        <v/>
      </c>
      <c r="AF63" s="285" t="str">
        <f>IF($AD63=AE$58,(-$AF$30+$AE$30*$CA$19/$BZ$19)*$BZ$28,"")</f>
        <v/>
      </c>
      <c r="AG63" s="304" t="str">
        <f>IF($AD63=AG$58,(-$AG$30+$AH$30*$BB$19/$BC$19)*$BB$28,"")</f>
        <v/>
      </c>
      <c r="AH63" s="285" t="str">
        <f>IF($AD63=AG$58,($AH$30-$AG$30*$BE$19/$BD$19)*$BD$28,"")</f>
        <v/>
      </c>
      <c r="AI63" s="304" t="str">
        <f>IF($AD63=AI$58,($AI$30-$AJ$30*$BL$19/$BM$19)*$BL$28,"")</f>
        <v/>
      </c>
      <c r="AJ63" s="285" t="str">
        <f>IF($AD63=AI$58,($AJ$30-$BK$19-($AI$30-$BJ$19)*$BI$19/$BH$19)*$BH$28,"")</f>
        <v/>
      </c>
      <c r="AK63" s="304" t="str">
        <f>IF($AD63=AK$58,($AK$30+$BR$19+(-$AL$30-$BS$19)*$BP$19/$BQ$19)*$BP$28,"")</f>
        <v/>
      </c>
      <c r="AL63" s="285" t="str">
        <f>IF($AD63=AK$58,(-$AL$30+$BU$19+($AK$30-$BT$19)*$BW$19/$BV$19)*$BV$28,"")</f>
        <v/>
      </c>
      <c r="AN63" s="304" t="str">
        <f>IF(ISNUMBER($AE$30),(-$AE$30-$AV$19+($AF$30+$AW$19)*$AX$19/$AY$19),"")</f>
        <v/>
      </c>
      <c r="AO63" s="285" t="str">
        <f>IF(ISNUMBER($AF$30),(-$AF$30+$AE$30*$CA$19/$BZ$19),"")</f>
        <v/>
      </c>
      <c r="AP63" s="304" t="str">
        <f>IF(ISNUMBER($AG$30),(-$AG$30+$AH$30*$BB$19/$BC$19),"")</f>
        <v/>
      </c>
      <c r="AQ63" s="285" t="str">
        <f>IF(ISNUMBER($AH$30),($AH$30-$AG$30*$BE$19/$BD$19),"")</f>
        <v/>
      </c>
      <c r="AR63" s="304" t="str">
        <f>IF(ISNUMBER($AI$30),($AI$30-$AJ$30*$BL$19/$BM$19),"")</f>
        <v/>
      </c>
      <c r="AS63" s="285" t="str">
        <f>IF(ISNUMBER($AJ$30),($AJ$30-$BK$19-($AI$30-$BJ$19)*$BI$19/$BH$19),"")</f>
        <v/>
      </c>
      <c r="AT63" s="304" t="str">
        <f>IF(ISNUMBER($AK$30),($AK$30+$BR$19+(-$AL$30-$BS$19)*$BP$19/$BQ$19),"")</f>
        <v/>
      </c>
      <c r="AU63" s="285" t="str">
        <f>IF(ISNUMBER($AL$30),(-$AL$30+$BU$19+($AK$30-$BT$19)*$BW$19/$BV$19),"")</f>
        <v/>
      </c>
      <c r="BG63" s="291">
        <v>27</v>
      </c>
      <c r="BH63" s="291">
        <v>22</v>
      </c>
      <c r="BI63" s="291">
        <v>23</v>
      </c>
      <c r="BJ63" s="291">
        <v>26</v>
      </c>
      <c r="BK63" s="291">
        <v>35</v>
      </c>
      <c r="BL63" s="291">
        <v>34</v>
      </c>
      <c r="BM63" s="291">
        <v>33</v>
      </c>
      <c r="BN63" s="291">
        <v>28</v>
      </c>
      <c r="BO63" s="291">
        <v>21</v>
      </c>
      <c r="BZ63" s="596"/>
      <c r="CA63" s="596"/>
    </row>
    <row r="64" spans="1:79" ht="12" customHeight="1" x14ac:dyDescent="0.25">
      <c r="W64" s="416"/>
      <c r="AA64" s="593"/>
      <c r="AB64" s="593"/>
      <c r="AD64" s="317">
        <v>3</v>
      </c>
      <c r="AE64" s="304" t="str">
        <f>IF($AD64=AE$58,(-$AE$30-$AV$19+($AF$30+$AW$19)*$AX$19/$AY$19)*$AX$28,"")</f>
        <v/>
      </c>
      <c r="AF64" s="285" t="str">
        <f>IF($AD64=AE$58,(-$AF$30-$CA$19-(-$AE$30-$BZ$19)*$BY$19/$BX$19)*$BX$28,"")</f>
        <v/>
      </c>
      <c r="AG64" s="304" t="str">
        <f>IF($AD64=AG$58,(-$AG$30+$AH$30*$BB$19/$BC$19)*$BB$28,"")</f>
        <v/>
      </c>
      <c r="AH64" s="285" t="str">
        <f>IF($AD64=AG$58,($AH$30+$BE$19+(-$AG$30-$BD$19)*$BG$19/$BF$19)*$BF$28,"")</f>
        <v/>
      </c>
      <c r="AI64" s="304" t="str">
        <f>IF($AD64=AI$58,($AI$30-$AJ$30*$BL$19/$BM$19)*$BL$28,"")</f>
        <v/>
      </c>
      <c r="AJ64" s="285" t="str">
        <f>IF($AD64=AI$58,($AJ$30-$AI$30*$BK$19/$BJ$19)*$BJ$28,"")</f>
        <v/>
      </c>
      <c r="AK64" s="304" t="str">
        <f>IF($AD64=AK$58,($AK$30+$BR$19+(-$AL$30-$BS$19)*$BP$19/$BQ$19)*$BP$28,"")</f>
        <v/>
      </c>
      <c r="AL64" s="285" t="str">
        <f>IF($AD64=AK$58,(-$AL$30+$AK$30*$BU$19/$BT$19)*$BT$28,"")</f>
        <v/>
      </c>
      <c r="AN64" s="304" t="str">
        <f>IF(ISNUMBER($AE$30),(-$AE$30-$AV$19+($AF$30+$AW$19)*$AX$19/$AY$19),"")</f>
        <v/>
      </c>
      <c r="AO64" s="285" t="str">
        <f>IF(ISNUMBER($AF$30),(-$AF$30-$CA$19-(-$AE$30-$BZ$19)*$BY$19/$BX$19),"")</f>
        <v/>
      </c>
      <c r="AP64" s="304" t="str">
        <f>IF(ISNUMBER($AG$30),(-$AG$30+$AH$30*$BB$19/$BC$19),"")</f>
        <v/>
      </c>
      <c r="AQ64" s="285" t="str">
        <f>IF(ISNUMBER($AH$30),($AH$30+$BE$19+(-$AG$30-$BD$19)*$BG$19/$BF$19),"")</f>
        <v/>
      </c>
      <c r="AR64" s="304" t="str">
        <f>IF(ISNUMBER($AI$30),($AI$30-$AJ$30*$BL$19/$BM$19),"")</f>
        <v/>
      </c>
      <c r="AS64" s="285" t="str">
        <f>IF(ISNUMBER($AJ$30),($AJ$30-$AI$30*$BK$19/$BJ$19),"")</f>
        <v/>
      </c>
      <c r="AT64" s="304" t="str">
        <f>IF(ISNUMBER($AK$30),($AK$30+$BR$19+(-$AL$30-$BS$19)*$BP$19/$BQ$19),"")</f>
        <v/>
      </c>
      <c r="AU64" s="285" t="str">
        <f>IF(ISNUMBER($AL$30),(-$AL$30+$AK$30*$BU$19/$BT$19),"")</f>
        <v/>
      </c>
      <c r="BG64" s="291">
        <v>28</v>
      </c>
      <c r="BH64" s="291">
        <v>21</v>
      </c>
      <c r="BI64" s="291">
        <v>22</v>
      </c>
      <c r="BJ64" s="291">
        <v>27</v>
      </c>
      <c r="BK64" s="291">
        <v>34</v>
      </c>
      <c r="BL64" s="291">
        <v>33</v>
      </c>
      <c r="BM64" s="291">
        <v>32</v>
      </c>
      <c r="BN64" s="291">
        <v>29</v>
      </c>
      <c r="BO64" s="291">
        <v>20</v>
      </c>
      <c r="BZ64" s="596"/>
      <c r="CA64" s="596"/>
    </row>
    <row r="65" spans="2:79" ht="12" customHeight="1" x14ac:dyDescent="0.25">
      <c r="AA65" s="593"/>
      <c r="AB65" s="593"/>
      <c r="AD65" s="317">
        <v>4</v>
      </c>
      <c r="AE65" s="284" t="str">
        <f>IF($AD65=AE$58,(-$AE$30+$AF$30*$AV$19/$AW$19)*$AV$28,"")</f>
        <v/>
      </c>
      <c r="AF65" s="283" t="str">
        <f>IF($AD65=AE$58,(-$AF$30-$CA$19-(-$AE$30-$BZ$19)*$BY$19/$BX$19)*$BX$28,"")</f>
        <v/>
      </c>
      <c r="AG65" s="284" t="str">
        <f>IF($AD65=AG$58,(-$AG$30+$BB$19+($AH$30-$BC$19)*$AZ$19/$BA$19)*$AZ$28,"")</f>
        <v/>
      </c>
      <c r="AH65" s="283" t="str">
        <f>IF($AD65=AG$58,($AH$30+$BE$19+(-$AG$30-$BD$19)*$BG$19/$BF$19)*$BF$28,"")</f>
        <v/>
      </c>
      <c r="AI65" s="284" t="str">
        <f>IF($AD65=AI$58,($AI$30-$BL$19-($AJ$30-$BM$19)*$BN$19/$BO$19)*$BN$28,"")</f>
        <v/>
      </c>
      <c r="AJ65" s="283" t="str">
        <f>IF($AD65=AI$58,($AJ$30-$AI$30*$BK$19/$BJ$19)*$BJ$28,"")</f>
        <v/>
      </c>
      <c r="AK65" s="284" t="str">
        <f>IF($AD65=AK$58,($AK$30-$AL$30*$BR$19/$BS$19)*$BR$28,"")</f>
        <v/>
      </c>
      <c r="AL65" s="283" t="str">
        <f>IF($AD65=AK$58,(-$AL$30+$AK$30*$BU$19/$BT$19)*$BT$28,"")</f>
        <v/>
      </c>
      <c r="AN65" s="284" t="str">
        <f>IF(ISNUMBER($AE$30),(-$AE$30+$AF$30*$AV$19/$AW$19),"")</f>
        <v/>
      </c>
      <c r="AO65" s="283" t="str">
        <f>IF(ISNUMBER($AF$30),(-$AF$30-$CA$19-(-$AE$30-$BZ$19)*$BY$19/$BX$19),"")</f>
        <v/>
      </c>
      <c r="AP65" s="284" t="str">
        <f>IF(ISNUMBER($AG$30),(-$AG$30+$BB$19+($AH$30-$BC$19)*$AZ$19/$BA$19),"")</f>
        <v/>
      </c>
      <c r="AQ65" s="283" t="str">
        <f>IF(ISNUMBER($AH$30),($AH$30+$BE$19+(-$AG$30-$BD$19)*$BG$19/$BF$19),"")</f>
        <v/>
      </c>
      <c r="AR65" s="284" t="str">
        <f>IF(ISNUMBER($AI$30),($AI$30-$BL$19-($AJ$30-$BM$19)*$BN$19/$BO$19),"")</f>
        <v/>
      </c>
      <c r="AS65" s="283" t="str">
        <f>IF(ISNUMBER($AJ$30),($AJ$30-$AI$30*$BK$19/$BJ$19),"")</f>
        <v/>
      </c>
      <c r="AT65" s="284" t="str">
        <f>IF(ISNUMBER($AK$30),($AK$30-$AL$30*$BR$19/$BS$19),"")</f>
        <v/>
      </c>
      <c r="AU65" s="283" t="str">
        <f>IF(ISNUMBER($AL$30),(-$AL$30+$AK$30*$BU$19/$BT$19),"")</f>
        <v/>
      </c>
      <c r="BG65" s="291">
        <v>29</v>
      </c>
      <c r="BH65" s="291">
        <v>20</v>
      </c>
      <c r="BI65" s="291">
        <v>21</v>
      </c>
      <c r="BJ65" s="291">
        <v>28</v>
      </c>
      <c r="BK65" s="291">
        <v>33</v>
      </c>
      <c r="BL65" s="291">
        <v>32</v>
      </c>
      <c r="BM65" s="291">
        <v>31</v>
      </c>
      <c r="BN65" s="291">
        <v>30</v>
      </c>
      <c r="BO65" s="291">
        <v>19</v>
      </c>
      <c r="BZ65" s="596"/>
      <c r="CA65" s="596"/>
    </row>
    <row r="66" spans="2:79" ht="12" customHeight="1" x14ac:dyDescent="0.25">
      <c r="B66" s="460" t="s">
        <v>56</v>
      </c>
      <c r="C66" s="460" t="s">
        <v>55</v>
      </c>
      <c r="D66" s="460" t="s">
        <v>57</v>
      </c>
      <c r="E66" s="460" t="s">
        <v>310</v>
      </c>
      <c r="F66" s="460" t="s">
        <v>311</v>
      </c>
      <c r="G66" s="460" t="s">
        <v>157</v>
      </c>
      <c r="H66" s="460" t="s">
        <v>312</v>
      </c>
      <c r="L66" s="460" t="s">
        <v>56</v>
      </c>
      <c r="M66" s="460" t="s">
        <v>55</v>
      </c>
      <c r="N66" s="460" t="s">
        <v>57</v>
      </c>
      <c r="O66" s="460" t="s">
        <v>310</v>
      </c>
      <c r="P66" s="460" t="s">
        <v>311</v>
      </c>
      <c r="Q66" s="460" t="s">
        <v>157</v>
      </c>
      <c r="R66" s="460" t="s">
        <v>312</v>
      </c>
      <c r="AA66" s="593"/>
      <c r="AB66" s="593"/>
      <c r="AE66" s="282" t="str">
        <f>IF(ISNUMBER($AE$62),AE$62,IF(ISNUMBER($AE$63),AE$63,IF(ISNUMBER($AE$64),AE$64,IF(ISNUMBER($AE$65),AE$65,""))))</f>
        <v/>
      </c>
      <c r="AF66" s="281" t="str">
        <f>IF(ISNUMBER($AF$62),AF$62,IF(ISNUMBER($AF$63),AF$63,IF(ISNUMBER($AF$64),AF$64,IF(ISNUMBER($AF$65),AF$65,""))))</f>
        <v/>
      </c>
      <c r="AG66" s="282" t="str">
        <f>IF(ISNUMBER($AG$62),AG$62,IF(ISNUMBER($AG$63),AG$63,IF(ISNUMBER($AG$64),AG$64,IF(ISNUMBER($AG$65),AG$65,""))))</f>
        <v/>
      </c>
      <c r="AH66" s="281" t="str">
        <f>IF(ISNUMBER($AH$62),AH$62,IF(ISNUMBER($AH$63),AH$63,IF(ISNUMBER($AH$64),AH$64,IF(ISNUMBER($AH$65),AH$65,""))))</f>
        <v/>
      </c>
      <c r="AI66" s="282" t="str">
        <f>IF(ISNUMBER($AI$62),AI$62,IF(ISNUMBER($AI$63),AI$63,IF(ISNUMBER($AI$64),AI$64,IF(ISNUMBER($AI$65),AI$65,""))))</f>
        <v/>
      </c>
      <c r="AJ66" s="281" t="str">
        <f>IF(ISNUMBER($AJ$62),AJ$62,IF(ISNUMBER($AJ$63),AJ$63,IF(ISNUMBER($AJ$64),AJ$64,IF(ISNUMBER($AJ$65),AJ$65,""))))</f>
        <v/>
      </c>
      <c r="AK66" s="282" t="str">
        <f>IF(ISNUMBER($AK$62),AK$62,IF(ISNUMBER($AK$63),AK$63,IF(ISNUMBER($AK$64),AK$64,IF(ISNUMBER($AK$65),AK$65,""))))</f>
        <v/>
      </c>
      <c r="AL66" s="281" t="str">
        <f>IF(ISNUMBER($AL$62),AL$62,IF(ISNUMBER($AL$63),AL$63,IF(ISNUMBER($AL$64),AL$64,IF(ISNUMBER($AL$65),AL$65,""))))</f>
        <v/>
      </c>
      <c r="AO66" s="417"/>
      <c r="AP66" s="417"/>
      <c r="AQ66" s="417"/>
      <c r="AR66" s="417"/>
      <c r="AS66" s="417"/>
      <c r="AT66" s="417"/>
      <c r="BG66" s="291">
        <v>30</v>
      </c>
      <c r="BH66" s="291">
        <v>19</v>
      </c>
      <c r="BI66" s="291">
        <v>20</v>
      </c>
      <c r="BJ66" s="291">
        <v>29</v>
      </c>
      <c r="BK66" s="291">
        <v>32</v>
      </c>
      <c r="BL66" s="291">
        <v>31</v>
      </c>
      <c r="BM66" s="291">
        <v>36</v>
      </c>
      <c r="BN66" s="291">
        <v>25</v>
      </c>
      <c r="BO66" s="291">
        <v>24</v>
      </c>
      <c r="BZ66" s="596"/>
      <c r="CA66" s="596"/>
    </row>
    <row r="67" spans="2:79" ht="12" customHeight="1" x14ac:dyDescent="0.25">
      <c r="B67" s="473" t="e">
        <f>$L$38</f>
        <v>#VALUE!</v>
      </c>
      <c r="C67" s="473">
        <f>$O$7</f>
        <v>0</v>
      </c>
      <c r="D67" s="473">
        <f>IF($P$7 = "S", 2,1)</f>
        <v>2</v>
      </c>
      <c r="E67" s="473">
        <f>$Q$7</f>
        <v>0</v>
      </c>
      <c r="F67" s="473">
        <f>IF($R$7 = "W", 2,1)</f>
        <v>2</v>
      </c>
      <c r="G67" s="473">
        <f>'SHL Section'!$S$7</f>
        <v>0</v>
      </c>
      <c r="H67" s="472" t="s">
        <v>473</v>
      </c>
      <c r="J67" t="e">
        <f>DGET('Grid Numbers'!$A$2:$L$4952,'Grid Numbers'!$H$2,$B$66:$H$67)</f>
        <v>#VALUE!</v>
      </c>
      <c r="L67" s="473" t="e">
        <f>$L$38</f>
        <v>#VALUE!</v>
      </c>
      <c r="M67" s="473">
        <f>$O$7</f>
        <v>0</v>
      </c>
      <c r="N67" s="473">
        <f>IF($P$7 = "S", 2,1)</f>
        <v>2</v>
      </c>
      <c r="O67" s="473">
        <f>$Q$7</f>
        <v>0</v>
      </c>
      <c r="P67" s="473">
        <f>IF($R$7 = "W", 2,1)</f>
        <v>2</v>
      </c>
      <c r="Q67" s="473">
        <f>'SHL Section'!$S$7</f>
        <v>0</v>
      </c>
      <c r="R67" s="472" t="s">
        <v>474</v>
      </c>
      <c r="T67" t="e">
        <f>DGET('Grid Numbers'!$A$2:$L$4952,'Grid Numbers'!$H$2,$L$66:$R$67)</f>
        <v>#VALUE!</v>
      </c>
      <c r="AA67" s="593"/>
      <c r="AB67" s="593"/>
      <c r="AE67" s="289"/>
      <c r="AF67" s="288"/>
      <c r="AG67" s="290"/>
      <c r="AH67" s="290"/>
      <c r="AI67" s="289"/>
      <c r="AJ67" s="288"/>
      <c r="AK67" s="289"/>
      <c r="AL67" s="288"/>
      <c r="AO67" s="417"/>
      <c r="AP67" s="417"/>
      <c r="AQ67" s="417"/>
      <c r="AR67" s="417"/>
      <c r="AS67" s="417"/>
      <c r="AT67" s="417"/>
      <c r="BG67" s="291">
        <v>31</v>
      </c>
      <c r="BH67" s="291">
        <v>30</v>
      </c>
      <c r="BI67" s="291">
        <v>29</v>
      </c>
      <c r="BJ67" s="291">
        <v>32</v>
      </c>
      <c r="BK67" s="291">
        <v>5</v>
      </c>
      <c r="BL67" s="291">
        <v>6</v>
      </c>
      <c r="BM67" s="291">
        <v>1</v>
      </c>
      <c r="BN67" s="291">
        <v>36</v>
      </c>
      <c r="BO67" s="291">
        <v>25</v>
      </c>
      <c r="BZ67" s="596"/>
      <c r="CA67" s="596"/>
    </row>
    <row r="68" spans="2:79" ht="12" customHeight="1" x14ac:dyDescent="0.25">
      <c r="B68" s="460" t="s">
        <v>56</v>
      </c>
      <c r="C68" s="460" t="s">
        <v>55</v>
      </c>
      <c r="D68" s="460" t="s">
        <v>57</v>
      </c>
      <c r="E68" s="460" t="s">
        <v>310</v>
      </c>
      <c r="F68" s="460" t="s">
        <v>311</v>
      </c>
      <c r="G68" s="460" t="s">
        <v>157</v>
      </c>
      <c r="H68" s="460" t="s">
        <v>312</v>
      </c>
      <c r="J68" t="e">
        <f>DGET('Grid Numbers'!$A$2:$L$4952,'Grid Numbers'!$I$2,$B$66:$H$67)</f>
        <v>#VALUE!</v>
      </c>
      <c r="L68" s="460" t="s">
        <v>56</v>
      </c>
      <c r="M68" s="460" t="s">
        <v>55</v>
      </c>
      <c r="N68" s="460" t="s">
        <v>57</v>
      </c>
      <c r="O68" s="460" t="s">
        <v>310</v>
      </c>
      <c r="P68" s="460" t="s">
        <v>311</v>
      </c>
      <c r="Q68" s="460" t="s">
        <v>157</v>
      </c>
      <c r="R68" s="460" t="s">
        <v>312</v>
      </c>
      <c r="T68" t="e">
        <f>DGET('Grid Numbers'!$A$2:$L$4952,'Grid Numbers'!$I$2,$L$66:$R$67)</f>
        <v>#VALUE!</v>
      </c>
      <c r="AA68" s="593"/>
      <c r="AB68" s="593"/>
      <c r="AE68" s="761" t="s">
        <v>475</v>
      </c>
      <c r="AF68" s="757"/>
      <c r="AG68" s="767" t="s">
        <v>475</v>
      </c>
      <c r="AH68" s="735"/>
      <c r="AI68" s="761" t="s">
        <v>475</v>
      </c>
      <c r="AJ68" s="757"/>
      <c r="AK68" s="761" t="s">
        <v>475</v>
      </c>
      <c r="AL68" s="757"/>
      <c r="AO68" s="417"/>
      <c r="AP68" s="417"/>
      <c r="AQ68" s="417"/>
      <c r="AR68" s="417"/>
      <c r="AS68" s="417"/>
      <c r="AT68" s="417"/>
      <c r="BG68" s="291">
        <v>32</v>
      </c>
      <c r="BH68" s="291">
        <v>29</v>
      </c>
      <c r="BI68" s="291">
        <v>28</v>
      </c>
      <c r="BJ68" s="291">
        <v>33</v>
      </c>
      <c r="BK68" s="291">
        <v>4</v>
      </c>
      <c r="BL68" s="291">
        <v>5</v>
      </c>
      <c r="BM68" s="291">
        <v>6</v>
      </c>
      <c r="BN68" s="291">
        <v>31</v>
      </c>
      <c r="BO68" s="291">
        <v>30</v>
      </c>
      <c r="BZ68" s="596"/>
      <c r="CA68" s="596"/>
    </row>
    <row r="69" spans="2:79" ht="12" customHeight="1" x14ac:dyDescent="0.25">
      <c r="B69" s="473" t="e">
        <f>$L$38</f>
        <v>#VALUE!</v>
      </c>
      <c r="C69" s="473">
        <f>$O$7</f>
        <v>0</v>
      </c>
      <c r="D69" s="473">
        <f>IF($P$7 = "S", 2,1)</f>
        <v>2</v>
      </c>
      <c r="E69" s="473">
        <f>$Q$7</f>
        <v>0</v>
      </c>
      <c r="F69" s="473">
        <f>IF($R$7 = "W", 2,1)</f>
        <v>2</v>
      </c>
      <c r="G69" s="473">
        <f>'SHL Section'!$S$7</f>
        <v>0</v>
      </c>
      <c r="H69" t="s">
        <v>476</v>
      </c>
      <c r="J69" t="e">
        <f>DGET('Grid Numbers'!$A$2:$L$4952,'Grid Numbers'!$J$2,$B$66:$H$67)</f>
        <v>#VALUE!</v>
      </c>
      <c r="L69" s="473" t="e">
        <f>$L$38</f>
        <v>#VALUE!</v>
      </c>
      <c r="M69" s="473">
        <f>$O$7</f>
        <v>0</v>
      </c>
      <c r="N69" s="473">
        <f>IF($P$7 = "S", 2,1)</f>
        <v>2</v>
      </c>
      <c r="O69" s="473">
        <f>$Q$7</f>
        <v>0</v>
      </c>
      <c r="P69" s="473">
        <f>IF($R$7 = "W", 2,1)</f>
        <v>2</v>
      </c>
      <c r="Q69" s="473">
        <f>'SHL Section'!$S$7</f>
        <v>0</v>
      </c>
      <c r="R69" s="472" t="s">
        <v>477</v>
      </c>
      <c r="T69" t="e">
        <f>DGET('Grid Numbers'!$A$2:$L$4952,'Grid Numbers'!$J$2,$L$66:$R$67)</f>
        <v>#VALUE!</v>
      </c>
      <c r="AA69" s="593"/>
      <c r="AB69" s="593"/>
      <c r="AE69" s="762" t="str">
        <f>IF($AE$36="","",IF(AND((-$AE$36+$AF$36*$AV$19/$AW$19)&gt;0,-$AE$36&lt;$BZ$19,(-$AF$36+$AE$36*$CA$19/$BZ$19)&gt;0,-$AF$36&lt;$AW$19),1,IF(AND((-$AE$36-$AV$19+($AF$36+$AW$19)*$AX$19/$AY$19)&gt;0,-$AE$36&lt;$BZ$19,-$AF$36&gt;$AW$19,-$AF$36&lt;$AX$22),2,IF(AND(-$AE$36&lt;$BY$22,-$AE$36&gt;$BZ$19,-$AF$36&gt;$AW$19,-$AF$36&lt;$AX$22),3,IF(AND(-$AE$36&lt;$BY$22,-$AE$36&gt;$BZ$19,(-$AF$36-$CA$19-(-$AE$36-$BZ$19)*$BY$19/$BX$19)&gt;0,-$AF$36&lt;$AW$19),4,"")))))</f>
        <v/>
      </c>
      <c r="AF69" s="683"/>
      <c r="AG69" s="762" t="str">
        <f>IF($AG$36="","",IF(AND((-$AG$36+$BB$19+($AH$36-$BC$19)*$AZ$19/$BA$19)&gt;0,-$AG$36&lt;$BD$19,$AH$36&gt;$BC$19,$AH$36&lt;$BB$22),1,IF(AND((-$AG$36+$AH$36*$BB$19/$BC$19)&gt;0,-$AG$36&lt;$BD$19,($AH$36-$AG$36*$BE$19/$BD$19)&gt;0,$AH$36&lt;$BC$19),2,IF(AND(-$AG$36&gt;$BD$19,-$AG$36&lt;$BE$22,($AH$36+$BE$19+(-$AG$36-$BD$19)*$BG$19/$BF$19)&gt;0,$AH$36&lt;$BC$19),3,IF(AND(-$AG$36&gt;$BD$19,-$AG$36&lt;$BE$22,$AH$36&gt;$BC$19,$AH$36&lt;$BB$22),4,"")))))</f>
        <v/>
      </c>
      <c r="AH69" s="683"/>
      <c r="AI69" s="762" t="str">
        <f>IF($AI$36="","",IF(AND($AI$36&gt;$BJ$19,$AI$36&lt;$BI$22,$AJ$36&gt;$BM$19,$AJ$36&lt;$BN$22),1,IF(AND($AI$36&gt;$BJ$19,$AI$36&lt;$BI$22,($AJ$36-$BK$19-($AI$36-$BJ$19)*$BI$19/$BH$19)&gt;0,$AJ$36&lt;$BM$19),2,IF(AND(($AI$36-$AJ$36*$BL$19/$BM$19)&gt;0,$AI$36&lt;$BJ$19,($AJ$36-$AI$36*$BK$19/$BJ$19)&gt;0,$AJ$36&lt;$BM$19),3,IF(AND(($AI$36-$BL$19-($AJ$36-$BM$19)*$BN$19/$BO$19)&gt;0,$AI$36&lt;$BJ$19,$AJ$36&gt;$BM$19,$AJ$36&lt;$BN$22),4,"")))))</f>
        <v/>
      </c>
      <c r="AJ69" s="683"/>
      <c r="AK69" s="762" t="str">
        <f>IF($AK$36="","",IF(AND($AK$36&gt;$BT$19,$AK$36&lt;$BU$22,(-$AL$36+$BU$19+($AK$36-$BT$19)*$BW$19/$BV$19)&gt;0,-$AL$36&lt;$BS$19),1,IF(AND($AK$36&gt;$BT$19,$AK$36&lt;$BU$22,-$AL$36&gt;$BS$19,-$AL$36&lt;$BR$22),2,IF(AND(($AK$36+$BR$19+(-$AL$36-$BS$19)*$BP$19/$BQ$19)&gt;0,$AK$36&lt;$BT$19,-$AL$36&gt;$BS$19,-$AL$36&lt;$BR$22),3,IF(AND(($AK$36-$AL$36*$BR$19/$BS$19)&gt;0,$AK$36&lt;$BT$19,(-$AL$36+$AK$36*$BU$19/$BT$19)&gt;0,-$AL$36&lt;$BS$19),4,"")))))</f>
        <v/>
      </c>
      <c r="AL69" s="683"/>
      <c r="BG69" s="291">
        <v>33</v>
      </c>
      <c r="BH69" s="291">
        <v>28</v>
      </c>
      <c r="BI69" s="291">
        <v>27</v>
      </c>
      <c r="BJ69" s="291">
        <v>34</v>
      </c>
      <c r="BK69" s="291">
        <v>3</v>
      </c>
      <c r="BL69" s="291">
        <v>4</v>
      </c>
      <c r="BM69" s="291">
        <v>5</v>
      </c>
      <c r="BN69" s="291">
        <v>32</v>
      </c>
      <c r="BO69" s="291">
        <v>29</v>
      </c>
      <c r="BZ69" s="596"/>
      <c r="CA69" s="596"/>
    </row>
    <row r="70" spans="2:79" ht="12" customHeight="1" x14ac:dyDescent="0.25">
      <c r="B70" s="460" t="s">
        <v>56</v>
      </c>
      <c r="C70" s="460" t="s">
        <v>55</v>
      </c>
      <c r="D70" s="460" t="s">
        <v>57</v>
      </c>
      <c r="E70" s="460" t="s">
        <v>310</v>
      </c>
      <c r="F70" s="460" t="s">
        <v>311</v>
      </c>
      <c r="G70" s="460" t="s">
        <v>157</v>
      </c>
      <c r="H70" s="460" t="s">
        <v>312</v>
      </c>
      <c r="J70" t="e">
        <f>DGET('Grid Numbers'!$A$2:$L$4952,'Grid Numbers'!$K$2,$B$66:$H$67)</f>
        <v>#VALUE!</v>
      </c>
      <c r="L70" s="460" t="s">
        <v>56</v>
      </c>
      <c r="M70" s="460" t="s">
        <v>55</v>
      </c>
      <c r="N70" s="460" t="s">
        <v>57</v>
      </c>
      <c r="O70" s="460" t="s">
        <v>310</v>
      </c>
      <c r="P70" s="460" t="s">
        <v>311</v>
      </c>
      <c r="Q70" s="460" t="s">
        <v>157</v>
      </c>
      <c r="R70" s="460" t="s">
        <v>312</v>
      </c>
      <c r="T70" t="e">
        <f>DGET('Grid Numbers'!$A$2:$L$4952,'Grid Numbers'!$K$2,$L$66:$R$67)</f>
        <v>#VALUE!</v>
      </c>
      <c r="AA70" s="593"/>
      <c r="AB70" s="593"/>
      <c r="AE70" s="289"/>
      <c r="AF70" s="288"/>
      <c r="AG70" s="290"/>
      <c r="AH70" s="290"/>
      <c r="AI70" s="289"/>
      <c r="AJ70" s="288"/>
      <c r="AK70" s="289"/>
      <c r="AL70" s="288"/>
      <c r="BG70" s="291">
        <v>34</v>
      </c>
      <c r="BH70" s="291">
        <v>27</v>
      </c>
      <c r="BI70" s="291">
        <v>26</v>
      </c>
      <c r="BJ70" s="291">
        <v>35</v>
      </c>
      <c r="BK70" s="291">
        <v>2</v>
      </c>
      <c r="BL70" s="291">
        <v>3</v>
      </c>
      <c r="BM70" s="291">
        <v>4</v>
      </c>
      <c r="BN70" s="291">
        <v>33</v>
      </c>
      <c r="BO70" s="291">
        <v>28</v>
      </c>
      <c r="BZ70" s="596"/>
      <c r="CA70" s="596"/>
    </row>
    <row r="71" spans="2:79" ht="12" customHeight="1" x14ac:dyDescent="0.25">
      <c r="B71" s="473" t="e">
        <f>$L$38</f>
        <v>#VALUE!</v>
      </c>
      <c r="C71" s="473">
        <f>$O$7</f>
        <v>0</v>
      </c>
      <c r="D71" s="473">
        <f>IF($P$7 = "S", 2,1)</f>
        <v>2</v>
      </c>
      <c r="E71" s="473">
        <f>$Q$7</f>
        <v>0</v>
      </c>
      <c r="F71" s="473">
        <f>IF($R$7 = "W", 2,1)</f>
        <v>2</v>
      </c>
      <c r="G71" s="473">
        <f>'SHL Section'!$S$7</f>
        <v>0</v>
      </c>
      <c r="H71" t="s">
        <v>478</v>
      </c>
      <c r="J71" t="e">
        <f>DGET('Grid Numbers'!$A$2:$L$4952,'Grid Numbers'!$L$2,$B$66:$H$67)</f>
        <v>#VALUE!</v>
      </c>
      <c r="L71" s="473" t="e">
        <f>$L$38</f>
        <v>#VALUE!</v>
      </c>
      <c r="M71" s="473">
        <f>$O$7</f>
        <v>0</v>
      </c>
      <c r="N71" s="473">
        <f>IF($P$7 = "S", 2,1)</f>
        <v>2</v>
      </c>
      <c r="O71" s="473">
        <f>$Q$7</f>
        <v>0</v>
      </c>
      <c r="P71" s="473">
        <f>IF($R$7 = "W", 2,1)</f>
        <v>2</v>
      </c>
      <c r="Q71" s="473">
        <f>'SHL Section'!$S$7</f>
        <v>0</v>
      </c>
      <c r="R71" s="472" t="s">
        <v>479</v>
      </c>
      <c r="T71" t="e">
        <f>DGET('Grid Numbers'!$A$2:$L$4952,'Grid Numbers'!$L$2,$L$66:$R$67)</f>
        <v>#VALUE!</v>
      </c>
      <c r="AA71" s="593"/>
      <c r="AB71" s="593"/>
      <c r="AE71" s="761" t="s">
        <v>480</v>
      </c>
      <c r="AF71" s="757"/>
      <c r="AG71" s="761" t="s">
        <v>481</v>
      </c>
      <c r="AH71" s="757"/>
      <c r="AI71" s="761" t="s">
        <v>482</v>
      </c>
      <c r="AJ71" s="757"/>
      <c r="AK71" s="761" t="s">
        <v>483</v>
      </c>
      <c r="AL71" s="757"/>
      <c r="BG71" s="291">
        <v>35</v>
      </c>
      <c r="BH71" s="291">
        <v>26</v>
      </c>
      <c r="BI71" s="291">
        <v>25</v>
      </c>
      <c r="BJ71" s="291">
        <v>36</v>
      </c>
      <c r="BK71" s="291">
        <v>1</v>
      </c>
      <c r="BL71" s="291">
        <v>2</v>
      </c>
      <c r="BM71" s="291">
        <v>3</v>
      </c>
      <c r="BN71" s="291">
        <v>34</v>
      </c>
      <c r="BO71" s="291">
        <v>27</v>
      </c>
      <c r="BZ71" s="596"/>
      <c r="CA71" s="596"/>
    </row>
    <row r="72" spans="2:79" ht="12" customHeight="1" x14ac:dyDescent="0.25">
      <c r="B72" s="460" t="s">
        <v>56</v>
      </c>
      <c r="C72" s="460" t="s">
        <v>55</v>
      </c>
      <c r="D72" s="460" t="s">
        <v>57</v>
      </c>
      <c r="E72" s="460" t="s">
        <v>310</v>
      </c>
      <c r="F72" s="460" t="s">
        <v>311</v>
      </c>
      <c r="G72" s="460" t="s">
        <v>157</v>
      </c>
      <c r="H72" s="460" t="s">
        <v>312</v>
      </c>
      <c r="J72" t="e">
        <f>DGET('Grid Numbers'!$A$2:$L$4952,'Grid Numbers'!$H$2,$B$68:$H$69)</f>
        <v>#VALUE!</v>
      </c>
      <c r="L72" s="460" t="s">
        <v>56</v>
      </c>
      <c r="M72" s="460" t="s">
        <v>55</v>
      </c>
      <c r="N72" s="460" t="s">
        <v>57</v>
      </c>
      <c r="O72" s="460" t="s">
        <v>310</v>
      </c>
      <c r="P72" s="460" t="s">
        <v>311</v>
      </c>
      <c r="Q72" s="460" t="s">
        <v>157</v>
      </c>
      <c r="R72" s="460" t="s">
        <v>312</v>
      </c>
      <c r="T72" t="e">
        <f>DGET('Grid Numbers'!$A$2:$L$4952,'Grid Numbers'!$H$2,$L$68:$R$69)</f>
        <v>#VALUE!</v>
      </c>
      <c r="AA72" s="593"/>
      <c r="AB72" s="593"/>
      <c r="AD72" s="467" t="s">
        <v>340</v>
      </c>
      <c r="AE72" s="588" t="s">
        <v>186</v>
      </c>
      <c r="AF72" s="588" t="s">
        <v>188</v>
      </c>
      <c r="AG72" s="465" t="s">
        <v>186</v>
      </c>
      <c r="AH72" s="464" t="s">
        <v>189</v>
      </c>
      <c r="AI72" s="588" t="s">
        <v>187</v>
      </c>
      <c r="AJ72" s="588" t="s">
        <v>189</v>
      </c>
      <c r="AK72" s="588" t="s">
        <v>187</v>
      </c>
      <c r="AL72" s="588" t="s">
        <v>188</v>
      </c>
      <c r="AN72" s="596" t="s">
        <v>472</v>
      </c>
      <c r="BG72" s="291">
        <v>36</v>
      </c>
      <c r="BH72" s="291">
        <v>25</v>
      </c>
      <c r="BI72" s="291">
        <v>30</v>
      </c>
      <c r="BJ72" s="291">
        <v>31</v>
      </c>
      <c r="BK72" s="291">
        <v>6</v>
      </c>
      <c r="BL72" s="291">
        <v>1</v>
      </c>
      <c r="BM72" s="291">
        <v>2</v>
      </c>
      <c r="BN72" s="291">
        <v>35</v>
      </c>
      <c r="BO72" s="291">
        <v>26</v>
      </c>
      <c r="BZ72" s="596"/>
      <c r="CA72" s="596"/>
    </row>
    <row r="73" spans="2:79" ht="12" customHeight="1" x14ac:dyDescent="0.25">
      <c r="B73" s="473" t="e">
        <f>$L$38</f>
        <v>#VALUE!</v>
      </c>
      <c r="C73" s="473">
        <f>$O$7</f>
        <v>0</v>
      </c>
      <c r="D73" s="473">
        <f>IF($P$7 = "S", 2,1)</f>
        <v>2</v>
      </c>
      <c r="E73" s="473">
        <f>$Q$7</f>
        <v>0</v>
      </c>
      <c r="F73" s="473">
        <f>IF($R$7 = "W", 2,1)</f>
        <v>2</v>
      </c>
      <c r="G73" s="473">
        <f>'SHL Section'!$S$7</f>
        <v>0</v>
      </c>
      <c r="H73" t="s">
        <v>484</v>
      </c>
      <c r="J73" t="e">
        <f>DGET('Grid Numbers'!$A$2:$L$4952,'Grid Numbers'!$I$2,$B$68:$H$69)</f>
        <v>#VALUE!</v>
      </c>
      <c r="L73" s="473" t="e">
        <f>$L$38</f>
        <v>#VALUE!</v>
      </c>
      <c r="M73" s="473">
        <f>$O$7</f>
        <v>0</v>
      </c>
      <c r="N73" s="473">
        <f>IF($P$7 = "S", 2,1)</f>
        <v>2</v>
      </c>
      <c r="O73" s="473">
        <f>$Q$7</f>
        <v>0</v>
      </c>
      <c r="P73" s="473">
        <f>IF($R$7 = "W", 2,1)</f>
        <v>2</v>
      </c>
      <c r="Q73" s="473">
        <f>'SHL Section'!$S$7</f>
        <v>0</v>
      </c>
      <c r="R73" s="472" t="s">
        <v>485</v>
      </c>
      <c r="T73" t="e">
        <f>DGET('Grid Numbers'!$A$2:$L$4952,'Grid Numbers'!$I$2,$L$68:$R$69)</f>
        <v>#VALUE!</v>
      </c>
      <c r="AA73" s="593"/>
      <c r="AB73" s="593"/>
      <c r="AD73" s="317">
        <v>1</v>
      </c>
      <c r="AE73" s="304" t="str">
        <f>IF($AD73=AE$69,(-$AE$36+$AF$36*$AV$19/$AW$19)*$AV$28,"")</f>
        <v/>
      </c>
      <c r="AF73" s="285" t="str">
        <f>IF($AD73=AE$69,(-$AF$36+$AE$36*$CA$19/$BZ$19)*$BZ$28,"")</f>
        <v/>
      </c>
      <c r="AG73" s="304" t="str">
        <f>IF($AD73=AG$69,(-$AG$36+$BB$19+($AH$36-$BC$19)*$AZ$19/$BA$19)*$AZ$28,"")</f>
        <v/>
      </c>
      <c r="AH73" s="285" t="str">
        <f>IF($AD73=AG$69,($AH$36-$AG$36*$BE$19/$BD$19)*$BD$28,"")</f>
        <v/>
      </c>
      <c r="AI73" s="304" t="str">
        <f>IF($AD73=AI$69,($AI$36-$BL$19-($AJ$36-$BM$19)*$BN$19/$BO$19)*$BN$28,"")</f>
        <v/>
      </c>
      <c r="AJ73" s="285" t="str">
        <f>IF($AD73=AI$69,($AJ$36-$BK$19-($AI$36-$BJ$19)*$BI$19/$BH$19)*$BH$28,"")</f>
        <v/>
      </c>
      <c r="AK73" s="304" t="str">
        <f>IF($AD73=AK$69,($AK$36-$AL$36*$BR$19/$BS$19)*$BR$28,"")</f>
        <v/>
      </c>
      <c r="AL73" s="285" t="str">
        <f>IF($AD73=AK$69,(-$AL$36+$BU$19+($AK$36-$BT$19)*$BW$19/$BV$19)*$BV$28,"")</f>
        <v/>
      </c>
      <c r="AN73" s="287" t="str">
        <f>IF(ISNUMBER($AE$36),(-$AE$36+$AF$36*$AV$19/$AW$19),"")</f>
        <v/>
      </c>
      <c r="AO73" s="286" t="str">
        <f>IF(ISNUMBER($AF$36),(-$AF$36+$AE$36*$CA$19/$BZ$19),"")</f>
        <v/>
      </c>
      <c r="AP73" s="287" t="str">
        <f>IF(ISNUMBER($AG$36),(-$AG$36+$BB$19+($AH$36-$BC$19)*$AZ$19/$BA$19),"")</f>
        <v/>
      </c>
      <c r="AQ73" s="286" t="str">
        <f>IF(ISNUMBER($AH$36),($AH$36-$AG$36*$BE$19/$BD$19),"")</f>
        <v/>
      </c>
      <c r="AR73" s="287" t="str">
        <f>IF(ISNUMBER($AI$36),($AI$36-$BL$19-($AJ$36-$BM$19)*$BN$19/$BO$19),"")</f>
        <v/>
      </c>
      <c r="AS73" s="286" t="str">
        <f>IF(ISNUMBER($AJ$36),($AJ$36-$BK$19-($AI$36-$BJ$19)*$BI$19/$BH$19),"")</f>
        <v/>
      </c>
      <c r="AT73" s="287" t="str">
        <f>IF(ISNUMBER($AK$36),($AK$36-$AL$36*$BR$19/$BS$19),"")</f>
        <v/>
      </c>
      <c r="AU73" s="286" t="str">
        <f>IF(ISNUMBER($AL$36),(-$AL$36+$BU$19+($AK$36-$BT$19)*$BW$19/$BV$19),"")</f>
        <v/>
      </c>
      <c r="BZ73" s="596"/>
      <c r="CA73" s="596"/>
    </row>
    <row r="74" spans="2:79" ht="12" customHeight="1" x14ac:dyDescent="0.25">
      <c r="B74" s="460" t="s">
        <v>56</v>
      </c>
      <c r="C74" s="460" t="s">
        <v>55</v>
      </c>
      <c r="D74" s="460" t="s">
        <v>57</v>
      </c>
      <c r="E74" s="460" t="s">
        <v>310</v>
      </c>
      <c r="F74" s="460" t="s">
        <v>311</v>
      </c>
      <c r="G74" s="460" t="s">
        <v>157</v>
      </c>
      <c r="H74" s="460" t="s">
        <v>312</v>
      </c>
      <c r="J74" t="e">
        <f>DGET('Grid Numbers'!$A$2:$L$4952,'Grid Numbers'!$J$2,$B$68:$H$69)</f>
        <v>#VALUE!</v>
      </c>
      <c r="L74" s="460" t="s">
        <v>56</v>
      </c>
      <c r="M74" s="460" t="s">
        <v>55</v>
      </c>
      <c r="N74" s="460" t="s">
        <v>57</v>
      </c>
      <c r="O74" s="460" t="s">
        <v>310</v>
      </c>
      <c r="P74" s="460" t="s">
        <v>311</v>
      </c>
      <c r="Q74" s="460" t="s">
        <v>157</v>
      </c>
      <c r="R74" s="460" t="s">
        <v>312</v>
      </c>
      <c r="T74" t="e">
        <f>DGET('Grid Numbers'!$A$2:$L$4952,'Grid Numbers'!$J$2,$L$68:$R$69)</f>
        <v>#VALUE!</v>
      </c>
      <c r="AA74" s="593"/>
      <c r="AB74" s="593"/>
      <c r="AD74" s="317">
        <v>2</v>
      </c>
      <c r="AE74" s="304" t="str">
        <f>IF($AD74=AE$69,(-$AE$36-$AV$19+($AF$36+$AW$19)*$AX$19/$AY$19)*$AX$28,"")</f>
        <v/>
      </c>
      <c r="AF74" s="285" t="str">
        <f>IF($AD74=AE$69,(-$AF$36+$AE$36*$CA$19/$BZ$19)*$BZ$28,"")</f>
        <v/>
      </c>
      <c r="AG74" s="304" t="str">
        <f>IF($AD74=AG$69,(-$AG$36+$AH$36*$BB$19/$BC$19)*$BB$28,"")</f>
        <v/>
      </c>
      <c r="AH74" s="285" t="str">
        <f>IF($AD74=AG$69,($AH$36-$AG$36*$BE$19/$BD$19)*$BD$28,"")</f>
        <v/>
      </c>
      <c r="AI74" s="304" t="str">
        <f>IF($AD74=AI$69,($AI$36-$AJ$36*$BL$19/$BM$19)*$BL$28,"")</f>
        <v/>
      </c>
      <c r="AJ74" s="285" t="str">
        <f>IF($AD74=AI$69,($AJ$36-$BK$19-($AI$36-$BJ$19)*$BI$19/$BH$19)*$BH$28,"")</f>
        <v/>
      </c>
      <c r="AK74" s="304" t="str">
        <f>IF($AD74=AK$69,($AK$36+$BR$19+(-$AL$36-$BS$19)*$BP$19/$BQ$19)*$BP$28,"")</f>
        <v/>
      </c>
      <c r="AL74" s="285" t="str">
        <f>IF($AD74=AK$69,(-$AL$36+$BU$19+($AK$36-$BT$19)*$BW$19/$BV$19)*$BV$28,"")</f>
        <v/>
      </c>
      <c r="AN74" s="304" t="str">
        <f>IF(ISNUMBER($AE$36),(-$AE$36-$AV$19+($AF$36+$AW$19)*$AX$19/$AY$19),"")</f>
        <v/>
      </c>
      <c r="AO74" s="285" t="str">
        <f>IF(ISNUMBER($AF$36),(-$AF$36+$AE$36*$CA$19/$BZ$19),"")</f>
        <v/>
      </c>
      <c r="AP74" s="304" t="str">
        <f>IF(ISNUMBER($AG$36),(-$AG$36+$AH$36*$BB$19/$BC$19),"")</f>
        <v/>
      </c>
      <c r="AQ74" s="285" t="str">
        <f>IF(ISNUMBER($AH$36),($AH$36-$AG$36*$BE$19/$BD$19),"")</f>
        <v/>
      </c>
      <c r="AR74" s="304" t="str">
        <f>IF(ISNUMBER($AI$36),($AI$36-$AJ$36*$BL$19/$BM$19),"")</f>
        <v/>
      </c>
      <c r="AS74" s="285" t="str">
        <f>IF(ISNUMBER($AJ$36),($AJ$36-$BK$19-($AI$36-$BJ$19)*$BI$19/$BH$19),"")</f>
        <v/>
      </c>
      <c r="AT74" s="304" t="str">
        <f>IF(ISNUMBER($AK$36),($AK$36+$BR$19+(-$AL$36-$BS$19)*$BP$19/$BQ$19),"")</f>
        <v/>
      </c>
      <c r="AU74" s="285" t="str">
        <f>IF(ISNUMBER($AL$36),(-$AL$36+$BU$19+($AK$36-$BT$19)*$BW$19/$BV$19),"")</f>
        <v/>
      </c>
      <c r="BZ74" s="596"/>
      <c r="CA74" s="596"/>
    </row>
    <row r="75" spans="2:79" ht="12" customHeight="1" x14ac:dyDescent="0.25">
      <c r="B75" s="473" t="e">
        <f>$L$38</f>
        <v>#VALUE!</v>
      </c>
      <c r="C75" s="473">
        <f>$O$7</f>
        <v>0</v>
      </c>
      <c r="D75" s="473">
        <f>IF($P$7 = "S", 2,1)</f>
        <v>2</v>
      </c>
      <c r="E75" s="473">
        <f>$Q$7</f>
        <v>0</v>
      </c>
      <c r="F75" s="473">
        <f>IF($R$7 = "W", 2,1)</f>
        <v>2</v>
      </c>
      <c r="G75" s="473">
        <f>'SHL Section'!$S$7</f>
        <v>0</v>
      </c>
      <c r="H75" s="472" t="s">
        <v>486</v>
      </c>
      <c r="J75" t="e">
        <f>DGET('Grid Numbers'!$A$2:$L$4952,'Grid Numbers'!$K$2,$B$68:$H$69)</f>
        <v>#VALUE!</v>
      </c>
      <c r="L75" s="473" t="e">
        <f>$L$38</f>
        <v>#VALUE!</v>
      </c>
      <c r="M75" s="473">
        <f>$O$7</f>
        <v>0</v>
      </c>
      <c r="N75" s="473">
        <f>IF($P$7 = "S", 2,1)</f>
        <v>2</v>
      </c>
      <c r="O75" s="473">
        <f>$Q$7</f>
        <v>0</v>
      </c>
      <c r="P75" s="473">
        <f>IF($R$7 = "W", 2,1)</f>
        <v>2</v>
      </c>
      <c r="Q75" s="473">
        <f>'SHL Section'!$S$7</f>
        <v>0</v>
      </c>
      <c r="R75" s="472" t="s">
        <v>487</v>
      </c>
      <c r="T75" t="e">
        <f>DGET('Grid Numbers'!$A$2:$L$4952,'Grid Numbers'!$K$2,$L$68:$R$69)</f>
        <v>#VALUE!</v>
      </c>
      <c r="AA75" s="593"/>
      <c r="AB75" s="593"/>
      <c r="AD75" s="317">
        <v>3</v>
      </c>
      <c r="AE75" s="304" t="str">
        <f>IF($AD75=AE$69,(-$AE$36-$AV$19+($AF$36+$AW$19)*$AX$19/$AY$19)*$AX$28,"")</f>
        <v/>
      </c>
      <c r="AF75" s="285" t="str">
        <f>IF($AD75=AE$69,(-$AF$36-$CA$19-(-$AE$36-$BZ$19)*$BY$19/$BX$19)*$BX$28,"")</f>
        <v/>
      </c>
      <c r="AG75" s="304" t="str">
        <f>IF($AD75=AG$69,(-$AG$36+$AH$36*$BB$19/$BC$19)*$BB$28,"")</f>
        <v/>
      </c>
      <c r="AH75" s="285" t="str">
        <f>IF($AD75=AG$69,($AH$36+$BE$19+(-$AG$36-$BD$19)*$BG$19/$BF$19)*$BF$28,"")</f>
        <v/>
      </c>
      <c r="AI75" s="304" t="str">
        <f>IF($AD75=AI$69,($AI$36-$AJ$36*$BL$19/$BM$19)*$BL$28,"")</f>
        <v/>
      </c>
      <c r="AJ75" s="285" t="str">
        <f>IF($AD75=AI$69,($AJ$36-$AI$36*$BK$19/$BJ$19)*$BJ$28,"")</f>
        <v/>
      </c>
      <c r="AK75" s="304" t="str">
        <f>IF($AD75=AK$69,($AK$36+$BR$19+(-$AL$36-$BS$19)*$BP$19/$BQ$19)*$BP$28,"")</f>
        <v/>
      </c>
      <c r="AL75" s="285" t="str">
        <f>IF($AD75=AK$69,(-$AL$36+$AK$36*$BU$19/$BT$19)*$BT$28,"")</f>
        <v/>
      </c>
      <c r="AN75" s="304" t="str">
        <f>IF(ISNUMBER($AE$36),(-$AE$36-$AV$19+($AF$36+$AW$19)*$AX$19/$AY$19),"")</f>
        <v/>
      </c>
      <c r="AO75" s="285" t="str">
        <f>IF(ISNUMBER($AF$36),(-$AF$36-$CA$19-(-$AE$36-$BZ$19)*$BY$19/$BX$19),"")</f>
        <v/>
      </c>
      <c r="AP75" s="304" t="str">
        <f>IF(ISNUMBER($AG$36),(-$AG$36+$AH$36*$BB$19/$BC$19),"")</f>
        <v/>
      </c>
      <c r="AQ75" s="285" t="str">
        <f>IF(ISNUMBER($AH$36),($AH$36+$BE$19+(-$AG$36-$BD$19)*$BG$19/$BF$19),"")</f>
        <v/>
      </c>
      <c r="AR75" s="304" t="str">
        <f>IF(ISNUMBER($AI$36),($AI$36-$AJ$36*$BL$19/$BM$19),"")</f>
        <v/>
      </c>
      <c r="AS75" s="285" t="str">
        <f>IF(ISNUMBER($AJ$36),($AJ$36-$AI$36*$BK$19/$BJ$19),"")</f>
        <v/>
      </c>
      <c r="AT75" s="304" t="str">
        <f>IF(ISNUMBER($AK$36),($AK$36+$BR$19+(-$AL$36-$BS$19)*$BP$19/$BQ$19),"")</f>
        <v/>
      </c>
      <c r="AU75" s="285" t="str">
        <f>IF(ISNUMBER($AL$36),(-$AL$36+$AK$36*$BU$19/$BT$19),"")</f>
        <v/>
      </c>
      <c r="BZ75" s="596"/>
      <c r="CA75" s="596"/>
    </row>
    <row r="76" spans="2:79" ht="12" customHeight="1" x14ac:dyDescent="0.25">
      <c r="B76" s="460" t="s">
        <v>56</v>
      </c>
      <c r="C76" s="460" t="s">
        <v>55</v>
      </c>
      <c r="D76" s="460" t="s">
        <v>57</v>
      </c>
      <c r="E76" s="460" t="s">
        <v>310</v>
      </c>
      <c r="F76" s="460" t="s">
        <v>311</v>
      </c>
      <c r="G76" s="460" t="s">
        <v>157</v>
      </c>
      <c r="H76" s="460" t="s">
        <v>312</v>
      </c>
      <c r="J76" t="e">
        <f>DGET('Grid Numbers'!$A$2:$L$4952,'Grid Numbers'!$L$2,$B$68:$H$69)</f>
        <v>#VALUE!</v>
      </c>
      <c r="L76" s="460" t="s">
        <v>56</v>
      </c>
      <c r="M76" s="460" t="s">
        <v>55</v>
      </c>
      <c r="N76" s="460" t="s">
        <v>57</v>
      </c>
      <c r="O76" s="460" t="s">
        <v>310</v>
      </c>
      <c r="P76" s="460" t="s">
        <v>311</v>
      </c>
      <c r="Q76" s="460" t="s">
        <v>157</v>
      </c>
      <c r="R76" s="460" t="s">
        <v>312</v>
      </c>
      <c r="T76" t="e">
        <f>DGET('Grid Numbers'!$A$2:$L$4952,'Grid Numbers'!$L$2,$L$68:$R$69)</f>
        <v>#VALUE!</v>
      </c>
      <c r="AA76" s="593"/>
      <c r="AB76" s="593"/>
      <c r="AD76" s="317">
        <v>4</v>
      </c>
      <c r="AE76" s="304" t="str">
        <f>IF($AD76=AE$69,(-$AE$36+$AF$36*$AV$19/$AW$19)*$AV$28,"")</f>
        <v/>
      </c>
      <c r="AF76" s="285" t="str">
        <f>IF($AD76=AE$69,(-$AF$36-$CA$19-(-$AE$36-$BZ$19)*$BY$19/$BX$19)*$BX$28,"")</f>
        <v/>
      </c>
      <c r="AG76" s="304" t="str">
        <f>IF($AD76=AG$69,(-$AG$36+$BB$19+($AH$36-$BC$19)*$AZ$19/$BA$19)*$AZ$28,"")</f>
        <v/>
      </c>
      <c r="AH76" s="285" t="str">
        <f>IF($AD76=AG$69,($AH$36+$BE$19+(-$AG$36-$BD$19)*$BG$19/$BF$19)*$BF$28,"")</f>
        <v/>
      </c>
      <c r="AI76" s="304" t="str">
        <f>IF($AD76=AI$69,($AI$36-$BL$19-($AJ$36-$BM$19)*$BN$19/$BO$19)*$BN$28,"")</f>
        <v/>
      </c>
      <c r="AJ76" s="285" t="str">
        <f>IF($AD76=AI$69,($AJ$36-$AI$36*$BK$19/$BJ$19)*$BJ$28,"")</f>
        <v/>
      </c>
      <c r="AK76" s="304" t="str">
        <f>IF($AD76=AK$69,($AK$36-$AL$36*$BR$19/$BS$19)*$BR$28,"")</f>
        <v/>
      </c>
      <c r="AL76" s="285" t="str">
        <f>IF($AD76=AK$69,(-$AL$36+$AK$36*$BU$19/$BT$19)*$BT$28,"")</f>
        <v/>
      </c>
      <c r="AN76" s="284" t="str">
        <f>IF(ISNUMBER($AE$36),(-$AE$36+$AF$36*$AV$19/$AW$19),"")</f>
        <v/>
      </c>
      <c r="AO76" s="283" t="str">
        <f>IF(ISNUMBER($AF$36),(-$AF$36-$CA$19-(-$AE$36-$BZ$19)*$BY$19/$BX$19),"")</f>
        <v/>
      </c>
      <c r="AP76" s="284" t="str">
        <f>IF(ISNUMBER($AG$36),(-$AG$36+$BB$19+($AH$36-$BC$19)*$AZ$19/$BA$19),"")</f>
        <v/>
      </c>
      <c r="AQ76" s="283" t="str">
        <f>IF(ISNUMBER($AH$36),($AH$36+$BE$19+(-$AG$36-$BD$19)*$BG$19/$BF$19),"")</f>
        <v/>
      </c>
      <c r="AR76" s="284" t="str">
        <f>IF(ISNUMBER($AI$36),($AI$36-$BL$19-($AJ$36-$BM$19)*$BN$19/$BO$19),"")</f>
        <v/>
      </c>
      <c r="AS76" s="283" t="str">
        <f>IF(ISNUMBER($AJ$36),($AJ$36-$AI$36*$BK$19/$BJ$19),"")</f>
        <v/>
      </c>
      <c r="AT76" s="284" t="str">
        <f>IF(ISNUMBER($AK$36),($AK$36-$AL$36*$BR$19/$BS$19),"")</f>
        <v/>
      </c>
      <c r="AU76" s="283" t="str">
        <f>IF(ISNUMBER($AL$36),(-$AL$36+$AK$36*$BU$19/$BT$19),"")</f>
        <v/>
      </c>
      <c r="BZ76" s="596"/>
      <c r="CA76" s="596"/>
    </row>
    <row r="77" spans="2:79" ht="12" customHeight="1" x14ac:dyDescent="0.25">
      <c r="B77" s="473" t="e">
        <f>$L$38</f>
        <v>#VALUE!</v>
      </c>
      <c r="C77" s="473">
        <f>$O$7</f>
        <v>0</v>
      </c>
      <c r="D77" s="473">
        <f>IF($P$7 = "S", 2,1)</f>
        <v>2</v>
      </c>
      <c r="E77" s="473">
        <f>$Q$7</f>
        <v>0</v>
      </c>
      <c r="F77" s="473">
        <f>IF($R$7 = "W", 2,1)</f>
        <v>2</v>
      </c>
      <c r="G77" s="473">
        <f>'SHL Section'!$S$7</f>
        <v>0</v>
      </c>
      <c r="H77" t="s">
        <v>488</v>
      </c>
      <c r="J77" t="e">
        <f>DGET('Grid Numbers'!$A$2:$L$4952,'Grid Numbers'!$H$2,$B$70:$H$71)</f>
        <v>#VALUE!</v>
      </c>
      <c r="L77" s="473" t="e">
        <f>$L$38</f>
        <v>#VALUE!</v>
      </c>
      <c r="M77" s="473">
        <f>$O$7</f>
        <v>0</v>
      </c>
      <c r="N77" s="473">
        <f>IF($P$7 = "S", 2,1)</f>
        <v>2</v>
      </c>
      <c r="O77" s="473">
        <f>$Q$7</f>
        <v>0</v>
      </c>
      <c r="P77" s="473">
        <f>IF($R$7 = "W", 2,1)</f>
        <v>2</v>
      </c>
      <c r="Q77" s="473">
        <f>'SHL Section'!$S$7</f>
        <v>0</v>
      </c>
      <c r="R77" s="472" t="s">
        <v>489</v>
      </c>
      <c r="T77" t="e">
        <f>DGET('Grid Numbers'!$A$2:$L$4952,'Grid Numbers'!$H$2,$L$70:$R$71)</f>
        <v>#VALUE!</v>
      </c>
      <c r="AA77" s="593"/>
      <c r="AB77" s="593"/>
      <c r="AE77" s="282" t="str">
        <f>IF(ISNUMBER($AE$73),AE$73,IF(ISNUMBER($AE$74),AE$74,IF(ISNUMBER($AE$75),AE$75,IF(ISNUMBER($AE$76),AE$76,""))))</f>
        <v/>
      </c>
      <c r="AF77" s="281" t="str">
        <f>IF(ISNUMBER($AF$73),AF$73,IF(ISNUMBER($AF$74),AF$74,IF(ISNUMBER($AF$75),AF$75,IF(ISNUMBER($AF$76),AF$76,""))))</f>
        <v/>
      </c>
      <c r="AG77" s="282" t="str">
        <f>IF(ISNUMBER($AG$73),AG$73,IF(ISNUMBER($AG$74),AG$74,IF(ISNUMBER($AG$75),AG$75,IF(ISNUMBER($AG$76),AG$76,""))))</f>
        <v/>
      </c>
      <c r="AH77" s="281" t="str">
        <f>IF(ISNUMBER($AH$73),AH$73,IF(ISNUMBER($AH$74),AH$74,IF(ISNUMBER($AH$75),AH$75,IF(ISNUMBER($AH$76),AH$76,""))))</f>
        <v/>
      </c>
      <c r="AI77" s="282" t="str">
        <f>IF(ISNUMBER($AI$73),AI$73,IF(ISNUMBER($AI$74),AI$74,IF(ISNUMBER($AI$75),AI$75,IF(ISNUMBER($AI$76),AI$76,""))))</f>
        <v/>
      </c>
      <c r="AJ77" s="281" t="str">
        <f>IF(ISNUMBER($AJ$73),AJ$73,IF(ISNUMBER($AJ$74),AJ$74,IF(ISNUMBER($AJ$75),AJ$75,IF(ISNUMBER($AJ$76),AJ$76,""))))</f>
        <v/>
      </c>
      <c r="AK77" s="282" t="str">
        <f>IF(ISNUMBER($AK$73),AK$73,IF(ISNUMBER($AK$74),AK$74,IF(ISNUMBER($AK$75),AK$75,IF(ISNUMBER($AK$76),AK$76,""))))</f>
        <v/>
      </c>
      <c r="AL77" s="281" t="str">
        <f>IF(ISNUMBER($AL$73),AL$73,IF(ISNUMBER($AL$74),AL$74,IF(ISNUMBER($AL$75),AL$75,IF(ISNUMBER($AL$76),AL$76,""))))</f>
        <v/>
      </c>
      <c r="BZ77" s="596"/>
      <c r="CA77" s="596"/>
    </row>
    <row r="78" spans="2:79" ht="12" customHeight="1" x14ac:dyDescent="0.25">
      <c r="B78" s="460" t="s">
        <v>56</v>
      </c>
      <c r="C78" s="460" t="s">
        <v>55</v>
      </c>
      <c r="D78" s="460" t="s">
        <v>57</v>
      </c>
      <c r="E78" s="460" t="s">
        <v>310</v>
      </c>
      <c r="F78" s="460" t="s">
        <v>311</v>
      </c>
      <c r="G78" s="460" t="s">
        <v>157</v>
      </c>
      <c r="H78" s="460" t="s">
        <v>312</v>
      </c>
      <c r="J78" t="e">
        <f>DGET('Grid Numbers'!$A$2:$L$4952,'Grid Numbers'!$I$2,$B$70:$H$71)</f>
        <v>#VALUE!</v>
      </c>
      <c r="L78" s="460" t="s">
        <v>56</v>
      </c>
      <c r="M78" s="460" t="s">
        <v>55</v>
      </c>
      <c r="N78" s="460" t="s">
        <v>57</v>
      </c>
      <c r="O78" s="460" t="s">
        <v>310</v>
      </c>
      <c r="P78" s="460" t="s">
        <v>311</v>
      </c>
      <c r="Q78" s="460" t="s">
        <v>157</v>
      </c>
      <c r="R78" s="460" t="s">
        <v>312</v>
      </c>
      <c r="T78" t="e">
        <f>DGET('Grid Numbers'!$A$2:$L$4952,'Grid Numbers'!$I$2,$L$70:$R$71)</f>
        <v>#VALUE!</v>
      </c>
      <c r="AA78" s="593"/>
      <c r="AB78" s="593"/>
      <c r="AE78" s="289"/>
      <c r="AF78" s="288"/>
      <c r="AG78" s="290"/>
      <c r="AH78" s="290"/>
      <c r="AI78" s="289"/>
      <c r="AJ78" s="288"/>
      <c r="AK78" s="289"/>
      <c r="AL78" s="288"/>
      <c r="BZ78" s="596"/>
      <c r="CA78" s="596"/>
    </row>
    <row r="79" spans="2:79" ht="12" customHeight="1" x14ac:dyDescent="0.25">
      <c r="B79" s="473" t="e">
        <f>$L$38</f>
        <v>#VALUE!</v>
      </c>
      <c r="C79" s="473">
        <f>$O$7</f>
        <v>0</v>
      </c>
      <c r="D79" s="473">
        <f>IF($P$7 = "S", 2,1)</f>
        <v>2</v>
      </c>
      <c r="E79" s="473">
        <f>$Q$7</f>
        <v>0</v>
      </c>
      <c r="F79" s="473">
        <f>IF($R$7 = "W", 2,1)</f>
        <v>2</v>
      </c>
      <c r="G79" s="473">
        <f>'SHL Section'!$S$7</f>
        <v>0</v>
      </c>
      <c r="H79" t="s">
        <v>490</v>
      </c>
      <c r="J79" t="e">
        <f>DGET('Grid Numbers'!$A$2:$L$4952,'Grid Numbers'!$J$2,$B$70:$H$71)</f>
        <v>#VALUE!</v>
      </c>
      <c r="L79" s="473" t="e">
        <f>$L$38</f>
        <v>#VALUE!</v>
      </c>
      <c r="M79" s="473">
        <f>$O$7</f>
        <v>0</v>
      </c>
      <c r="N79" s="473">
        <f>IF($P$7 = "S", 2,1)</f>
        <v>2</v>
      </c>
      <c r="O79" s="473">
        <f>$Q$7</f>
        <v>0</v>
      </c>
      <c r="P79" s="473">
        <f>IF($R$7 = "W", 2,1)</f>
        <v>2</v>
      </c>
      <c r="Q79" s="473">
        <f>'SHL Section'!$S$7</f>
        <v>0</v>
      </c>
      <c r="R79" s="472" t="s">
        <v>491</v>
      </c>
      <c r="T79" t="e">
        <f>DGET('Grid Numbers'!$A$2:$L$4952,'Grid Numbers'!$J$2,$L$70:$R$71)</f>
        <v>#VALUE!</v>
      </c>
      <c r="AA79" s="593"/>
      <c r="AB79" s="593"/>
      <c r="AE79" s="761" t="s">
        <v>492</v>
      </c>
      <c r="AF79" s="757"/>
      <c r="AG79" s="767" t="s">
        <v>492</v>
      </c>
      <c r="AH79" s="735"/>
      <c r="AI79" s="761" t="s">
        <v>492</v>
      </c>
      <c r="AJ79" s="757"/>
      <c r="AK79" s="761" t="s">
        <v>492</v>
      </c>
      <c r="AL79" s="757"/>
      <c r="BZ79" s="596"/>
      <c r="CA79" s="596"/>
    </row>
    <row r="80" spans="2:79" ht="12" customHeight="1" x14ac:dyDescent="0.25">
      <c r="B80" s="460" t="s">
        <v>56</v>
      </c>
      <c r="C80" s="460" t="s">
        <v>55</v>
      </c>
      <c r="D80" s="460" t="s">
        <v>57</v>
      </c>
      <c r="E80" s="460" t="s">
        <v>310</v>
      </c>
      <c r="F80" s="460" t="s">
        <v>311</v>
      </c>
      <c r="G80" s="460" t="s">
        <v>157</v>
      </c>
      <c r="H80" s="460" t="s">
        <v>312</v>
      </c>
      <c r="J80" t="e">
        <f>DGET('Grid Numbers'!$A$2:$L$4952,'Grid Numbers'!$K$2,$B$70:$H$71)</f>
        <v>#VALUE!</v>
      </c>
      <c r="L80" s="460" t="s">
        <v>56</v>
      </c>
      <c r="M80" s="460" t="s">
        <v>55</v>
      </c>
      <c r="N80" s="460" t="s">
        <v>57</v>
      </c>
      <c r="O80" s="460" t="s">
        <v>310</v>
      </c>
      <c r="P80" s="460" t="s">
        <v>311</v>
      </c>
      <c r="Q80" s="460" t="s">
        <v>157</v>
      </c>
      <c r="R80" s="460" t="s">
        <v>312</v>
      </c>
      <c r="T80" t="e">
        <f>DGET('Grid Numbers'!$A$2:$L$4952,'Grid Numbers'!$K$2,$L$70:$R$71)</f>
        <v>#VALUE!</v>
      </c>
      <c r="AA80" s="593"/>
      <c r="AB80" s="593"/>
      <c r="AE80" s="762" t="str">
        <f>IF($AE$42="","",IF(AND((-$AE$42+$AF$42*$AV$19/$AW$19)&gt;0,-$AE$42&lt;$BZ$19,(-$AF$42+$AE$42*$CA$19/$BZ$19)&gt;0,-$AF$42&lt;$AW$19),1,IF(AND((-$AE$42-$AV$19+($AF$42+$AW$19)*$AX$19/$AY$19)&gt;0,-$AE$42&lt;$BZ$19,-$AF$42&gt;$AW$19,-$AF$42&lt;$AX$22),2,IF(AND(-$AE$42&lt;$BY$22,-$AE$42&gt;$BZ$19,-$AF$42&gt;$AW$19,-$AF$42&lt;$AX$22),3,IF(AND(-$AE$42&lt;$BY$22,-$AE$42&gt;$BZ$19,(-$AF$42-$CA$19-(-$AE$42-$BZ$19)*$BY$19/$BX$19)&gt;0,-$AF$42&lt;$AW$19),4,"")))))</f>
        <v/>
      </c>
      <c r="AF80" s="683"/>
      <c r="AG80" s="762" t="str">
        <f>IF($AG$42="","",IF(AND((-$AG$42+$BB$19+($AH$42-$BC$19)*$AZ$19/$BA$19)&gt;0,-$AG$42&lt;$BD$19,$AH$42&gt;$BC$19,$AH$42&lt;$BB$22),1,IF(AND((-$AG$42+$AH$42*$BB$19/$BC$19)&gt;0,-$AG$42&lt;$BD$19,($AH$42-$AG$42*$BE$19/$BD$19)&gt;0,$AH$42&lt;$BC$19),2,IF(AND(-$AG$42&gt;$BD$19,-$AG$42&lt;$BE$22,($AH$42+$BE$19+(-$AG$42-$BD$19)*$BG$19/$BF$19)&gt;0,$AH$42&lt;$BC$19),3,IF(AND(-$AG$42&gt;$BD$19,-$AG$42&lt;$BE$22,$AH$42&gt;$BC$19,$AH$42&lt;$BB$22),4,"")))))</f>
        <v/>
      </c>
      <c r="AH80" s="683"/>
      <c r="AI80" s="762" t="str">
        <f>IF($AI$42="","",IF(AND($AI$42&gt;$BJ$19,$AI$42&lt;$BI$22,$AJ$42&gt;$BM$19,$AJ$42&lt;$BN$22),1,IF(AND($AI$42&gt;$BJ$19,$AI$42&lt;$BI$22,($AJ$42-$BK$19-($AI$42-$BJ$19)*$BI$19/$BH$19)&gt;0,$AJ$42&lt;$BM$19),2,IF(AND(($AI$42-$AJ$42*$BL$19/$BM$19)&gt;0,$AI$42&lt;$BJ$19,($AJ$42-$AI$42*$BK$19/$BJ$19)&gt;0,$AJ$42&lt;$BM$19),3,IF(AND(($AI$42-$BL$19-($AJ$42-$BM$19)*$BN$19/$BO$19)&gt;0,$AI$42&lt;$BJ$19,$AJ$42&gt;$BM$19,$AJ$42&lt;$BN$22),4,"")))))</f>
        <v/>
      </c>
      <c r="AJ80" s="683"/>
      <c r="AK80" s="762" t="str">
        <f>IF($AK$42="","",IF(AND($AK$42&gt;$BT$19,$AK$42&lt;$BU$22,(-$AL$42+$BU$19+($AK$42-$BT$19)*$BW$19/$BV$19)&gt;0,-$AL$42&lt;$BS$19),1,IF(AND($AK$42&gt;$BT$19,$AK$42&lt;$BU$22,-$AL$42&gt;$BS$19,-$AL$42&lt;$BR$22),2,IF(AND(($AK$42+$BR$19+(-$AL$42-$BS$19)*$BP$19/$BQ$19)&gt;0,$AK$42&lt;$BT$19,-$AL$42&gt;$BS$19,-$AL$42&lt;$BR$22),3,IF(AND(($AK$42-$AL$42*$BR$19/$BS$19)&gt;0,$AK$42&lt;$BT$19,(-$AL$42+$AK$42*$BU$19/$BT$19)&gt;0,-$AL$42&lt;$BS$19),4,"")))))</f>
        <v/>
      </c>
      <c r="AL80" s="683"/>
      <c r="BZ80" s="596"/>
      <c r="CA80" s="596"/>
    </row>
    <row r="81" spans="2:79" ht="12" customHeight="1" x14ac:dyDescent="0.25">
      <c r="B81" s="473" t="e">
        <f>$L$38</f>
        <v>#VALUE!</v>
      </c>
      <c r="C81" s="473">
        <f>$O$7</f>
        <v>0</v>
      </c>
      <c r="D81" s="473">
        <f>IF($P$7 = "S", 2,1)</f>
        <v>2</v>
      </c>
      <c r="E81" s="473">
        <f>$Q$7</f>
        <v>0</v>
      </c>
      <c r="F81" s="473">
        <f>IF($R$7 = "W", 2,1)</f>
        <v>2</v>
      </c>
      <c r="G81" s="473">
        <f>'SHL Section'!$S$7</f>
        <v>0</v>
      </c>
      <c r="H81" t="s">
        <v>493</v>
      </c>
      <c r="J81" t="e">
        <f>DGET('Grid Numbers'!$A$2:$L$4952,'Grid Numbers'!$L$2,$B$70:$H$71)</f>
        <v>#VALUE!</v>
      </c>
      <c r="L81" s="473" t="e">
        <f>$L$38</f>
        <v>#VALUE!</v>
      </c>
      <c r="M81" s="473">
        <f>$O$7</f>
        <v>0</v>
      </c>
      <c r="N81" s="473">
        <f>IF($P$7 = "S", 2,1)</f>
        <v>2</v>
      </c>
      <c r="O81" s="473">
        <f>$Q$7</f>
        <v>0</v>
      </c>
      <c r="P81" s="473">
        <f>IF($R$7 = "W", 2,1)</f>
        <v>2</v>
      </c>
      <c r="Q81" s="473">
        <f>'SHL Section'!$S$7</f>
        <v>0</v>
      </c>
      <c r="R81" s="472" t="s">
        <v>494</v>
      </c>
      <c r="T81" t="e">
        <f>DGET('Grid Numbers'!$A$2:$L$4952,'Grid Numbers'!$L$2,$L$70:$R$71)</f>
        <v>#VALUE!</v>
      </c>
      <c r="AA81" s="593"/>
      <c r="AB81" s="593"/>
      <c r="AE81" s="289"/>
      <c r="AF81" s="288"/>
      <c r="AG81" s="290"/>
      <c r="AH81" s="290"/>
      <c r="AI81" s="289"/>
      <c r="AJ81" s="288"/>
      <c r="AK81" s="289"/>
      <c r="AL81" s="288"/>
      <c r="BZ81" s="596"/>
      <c r="CA81" s="596"/>
    </row>
    <row r="82" spans="2:79" ht="12" customHeight="1" x14ac:dyDescent="0.25">
      <c r="J82" t="e">
        <f>DGET('Grid Numbers'!$A$2:$L$4952,'Grid Numbers'!$H$2,$B$72:$H$73)</f>
        <v>#VALUE!</v>
      </c>
      <c r="T82" t="e">
        <f>DGET('Grid Numbers'!$A$2:$L$4952,'Grid Numbers'!$H$2,$L$72:$R$73)</f>
        <v>#VALUE!</v>
      </c>
      <c r="AA82" s="593"/>
      <c r="AB82" s="593"/>
      <c r="AE82" s="761" t="s">
        <v>495</v>
      </c>
      <c r="AF82" s="757"/>
      <c r="AG82" s="761" t="s">
        <v>496</v>
      </c>
      <c r="AH82" s="757"/>
      <c r="AI82" s="761" t="s">
        <v>482</v>
      </c>
      <c r="AJ82" s="757"/>
      <c r="AK82" s="761" t="s">
        <v>497</v>
      </c>
      <c r="AL82" s="757"/>
      <c r="BZ82" s="596"/>
      <c r="CA82" s="596"/>
    </row>
    <row r="83" spans="2:79" ht="12" customHeight="1" x14ac:dyDescent="0.25">
      <c r="J83" t="e">
        <f>DGET('Grid Numbers'!$A$2:$L$4952,'Grid Numbers'!$I$2,$B$72:$H$73)</f>
        <v>#VALUE!</v>
      </c>
      <c r="T83" t="e">
        <f>DGET('Grid Numbers'!$A$2:$L$4952,'Grid Numbers'!$I$2,$L$72:$R$73)</f>
        <v>#VALUE!</v>
      </c>
      <c r="AA83" s="593"/>
      <c r="AB83" s="593"/>
      <c r="AD83" s="467" t="s">
        <v>340</v>
      </c>
      <c r="AE83" s="588" t="s">
        <v>186</v>
      </c>
      <c r="AF83" s="588" t="s">
        <v>188</v>
      </c>
      <c r="AG83" s="465" t="s">
        <v>186</v>
      </c>
      <c r="AH83" s="464" t="s">
        <v>189</v>
      </c>
      <c r="AI83" s="588" t="s">
        <v>187</v>
      </c>
      <c r="AJ83" s="588" t="s">
        <v>189</v>
      </c>
      <c r="AK83" s="588" t="s">
        <v>187</v>
      </c>
      <c r="AL83" s="588" t="s">
        <v>188</v>
      </c>
      <c r="AN83" s="596" t="s">
        <v>472</v>
      </c>
      <c r="BZ83" s="596"/>
      <c r="CA83" s="596"/>
    </row>
    <row r="84" spans="2:79" ht="12" customHeight="1" x14ac:dyDescent="0.25">
      <c r="J84" t="e">
        <f>DGET('Grid Numbers'!$A$2:$L$4952,'Grid Numbers'!$J$2,$B$72:$H$73)</f>
        <v>#VALUE!</v>
      </c>
      <c r="T84" t="e">
        <f>DGET('Grid Numbers'!$A$2:$L$4952,'Grid Numbers'!$J$2,$L$72:$R$73)</f>
        <v>#VALUE!</v>
      </c>
      <c r="AA84" s="593"/>
      <c r="AB84" s="593"/>
      <c r="AD84" s="317">
        <v>1</v>
      </c>
      <c r="AE84" s="304" t="str">
        <f>IF($AD84=AE$80,(-$AE$42+$AF$42*$AV$19/$AW$19)*$AV$28,"")</f>
        <v/>
      </c>
      <c r="AF84" s="285" t="str">
        <f>IF($AD84=AE$80,(-$AF$42+$AE$42*$CA$19/$BZ$19)*$BZ$28,"")</f>
        <v/>
      </c>
      <c r="AG84" s="304" t="str">
        <f>IF($AD84=AG$80,(-$AG$42+$BB$19+($AH$42-$BC$19)*$AZ$19/$BA$19)*$AZ$28,"")</f>
        <v/>
      </c>
      <c r="AH84" s="285" t="str">
        <f>IF($AD84=AG$80,($AH$42-$AG$42*$BE$19/$BD$19)*$BD$28,"")</f>
        <v/>
      </c>
      <c r="AI84" s="304" t="str">
        <f>IF($AD84=AI$80,($AI$42-$BL$19-($AJ$42-$BM$19)*$BN$19/$BO$19)*$BN$28,"")</f>
        <v/>
      </c>
      <c r="AJ84" s="285" t="str">
        <f>IF($AD84=AI$80,($AJ$42-$BK$19-($AI$42-$BJ$19)*$BI$19/$BH$19)*$BH$28,"")</f>
        <v/>
      </c>
      <c r="AK84" s="304" t="str">
        <f>IF($AD84=AK$80,($AK$42-$AL$42*$BR$19/$BS$19)*$BR$28,"")</f>
        <v/>
      </c>
      <c r="AL84" s="285" t="str">
        <f>IF($AD84=AK$80,(-$AL$42+$BU$19+($AK$42-$BT$19)*$BW$19/$BV$19)*$BV$28,"")</f>
        <v/>
      </c>
      <c r="AN84" s="287" t="str">
        <f>IF(ISNUMBER($AE$42),(-$AE$42+$AF$42*$AV$19/$AW$19),"")</f>
        <v/>
      </c>
      <c r="AO84" s="286" t="str">
        <f>IF(ISNUMBER($AF$42),(-$AF$42+$AE$42*$CA$19/$BZ$19),"")</f>
        <v/>
      </c>
      <c r="AP84" s="287" t="str">
        <f>IF(ISNUMBER($AG$42),(-$AG$42+$BB$19+($AH$42-$BC$19)*$AZ$19/$BA$19),"")</f>
        <v/>
      </c>
      <c r="AQ84" s="286" t="str">
        <f>IF(ISNUMBER($AH$42),($AH$42-$AG$42*$BE$19/$BD$19),"")</f>
        <v/>
      </c>
      <c r="AR84" s="287" t="str">
        <f>IF(ISNUMBER($AI$42),($AI$42-$BL$19-($AJ$42-$BM$19)*$BN$19/$BO$19),"")</f>
        <v/>
      </c>
      <c r="AS84" s="286" t="str">
        <f>IF(ISNUMBER($AJ$42),($AJ$42-$BK$19-($AI$42-$BJ$19)*$BI$19/$BH$19),"")</f>
        <v/>
      </c>
      <c r="AT84" s="287" t="str">
        <f>IF(ISNUMBER($AK$42),($AK$42-$AL$42*$BR$19/$BS$19),"")</f>
        <v/>
      </c>
      <c r="AU84" s="286" t="str">
        <f>IF(ISNUMBER($AL$42),(-$AL$42+$BU$19+($AK$42-$BT$19)*$BW$19/$BV$19),"")</f>
        <v/>
      </c>
      <c r="BZ84" s="596"/>
      <c r="CA84" s="596"/>
    </row>
    <row r="85" spans="2:79" ht="12" customHeight="1" x14ac:dyDescent="0.25">
      <c r="J85" t="e">
        <f>DGET('Grid Numbers'!$A$2:$L$4952,'Grid Numbers'!$K$2,$B$72:$H$73)</f>
        <v>#VALUE!</v>
      </c>
      <c r="T85" t="e">
        <f>DGET('Grid Numbers'!$A$2:$L$4952,'Grid Numbers'!$K$2,$L$72:$R$73)</f>
        <v>#VALUE!</v>
      </c>
      <c r="AA85" s="593"/>
      <c r="AB85" s="593"/>
      <c r="AD85" s="317">
        <v>2</v>
      </c>
      <c r="AE85" s="304" t="str">
        <f>IF($AD85=AE$80,(-$AE$42-$AV$19+($AF$42+$AW$19)*$AX$19/$AY$19)*$AX$28,"")</f>
        <v/>
      </c>
      <c r="AF85" s="285" t="str">
        <f>IF($AD85=AE$80,(-$AF$42+$AE$42*$CA$19/$BZ$19)*$BZ$28,"")</f>
        <v/>
      </c>
      <c r="AG85" s="304" t="str">
        <f>IF($AD85=AG$80,(-$AG$42+$AH$42*$BB$19/$BC$19)*$BB$28,"")</f>
        <v/>
      </c>
      <c r="AH85" s="285" t="str">
        <f>IF($AD85=AG$80,($AH$42-$AG$42*$BE$19/$BD$19)*$BD$28,"")</f>
        <v/>
      </c>
      <c r="AI85" s="304" t="str">
        <f>IF($AD85=AI$80,($AI$42-$AJ$42*$BL$19/$BM$19)*$BL$28,"")</f>
        <v/>
      </c>
      <c r="AJ85" s="285" t="str">
        <f>IF($AD85=AI$80,($AJ$42-$BK$19-($AI$42-$BJ$19)*$BI$19/$BH$19)*$BH$28,"")</f>
        <v/>
      </c>
      <c r="AK85" s="304" t="str">
        <f>IF($AD85=AK$80,($AK$42+$BR$19+(-$AL$42-$BS$19)*$BP$19/$BQ$19)*$BP$28,"")</f>
        <v/>
      </c>
      <c r="AL85" s="285" t="str">
        <f>IF($AD85=AK$80,(-$AL$42+$BU$19+($AK$42-$BT$19)*$BW$19/$BV$19)*$BV$28,"")</f>
        <v/>
      </c>
      <c r="AN85" s="304" t="str">
        <f>IF(ISNUMBER($AE$42),(-$AE$42-$AV$19+($AF$42+$AW$19)*$AX$19/$AY$19),"")</f>
        <v/>
      </c>
      <c r="AO85" s="285" t="str">
        <f>IF(ISNUMBER($AF$42),(-$AF$42+$AE$42*$CA$19/$BZ$19),"")</f>
        <v/>
      </c>
      <c r="AP85" s="304" t="str">
        <f>IF(ISNUMBER($AG$42),(-$AG$42+$AH$42*$BB$19/$BC$19),"")</f>
        <v/>
      </c>
      <c r="AQ85" s="285" t="str">
        <f>IF(ISNUMBER($AH$42),($AH$42-$AG$42*$BE$19/$BD$19),"")</f>
        <v/>
      </c>
      <c r="AR85" s="304" t="str">
        <f>IF(ISNUMBER($AI$42),($AI$42-$AJ$42*$BL$19/$BM$19),"")</f>
        <v/>
      </c>
      <c r="AS85" s="285" t="str">
        <f>IF(ISNUMBER($AJ$42),($AJ$42-$BK$19-($AI$42-$BJ$19)*$BI$19/$BH$19),"")</f>
        <v/>
      </c>
      <c r="AT85" s="304" t="str">
        <f>IF(ISNUMBER($AK$42),($AK$42+$BR$19+(-$AL$42-$BS$19)*$BP$19/$BQ$19),"")</f>
        <v/>
      </c>
      <c r="AU85" s="285" t="str">
        <f>IF(ISNUMBER($AL$42),(-$AL$42+$BU$19+($AK$42-$BT$19)*$BW$19/$BV$19),"")</f>
        <v/>
      </c>
      <c r="BZ85" s="596"/>
      <c r="CA85" s="596"/>
    </row>
    <row r="86" spans="2:79" ht="12" customHeight="1" x14ac:dyDescent="0.25">
      <c r="J86" t="e">
        <f>DGET('Grid Numbers'!$A$2:$L$4952,'Grid Numbers'!$L$2,$B$72:$H$73)</f>
        <v>#VALUE!</v>
      </c>
      <c r="T86" t="e">
        <f>DGET('Grid Numbers'!$A$2:$L$4952,'Grid Numbers'!$L$2,$L$72:$R$73)</f>
        <v>#VALUE!</v>
      </c>
      <c r="AA86" s="593"/>
      <c r="AB86" s="593"/>
      <c r="AD86" s="317">
        <v>3</v>
      </c>
      <c r="AE86" s="304" t="str">
        <f>IF($AD86=AE$80,(-$AE$42-$AV$19+($AF$42+$AW$19)*$AX$19/$AY$19)*$AX$28,"")</f>
        <v/>
      </c>
      <c r="AF86" s="285" t="str">
        <f>IF($AD86=AE$80,(-$AF$42-$CA$19-(-$AE$42-$BZ$19)*$BY$19/$BX$19)*$BX$28,"")</f>
        <v/>
      </c>
      <c r="AG86" s="304" t="str">
        <f>IF($AD86=AG$80,(-$AG$42+$AH$42*$BB$19/$BC$19)*$BB$28,"")</f>
        <v/>
      </c>
      <c r="AH86" s="285" t="str">
        <f>IF($AD86=AG$80,($AH$42+$BE$19+(-$AG$42-$BD$19)*$BG$19/$BF$19)*$BF$28,"")</f>
        <v/>
      </c>
      <c r="AI86" s="304" t="str">
        <f>IF($AD86=AI$80,($AI$42-$AJ$42*$BL$19/$BM$19)*$BL$28,"")</f>
        <v/>
      </c>
      <c r="AJ86" s="285" t="str">
        <f>IF($AD86=AI$80,($AJ$42-$AI$42*$BK$19/$BJ$19)*$BJ$28,"")</f>
        <v/>
      </c>
      <c r="AK86" s="304" t="str">
        <f>IF($AD86=AK$80,($AK$42+$BR$19+(-$AL$42-$BS$19)*$BP$19/$BQ$19)*$BP$28,"")</f>
        <v/>
      </c>
      <c r="AL86" s="285" t="str">
        <f>IF($AD86=AK$80,(-$AL$42+$AK$42*$BU$19/$BT$19)*$BT$28,"")</f>
        <v/>
      </c>
      <c r="AN86" s="304" t="str">
        <f>IF(ISNUMBER($AE$42),(-$AE$42-$AV$19+($AF$42+$AW$19)*$AX$19/$AY$19),"")</f>
        <v/>
      </c>
      <c r="AO86" s="285" t="str">
        <f>IF(ISNUMBER($AF$42),(-$AF$42-$CA$19-(-$AE$42-$BZ$19)*$BY$19/$BX$19),"")</f>
        <v/>
      </c>
      <c r="AP86" s="304" t="str">
        <f>IF(ISNUMBER($AG$42),(-$AG$42+$AH$42*$BB$19/$BC$19),"")</f>
        <v/>
      </c>
      <c r="AQ86" s="285" t="str">
        <f>IF(ISNUMBER($AH$42),($AH$42+$BE$19+(-$AG$42-$BD$19)*$BG$19/$BF$19),"")</f>
        <v/>
      </c>
      <c r="AR86" s="304" t="str">
        <f>IF(ISNUMBER($AI$42),($AI$42-$AJ$42*$BL$19/$BM$19),"")</f>
        <v/>
      </c>
      <c r="AS86" s="285" t="str">
        <f>IF(ISNUMBER($AJ$42),($AJ$42-$AI$42*$BK$19/$BJ$19),"")</f>
        <v/>
      </c>
      <c r="AT86" s="304" t="str">
        <f>IF(ISNUMBER($AK$42),($AK$42+$BR$19+(-$AL$42-$BS$19)*$BP$19/$BQ$19),"")</f>
        <v/>
      </c>
      <c r="AU86" s="285" t="str">
        <f>IF(ISNUMBER($AL$42),(-$AL$42+$AK$42*$BU$19/$BT$19),"")</f>
        <v/>
      </c>
      <c r="BZ86" s="596"/>
      <c r="CA86" s="596"/>
    </row>
    <row r="87" spans="2:79" ht="12" customHeight="1" x14ac:dyDescent="0.25">
      <c r="AA87" s="593"/>
      <c r="AB87" s="593"/>
      <c r="AD87" s="317">
        <v>4</v>
      </c>
      <c r="AE87" s="284" t="str">
        <f>IF($AD87=AE$80,(-$AE$42+$AF$42*$AV$19/$AW$19)*$AV$28,"")</f>
        <v/>
      </c>
      <c r="AF87" s="283" t="str">
        <f>IF($AD87=AE$80,(-$AF$42-$CA$19-(-$AE$42-$BZ$19)*$BY$19/$BX$19)*$BX$28,"")</f>
        <v/>
      </c>
      <c r="AG87" s="284" t="str">
        <f>IF($AD87=AG$80,(-$AG$42+$BB$19+($AH$42-$BC$19)*$AZ$19/$BA$19)*$AZ$28,"")</f>
        <v/>
      </c>
      <c r="AH87" s="283" t="str">
        <f>IF($AD87=AG$80,($AH$42+$BE$19+(-$AG$42-$BD$19)*$BG$19/$BF$19)*$BF$28,"")</f>
        <v/>
      </c>
      <c r="AI87" s="284" t="str">
        <f>IF($AD87=AI$80,($AI$42-$BL$19-($AJ$42-$BM$19)*$BN$19/$BO$19)*$BN$28,"")</f>
        <v/>
      </c>
      <c r="AJ87" s="283" t="str">
        <f>IF($AD87=AI$80,($AJ$42-$AI$42*$BK$19/$BJ$19)*$BJ$28,"")</f>
        <v/>
      </c>
      <c r="AK87" s="284" t="str">
        <f>IF($AD87=AK$80,($AK$42-$AL$42*$BR$19/$BS$19)*$BR$28,"")</f>
        <v/>
      </c>
      <c r="AL87" s="283" t="str">
        <f>IF($AD87=AK$80,(-$AL$42+$AK$42*$BU$19/$BT$19)*$BT$28,"")</f>
        <v/>
      </c>
      <c r="AN87" s="284" t="str">
        <f>IF(ISNUMBER($AE$42),(-$AE$42+$AF$42*$AV$19/$AW$19),"")</f>
        <v/>
      </c>
      <c r="AO87" s="283" t="str">
        <f>IF(ISNUMBER($AF$42),(-$AF$42-$CA$19-(-$AE$42-$BZ$19)*$BY$19/$BX$19),"")</f>
        <v/>
      </c>
      <c r="AP87" s="284" t="str">
        <f>IF(ISNUMBER($AG$42),(-$AG$42+$BB$19+($AH$42-$BC$19)*$AZ$19/$BA$19),"")</f>
        <v/>
      </c>
      <c r="AQ87" s="283" t="str">
        <f>IF(ISNUMBER($AH$42),($AH$42+$BE$19+(-$AG$42-$BD$19)*$BG$19/$BF$19),"")</f>
        <v/>
      </c>
      <c r="AR87" s="284" t="str">
        <f>IF(ISNUMBER($AI$42),($AI$42-$BL$19-($AJ$42-$BM$19)*$BN$19/$BO$19),"")</f>
        <v/>
      </c>
      <c r="AS87" s="283" t="str">
        <f>IF(ISNUMBER($AJ$42),($AJ$42-$AI$42*$BK$19/$BJ$19),"")</f>
        <v/>
      </c>
      <c r="AT87" s="284" t="str">
        <f>IF(ISNUMBER($AK$42),($AK$42-$AL$42*$BR$19/$BS$19),"")</f>
        <v/>
      </c>
      <c r="AU87" s="283" t="str">
        <f>IF(ISNUMBER($AL$42),(-$AL$42+$AK$42*$BU$19/$BT$19),"")</f>
        <v/>
      </c>
      <c r="BZ87" s="596"/>
      <c r="CA87" s="596"/>
    </row>
    <row r="88" spans="2:79" ht="12" customHeight="1" x14ac:dyDescent="0.25">
      <c r="J88" t="e">
        <f>DGET('Grid Numbers'!$A$2:$L$4952,'Grid Numbers'!$H$2,$B$74:$H$75)</f>
        <v>#VALUE!</v>
      </c>
      <c r="T88" t="e">
        <f>DGET('Grid Numbers'!$A$2:$L$4952,'Grid Numbers'!$H$2,$L$74:$R$75)</f>
        <v>#VALUE!</v>
      </c>
      <c r="AA88" s="593"/>
      <c r="AB88" s="593"/>
      <c r="AE88" s="282" t="str">
        <f>IF(ISNUMBER($AE$84),AE$84,IF(ISNUMBER($AE$85),AE$85,IF(ISNUMBER($AE$86),AE$86,IF(ISNUMBER($AE$87),AE$87,""))))</f>
        <v/>
      </c>
      <c r="AF88" s="281" t="str">
        <f>IF(ISNUMBER($AF$84),AF$84,IF(ISNUMBER($AF$85),AF$85,IF(ISNUMBER($AF$86),AF$86,IF(ISNUMBER($AF$87),AF$87,""))))</f>
        <v/>
      </c>
      <c r="AG88" s="282" t="str">
        <f>IF(ISNUMBER($AG$84),AG$84,IF(ISNUMBER($AG$85),AG$85,IF(ISNUMBER($AG$86),AG$86,IF(ISNUMBER($AG$87),AG$87,""))))</f>
        <v/>
      </c>
      <c r="AH88" s="281" t="str">
        <f>IF(ISNUMBER($AH$84),AH$84,IF(ISNUMBER($AH$85),AH$85,IF(ISNUMBER($AH$86),AH$86,IF(ISNUMBER($AH$87),AH$87,""))))</f>
        <v/>
      </c>
      <c r="AI88" s="282" t="str">
        <f>IF(ISNUMBER($AI$84),AI$84,IF(ISNUMBER($AI$85),AI$85,IF(ISNUMBER($AI$86),AI$86,IF(ISNUMBER($AI$87),AI$87,""))))</f>
        <v/>
      </c>
      <c r="AJ88" s="281" t="str">
        <f>IF(ISNUMBER($AJ$84),AJ$84,IF(ISNUMBER($AJ$85),AJ$85,IF(ISNUMBER($AJ$86),AJ$86,IF(ISNUMBER($AJ$87),AJ$87,""))))</f>
        <v/>
      </c>
      <c r="AK88" s="282" t="str">
        <f>IF(ISNUMBER($AK$84),AK$84,IF(ISNUMBER($AK$85),AK$85,IF(ISNUMBER($AK$86),AK$86,IF(ISNUMBER($AK$87),AK$87,""))))</f>
        <v/>
      </c>
      <c r="AL88" s="281" t="str">
        <f>IF(ISNUMBER($AL$84),AL$84,IF(ISNUMBER($AL$85),AL$85,IF(ISNUMBER($AL$86),AL$86,IF(ISNUMBER($AL$87),AL$87,""))))</f>
        <v/>
      </c>
      <c r="BZ88" s="596"/>
      <c r="CA88" s="596"/>
    </row>
    <row r="89" spans="2:79" ht="12" customHeight="1" x14ac:dyDescent="0.25">
      <c r="J89" t="e">
        <f>DGET('Grid Numbers'!$A$2:$L$4952,'Grid Numbers'!$I$2,$B$74:$H$75)</f>
        <v>#VALUE!</v>
      </c>
      <c r="T89" t="e">
        <f>DGET('Grid Numbers'!$A$2:$L$4952,'Grid Numbers'!$I$2,$L$74:$R$75)</f>
        <v>#VALUE!</v>
      </c>
      <c r="AA89" s="593"/>
      <c r="AB89" s="593"/>
      <c r="BZ89" s="596"/>
      <c r="CA89" s="596"/>
    </row>
    <row r="90" spans="2:79" ht="12" customHeight="1" x14ac:dyDescent="0.25">
      <c r="J90" t="e">
        <f>DGET('Grid Numbers'!$A$2:$L$4952,'Grid Numbers'!$J$2,$B$74:$H$75)</f>
        <v>#VALUE!</v>
      </c>
      <c r="T90" t="e">
        <f>DGET('Grid Numbers'!$A$2:$L$4952,'Grid Numbers'!$J$2,$L$74:$R$75)</f>
        <v>#VALUE!</v>
      </c>
      <c r="AA90" s="593"/>
      <c r="AB90" s="593"/>
      <c r="BZ90" s="596"/>
      <c r="CA90" s="596"/>
    </row>
    <row r="91" spans="2:79" ht="12" customHeight="1" x14ac:dyDescent="0.25">
      <c r="J91" t="e">
        <f>DGET('Grid Numbers'!$A$2:$L$4952,'Grid Numbers'!$K$2,$B$74:$H$75)</f>
        <v>#VALUE!</v>
      </c>
      <c r="T91" t="e">
        <f>DGET('Grid Numbers'!$A$2:$L$4952,'Grid Numbers'!$K$2,$L$74:$R$75)</f>
        <v>#VALUE!</v>
      </c>
      <c r="AA91" s="593"/>
      <c r="AB91" s="593"/>
      <c r="BZ91" s="596"/>
      <c r="CA91" s="596"/>
    </row>
    <row r="92" spans="2:79" ht="12" customHeight="1" x14ac:dyDescent="0.25">
      <c r="J92" t="e">
        <f>DGET('Grid Numbers'!$A$2:$L$4952,'Grid Numbers'!$L$2,$B$74:$H$75)</f>
        <v>#VALUE!</v>
      </c>
      <c r="T92" t="e">
        <f>DGET('Grid Numbers'!$A$2:$L$4952,'Grid Numbers'!$L$2,$L$74:$R$75)</f>
        <v>#VALUE!</v>
      </c>
      <c r="AA92" s="593"/>
      <c r="AB92" s="593"/>
      <c r="BZ92" s="596"/>
      <c r="CA92" s="596"/>
    </row>
    <row r="93" spans="2:79" x14ac:dyDescent="0.25">
      <c r="J93" t="e">
        <f>DGET('Grid Numbers'!$A$2:$L$4952,'Grid Numbers'!$H$2,$B$76:$H$77)</f>
        <v>#VALUE!</v>
      </c>
      <c r="T93" t="e">
        <f>DGET('Grid Numbers'!$A$2:$L$4952,'Grid Numbers'!$H$2,$L$76:$R$77)</f>
        <v>#VALUE!</v>
      </c>
      <c r="AA93" s="593"/>
      <c r="AB93" s="593"/>
      <c r="BZ93" s="596"/>
      <c r="CA93" s="596"/>
    </row>
    <row r="94" spans="2:79" x14ac:dyDescent="0.25">
      <c r="J94" t="e">
        <f>DGET('Grid Numbers'!$A$2:$L$4952,'Grid Numbers'!$I$2,$B$76:$H$77)</f>
        <v>#VALUE!</v>
      </c>
      <c r="T94" t="e">
        <f>DGET('Grid Numbers'!$A$2:$L$4952,'Grid Numbers'!$I$2,$L$76:$R$77)</f>
        <v>#VALUE!</v>
      </c>
      <c r="AA94" s="593"/>
      <c r="AB94" s="593"/>
      <c r="BZ94" s="596"/>
      <c r="CA94" s="596"/>
    </row>
    <row r="95" spans="2:79" x14ac:dyDescent="0.25">
      <c r="J95" t="e">
        <f>DGET('Grid Numbers'!$A$2:$L$4952,'Grid Numbers'!$J$2,$B$76:$H$77)</f>
        <v>#VALUE!</v>
      </c>
      <c r="T95" t="e">
        <f>DGET('Grid Numbers'!$A$2:$L$4952,'Grid Numbers'!$J$2,$L$76:$R$77)</f>
        <v>#VALUE!</v>
      </c>
      <c r="AA95" s="593"/>
      <c r="AB95" s="593"/>
      <c r="BZ95" s="596"/>
      <c r="CA95" s="596"/>
    </row>
    <row r="96" spans="2:79" x14ac:dyDescent="0.25">
      <c r="J96" t="e">
        <f>DGET('Grid Numbers'!$A$2:$L$4952,'Grid Numbers'!$K$2,$B$76:$H$77)</f>
        <v>#VALUE!</v>
      </c>
      <c r="T96" t="e">
        <f>DGET('Grid Numbers'!$A$2:$L$4952,'Grid Numbers'!$K$2,$L$76:$R$77)</f>
        <v>#VALUE!</v>
      </c>
      <c r="AA96" s="593"/>
      <c r="AB96" s="593"/>
      <c r="BZ96" s="596"/>
      <c r="CA96" s="596"/>
    </row>
    <row r="97" spans="10:79" x14ac:dyDescent="0.25">
      <c r="J97" t="e">
        <f>DGET('Grid Numbers'!$A$2:$L$4952,'Grid Numbers'!$L$2,$B$76:$H$77)</f>
        <v>#VALUE!</v>
      </c>
      <c r="T97" t="e">
        <f>DGET('Grid Numbers'!$A$2:$L$4952,'Grid Numbers'!$L$2,$L$76:$R$77)</f>
        <v>#VALUE!</v>
      </c>
      <c r="AA97" s="593"/>
      <c r="AB97" s="593"/>
      <c r="BZ97" s="596"/>
      <c r="CA97" s="596"/>
    </row>
    <row r="98" spans="10:79" x14ac:dyDescent="0.25">
      <c r="J98" t="e">
        <f>DGET('Grid Numbers'!$A$2:$L$4952,'Grid Numbers'!$H$2,$B$78:$H$79)</f>
        <v>#VALUE!</v>
      </c>
      <c r="T98" t="e">
        <f>DGET('Grid Numbers'!$A$2:$L$4952,'Grid Numbers'!$H$2,$L$78:$R$79)</f>
        <v>#VALUE!</v>
      </c>
      <c r="AA98" s="593"/>
      <c r="AB98" s="593"/>
      <c r="BZ98" s="596"/>
      <c r="CA98" s="596"/>
    </row>
    <row r="99" spans="10:79" x14ac:dyDescent="0.25">
      <c r="J99" t="e">
        <f>DGET('Grid Numbers'!$A$2:$L$4952,'Grid Numbers'!$I$2,$B$78:$H$79)</f>
        <v>#VALUE!</v>
      </c>
      <c r="T99" t="e">
        <f>DGET('Grid Numbers'!$A$2:$L$4952,'Grid Numbers'!$I$2,$L$78:$R$79)</f>
        <v>#VALUE!</v>
      </c>
      <c r="AA99" s="593"/>
      <c r="AB99" s="593"/>
      <c r="BZ99" s="596"/>
      <c r="CA99" s="596"/>
    </row>
    <row r="100" spans="10:79" x14ac:dyDescent="0.25">
      <c r="J100" t="e">
        <f>DGET('Grid Numbers'!$A$2:$L$4952,'Grid Numbers'!$J$2,$B$78:$H$79)</f>
        <v>#VALUE!</v>
      </c>
      <c r="T100" t="e">
        <f>DGET('Grid Numbers'!$A$2:$L$4952,'Grid Numbers'!$J$2,$L$78:$R$79)</f>
        <v>#VALUE!</v>
      </c>
      <c r="AA100" s="593"/>
      <c r="AB100" s="593"/>
      <c r="BZ100" s="596"/>
      <c r="CA100" s="596"/>
    </row>
    <row r="101" spans="10:79" x14ac:dyDescent="0.25">
      <c r="J101" t="e">
        <f>DGET('Grid Numbers'!$A$2:$L$4952,'Grid Numbers'!$K$2,$B$78:$H$79)</f>
        <v>#VALUE!</v>
      </c>
      <c r="T101" t="e">
        <f>DGET('Grid Numbers'!$A$2:$L$4952,'Grid Numbers'!$K$2,$L$78:$R$79)</f>
        <v>#VALUE!</v>
      </c>
      <c r="AA101" s="593"/>
      <c r="AB101" s="593"/>
      <c r="BZ101" s="596"/>
      <c r="CA101" s="596"/>
    </row>
    <row r="102" spans="10:79" x14ac:dyDescent="0.25">
      <c r="J102" t="e">
        <f>DGET('Grid Numbers'!$A$2:$L$4952,'Grid Numbers'!$L$2,$B$78:$H$79)</f>
        <v>#VALUE!</v>
      </c>
      <c r="T102" t="e">
        <f>DGET('Grid Numbers'!$A$2:$L$4952,'Grid Numbers'!$L$2,$L$78:$R$79)</f>
        <v>#VALUE!</v>
      </c>
      <c r="AA102" s="593"/>
      <c r="AB102" s="593"/>
      <c r="BZ102" s="596"/>
      <c r="CA102" s="596"/>
    </row>
    <row r="103" spans="10:79" x14ac:dyDescent="0.25">
      <c r="J103" t="e">
        <f>DGET('Grid Numbers'!$A$2:$L$4952,'Grid Numbers'!$H$2,$B$80:$H$81)</f>
        <v>#VALUE!</v>
      </c>
      <c r="T103" t="e">
        <f>DGET('Grid Numbers'!$A$2:$L$4952,'Grid Numbers'!$H$2,$L$80:$R$81)</f>
        <v>#VALUE!</v>
      </c>
      <c r="AA103" s="593"/>
      <c r="AB103" s="593"/>
      <c r="BZ103" s="596"/>
      <c r="CA103" s="596"/>
    </row>
    <row r="104" spans="10:79" x14ac:dyDescent="0.25">
      <c r="J104" t="e">
        <f>DGET('Grid Numbers'!$A$2:$L$4952,'Grid Numbers'!$I$2,$B$80:$H$81)</f>
        <v>#VALUE!</v>
      </c>
      <c r="T104" t="e">
        <f>DGET('Grid Numbers'!$A$2:$L$4952,'Grid Numbers'!$I$2,$L$80:$R$81)</f>
        <v>#VALUE!</v>
      </c>
      <c r="AA104" s="593"/>
      <c r="AB104" s="593"/>
      <c r="BZ104" s="596"/>
      <c r="CA104" s="596"/>
    </row>
    <row r="105" spans="10:79" x14ac:dyDescent="0.25">
      <c r="J105" t="e">
        <f>DGET('Grid Numbers'!$A$2:$L$4952,'Grid Numbers'!$J$2,$B$80:$H$81)</f>
        <v>#VALUE!</v>
      </c>
      <c r="T105" t="e">
        <f>DGET('Grid Numbers'!$A$2:$L$4952,'Grid Numbers'!$J$2,$L$80:$R$81)</f>
        <v>#VALUE!</v>
      </c>
      <c r="AA105" s="593"/>
      <c r="AB105" s="593"/>
      <c r="BZ105" s="596"/>
      <c r="CA105" s="596"/>
    </row>
    <row r="106" spans="10:79" x14ac:dyDescent="0.25">
      <c r="J106" t="e">
        <f>DGET('Grid Numbers'!$A$2:$L$4952,'Grid Numbers'!$K$2,$B$80:$H$81)</f>
        <v>#VALUE!</v>
      </c>
      <c r="T106" t="e">
        <f>DGET('Grid Numbers'!$A$2:$L$4952,'Grid Numbers'!$K$2,$L$80:$R$81)</f>
        <v>#VALUE!</v>
      </c>
      <c r="AA106" s="593"/>
      <c r="AB106" s="593"/>
      <c r="BZ106" s="596"/>
      <c r="CA106" s="596"/>
    </row>
    <row r="107" spans="10:79" x14ac:dyDescent="0.25">
      <c r="J107" t="e">
        <f>DGET('Grid Numbers'!$A$2:$L$4952,'Grid Numbers'!$L$2,$B$80:$H$81)</f>
        <v>#VALUE!</v>
      </c>
      <c r="T107" t="e">
        <f>DGET('Grid Numbers'!$A$2:$L$4952,'Grid Numbers'!$L$2,$L$80:$R$81)</f>
        <v>#VALUE!</v>
      </c>
      <c r="AA107" s="593"/>
      <c r="AB107" s="593"/>
      <c r="BZ107" s="596"/>
      <c r="CA107" s="596"/>
    </row>
    <row r="108" spans="10:79" x14ac:dyDescent="0.25">
      <c r="AA108" s="593"/>
      <c r="AB108" s="593"/>
      <c r="BZ108" s="596"/>
      <c r="CA108" s="596"/>
    </row>
    <row r="109" spans="10:79" x14ac:dyDescent="0.25">
      <c r="AA109" s="593"/>
      <c r="AB109" s="593"/>
      <c r="BZ109" s="596"/>
      <c r="CA109" s="596"/>
    </row>
    <row r="110" spans="10:79" x14ac:dyDescent="0.25">
      <c r="AA110" s="593"/>
      <c r="AB110" s="593"/>
      <c r="BZ110" s="596"/>
      <c r="CA110" s="596"/>
    </row>
    <row r="111" spans="10:79" x14ac:dyDescent="0.25">
      <c r="AA111" s="593"/>
      <c r="AB111" s="593"/>
      <c r="BZ111" s="596"/>
      <c r="CA111" s="596"/>
    </row>
    <row r="112" spans="10:79" x14ac:dyDescent="0.25">
      <c r="AA112" s="593"/>
      <c r="AB112" s="593"/>
      <c r="BZ112" s="596"/>
      <c r="CA112" s="596"/>
    </row>
    <row r="113" spans="27:79" x14ac:dyDescent="0.25">
      <c r="AA113" s="593"/>
      <c r="AB113" s="593"/>
      <c r="BZ113" s="596"/>
      <c r="CA113" s="596"/>
    </row>
    <row r="114" spans="27:79" x14ac:dyDescent="0.25">
      <c r="AA114" s="593"/>
      <c r="AB114" s="593"/>
      <c r="BZ114" s="596"/>
      <c r="CA114" s="596"/>
    </row>
    <row r="115" spans="27:79" x14ac:dyDescent="0.25">
      <c r="AA115" s="593"/>
      <c r="AB115" s="593"/>
      <c r="BZ115" s="596"/>
      <c r="CA115" s="596"/>
    </row>
    <row r="116" spans="27:79" x14ac:dyDescent="0.25">
      <c r="AA116" s="593"/>
      <c r="AB116" s="593"/>
      <c r="BZ116" s="596"/>
      <c r="CA116" s="596"/>
    </row>
    <row r="117" spans="27:79" x14ac:dyDescent="0.25">
      <c r="AA117" s="593"/>
      <c r="AB117" s="593"/>
      <c r="BZ117" s="596"/>
      <c r="CA117" s="596"/>
    </row>
    <row r="118" spans="27:79" x14ac:dyDescent="0.25">
      <c r="AA118" s="593"/>
      <c r="AB118" s="593"/>
      <c r="BZ118" s="596"/>
      <c r="CA118" s="596"/>
    </row>
    <row r="119" spans="27:79" x14ac:dyDescent="0.25">
      <c r="AA119" s="593"/>
      <c r="AB119" s="593"/>
      <c r="BZ119" s="596"/>
      <c r="CA119" s="596"/>
    </row>
    <row r="120" spans="27:79" x14ac:dyDescent="0.25">
      <c r="AA120" s="593"/>
      <c r="AB120" s="593"/>
      <c r="BZ120" s="596"/>
      <c r="CA120" s="596"/>
    </row>
    <row r="121" spans="27:79" x14ac:dyDescent="0.25">
      <c r="AA121" s="593"/>
      <c r="AB121" s="593"/>
      <c r="BZ121" s="596"/>
      <c r="CA121" s="596"/>
    </row>
    <row r="122" spans="27:79" x14ac:dyDescent="0.25">
      <c r="AA122" s="593"/>
      <c r="AB122" s="593"/>
      <c r="BZ122" s="596"/>
      <c r="CA122" s="596"/>
    </row>
    <row r="123" spans="27:79" x14ac:dyDescent="0.25">
      <c r="AA123" s="593"/>
      <c r="AB123" s="593"/>
      <c r="BZ123" s="596"/>
      <c r="CA123" s="596"/>
    </row>
    <row r="124" spans="27:79" x14ac:dyDescent="0.25">
      <c r="AA124" s="593"/>
      <c r="AB124" s="593"/>
      <c r="BZ124" s="596"/>
      <c r="CA124" s="596"/>
    </row>
    <row r="125" spans="27:79" x14ac:dyDescent="0.25">
      <c r="AA125" s="593"/>
      <c r="AB125" s="593"/>
      <c r="BZ125" s="596"/>
      <c r="CA125" s="596"/>
    </row>
    <row r="126" spans="27:79" x14ac:dyDescent="0.25">
      <c r="AA126" s="593"/>
      <c r="AB126" s="593"/>
      <c r="BZ126" s="596"/>
      <c r="CA126" s="596"/>
    </row>
    <row r="127" spans="27:79" x14ac:dyDescent="0.25">
      <c r="AA127" s="593"/>
      <c r="AB127" s="593"/>
      <c r="BZ127" s="596"/>
      <c r="CA127" s="596"/>
    </row>
    <row r="128" spans="27:79" x14ac:dyDescent="0.25">
      <c r="AA128" s="593"/>
      <c r="AB128" s="593"/>
      <c r="BZ128" s="596"/>
      <c r="CA128" s="596"/>
    </row>
    <row r="129" spans="27:79" x14ac:dyDescent="0.25">
      <c r="AA129" s="593"/>
      <c r="AB129" s="593"/>
      <c r="BZ129" s="596"/>
      <c r="CA129" s="596"/>
    </row>
    <row r="130" spans="27:79" x14ac:dyDescent="0.25">
      <c r="AA130" s="593"/>
      <c r="AB130" s="593"/>
      <c r="BZ130" s="596"/>
      <c r="CA130" s="596"/>
    </row>
    <row r="131" spans="27:79" x14ac:dyDescent="0.25">
      <c r="AA131" s="593"/>
      <c r="AB131" s="593"/>
      <c r="BZ131" s="596"/>
      <c r="CA131" s="596"/>
    </row>
    <row r="132" spans="27:79" x14ac:dyDescent="0.25">
      <c r="AA132" s="593"/>
      <c r="AB132" s="593"/>
      <c r="BZ132" s="596"/>
      <c r="CA132" s="596"/>
    </row>
    <row r="133" spans="27:79" x14ac:dyDescent="0.25">
      <c r="AA133" s="593"/>
      <c r="AB133" s="593"/>
      <c r="BZ133" s="596"/>
      <c r="CA133" s="596"/>
    </row>
    <row r="134" spans="27:79" x14ac:dyDescent="0.25">
      <c r="AA134" s="593"/>
      <c r="AB134" s="593"/>
      <c r="BZ134" s="596"/>
      <c r="CA134" s="596"/>
    </row>
    <row r="135" spans="27:79" x14ac:dyDescent="0.25">
      <c r="AA135" s="593"/>
      <c r="AB135" s="593"/>
      <c r="BZ135" s="596"/>
      <c r="CA135" s="596"/>
    </row>
    <row r="136" spans="27:79" x14ac:dyDescent="0.25">
      <c r="AA136" s="593"/>
      <c r="AB136" s="593"/>
      <c r="BZ136" s="596"/>
      <c r="CA136" s="596"/>
    </row>
    <row r="137" spans="27:79" x14ac:dyDescent="0.25">
      <c r="AA137" s="593"/>
      <c r="AB137" s="593"/>
      <c r="BZ137" s="596"/>
      <c r="CA137" s="596"/>
    </row>
    <row r="138" spans="27:79" x14ac:dyDescent="0.25">
      <c r="AA138" s="593"/>
      <c r="AB138" s="593"/>
      <c r="BZ138" s="596"/>
      <c r="CA138" s="596"/>
    </row>
    <row r="139" spans="27:79" x14ac:dyDescent="0.25">
      <c r="AA139" s="593"/>
      <c r="AB139" s="593"/>
      <c r="BZ139" s="596"/>
      <c r="CA139" s="596"/>
    </row>
    <row r="140" spans="27:79" x14ac:dyDescent="0.25">
      <c r="AA140" s="593"/>
      <c r="AB140" s="593"/>
      <c r="BZ140" s="596"/>
      <c r="CA140" s="596"/>
    </row>
    <row r="141" spans="27:79" x14ac:dyDescent="0.25">
      <c r="AA141" s="593"/>
      <c r="AB141" s="593"/>
      <c r="BZ141" s="596"/>
      <c r="CA141" s="596"/>
    </row>
    <row r="142" spans="27:79" x14ac:dyDescent="0.25">
      <c r="AA142" s="593"/>
      <c r="AB142" s="593"/>
      <c r="BZ142" s="596"/>
      <c r="CA142" s="596"/>
    </row>
    <row r="143" spans="27:79" x14ac:dyDescent="0.25">
      <c r="AA143" s="593"/>
      <c r="AB143" s="593"/>
      <c r="BZ143" s="596"/>
      <c r="CA143" s="596"/>
    </row>
    <row r="144" spans="27:79" x14ac:dyDescent="0.25">
      <c r="AA144" s="593"/>
      <c r="AB144" s="593"/>
      <c r="BZ144" s="596"/>
      <c r="CA144" s="596"/>
    </row>
    <row r="145" spans="27:79" x14ac:dyDescent="0.25">
      <c r="AA145" s="593"/>
      <c r="AB145" s="593"/>
      <c r="BZ145" s="596"/>
      <c r="CA145" s="596"/>
    </row>
    <row r="146" spans="27:79" x14ac:dyDescent="0.25">
      <c r="AA146" s="593"/>
      <c r="AB146" s="593"/>
      <c r="BZ146" s="596"/>
      <c r="CA146" s="596"/>
    </row>
    <row r="147" spans="27:79" x14ac:dyDescent="0.25">
      <c r="AA147" s="593"/>
      <c r="AB147" s="593"/>
      <c r="BZ147" s="596"/>
      <c r="CA147" s="596"/>
    </row>
    <row r="148" spans="27:79" x14ac:dyDescent="0.25">
      <c r="AA148" s="593"/>
      <c r="AB148" s="593"/>
      <c r="BZ148" s="596"/>
      <c r="CA148" s="596"/>
    </row>
    <row r="149" spans="27:79" x14ac:dyDescent="0.25">
      <c r="AA149" s="593"/>
      <c r="AB149" s="593"/>
      <c r="BZ149" s="596"/>
      <c r="CA149" s="596"/>
    </row>
    <row r="150" spans="27:79" x14ac:dyDescent="0.25">
      <c r="AA150" s="593"/>
      <c r="AB150" s="593"/>
      <c r="BZ150" s="596"/>
      <c r="CA150" s="596"/>
    </row>
    <row r="151" spans="27:79" x14ac:dyDescent="0.25">
      <c r="AA151" s="593"/>
      <c r="AB151" s="593"/>
      <c r="BZ151" s="596"/>
      <c r="CA151" s="596"/>
    </row>
    <row r="152" spans="27:79" x14ac:dyDescent="0.25">
      <c r="AA152" s="593"/>
      <c r="AB152" s="593"/>
      <c r="BZ152" s="596"/>
      <c r="CA152" s="596"/>
    </row>
    <row r="153" spans="27:79" x14ac:dyDescent="0.25">
      <c r="AA153" s="593"/>
      <c r="AB153" s="593"/>
      <c r="BZ153" s="596"/>
      <c r="CA153" s="596"/>
    </row>
    <row r="154" spans="27:79" x14ac:dyDescent="0.25">
      <c r="AA154" s="593"/>
      <c r="AB154" s="593"/>
      <c r="BZ154" s="596"/>
      <c r="CA154" s="596"/>
    </row>
    <row r="155" spans="27:79" x14ac:dyDescent="0.25">
      <c r="BZ155" s="596"/>
      <c r="CA155" s="596"/>
    </row>
  </sheetData>
  <mergeCells count="124">
    <mergeCell ref="AE82:AF82"/>
    <mergeCell ref="AG82:AH82"/>
    <mergeCell ref="AI82:AJ82"/>
    <mergeCell ref="AK82:AL82"/>
    <mergeCell ref="AE71:AF71"/>
    <mergeCell ref="AK68:AL68"/>
    <mergeCell ref="AE69:AF69"/>
    <mergeCell ref="AG69:AH69"/>
    <mergeCell ref="AI69:AJ69"/>
    <mergeCell ref="AK69:AL69"/>
    <mergeCell ref="AG71:AH71"/>
    <mergeCell ref="AI71:AJ71"/>
    <mergeCell ref="AK71:AL71"/>
    <mergeCell ref="AE79:AF79"/>
    <mergeCell ref="AG79:AH79"/>
    <mergeCell ref="AI79:AJ79"/>
    <mergeCell ref="AK79:AL79"/>
    <mergeCell ref="AE80:AF80"/>
    <mergeCell ref="AG80:AH80"/>
    <mergeCell ref="AI80:AJ80"/>
    <mergeCell ref="AK80:AL80"/>
    <mergeCell ref="AK57:AL57"/>
    <mergeCell ref="AE58:AF58"/>
    <mergeCell ref="AG58:AH58"/>
    <mergeCell ref="AI58:AJ58"/>
    <mergeCell ref="AK58:AL58"/>
    <mergeCell ref="AE48:AF48"/>
    <mergeCell ref="AG48:AH48"/>
    <mergeCell ref="AI48:AJ48"/>
    <mergeCell ref="AE68:AF68"/>
    <mergeCell ref="AG68:AH68"/>
    <mergeCell ref="AI68:AJ68"/>
    <mergeCell ref="AE60:AF60"/>
    <mergeCell ref="AG60:AH60"/>
    <mergeCell ref="AI60:AJ60"/>
    <mergeCell ref="AK48:AL48"/>
    <mergeCell ref="AK50:AL50"/>
    <mergeCell ref="AK60:AL60"/>
    <mergeCell ref="B56:C56"/>
    <mergeCell ref="L56:M56"/>
    <mergeCell ref="V56:W56"/>
    <mergeCell ref="AE57:AF57"/>
    <mergeCell ref="AG57:AH57"/>
    <mergeCell ref="AI57:AJ57"/>
    <mergeCell ref="AE46:AF46"/>
    <mergeCell ref="AG46:AH46"/>
    <mergeCell ref="AI46:AJ46"/>
    <mergeCell ref="AE50:AF50"/>
    <mergeCell ref="AG50:AH50"/>
    <mergeCell ref="AI50:AJ50"/>
    <mergeCell ref="AK46:AL46"/>
    <mergeCell ref="AE47:AF47"/>
    <mergeCell ref="AG47:AH47"/>
    <mergeCell ref="AI47:AJ47"/>
    <mergeCell ref="AK47:AL47"/>
    <mergeCell ref="BT24:CA24"/>
    <mergeCell ref="AC30:AD30"/>
    <mergeCell ref="L38:M41"/>
    <mergeCell ref="AC36:AD36"/>
    <mergeCell ref="AK45:AL45"/>
    <mergeCell ref="G42:H42"/>
    <mergeCell ref="Q42:R42"/>
    <mergeCell ref="AC42:AD42"/>
    <mergeCell ref="AE45:AF45"/>
    <mergeCell ref="AG45:AH45"/>
    <mergeCell ref="AI45:AJ45"/>
    <mergeCell ref="BL20:BO20"/>
    <mergeCell ref="A39:B40"/>
    <mergeCell ref="W39:X40"/>
    <mergeCell ref="G26:H26"/>
    <mergeCell ref="Q26:R26"/>
    <mergeCell ref="AC24:AD24"/>
    <mergeCell ref="AV24:BC24"/>
    <mergeCell ref="BD24:BK24"/>
    <mergeCell ref="BL24:BS24"/>
    <mergeCell ref="BP20:BS20"/>
    <mergeCell ref="BT20:BW20"/>
    <mergeCell ref="BX20:CA20"/>
    <mergeCell ref="B23:C23"/>
    <mergeCell ref="L23:M23"/>
    <mergeCell ref="V23:W23"/>
    <mergeCell ref="AS18:AT18"/>
    <mergeCell ref="AV20:AY20"/>
    <mergeCell ref="AZ20:BC20"/>
    <mergeCell ref="BD20:BG20"/>
    <mergeCell ref="BH20:BK20"/>
    <mergeCell ref="BP17:BQ17"/>
    <mergeCell ref="BR17:BS17"/>
    <mergeCell ref="BT17:BU17"/>
    <mergeCell ref="BV17:BW17"/>
    <mergeCell ref="BX17:BY17"/>
    <mergeCell ref="BZ17:CA17"/>
    <mergeCell ref="AE18:AF18"/>
    <mergeCell ref="AG18:AH18"/>
    <mergeCell ref="AI18:AJ18"/>
    <mergeCell ref="AK18:AL18"/>
    <mergeCell ref="AM18:AN18"/>
    <mergeCell ref="AO18:AP18"/>
    <mergeCell ref="AQ18:AR18"/>
    <mergeCell ref="AX17:AY17"/>
    <mergeCell ref="AZ17:BA17"/>
    <mergeCell ref="BB17:BC17"/>
    <mergeCell ref="BD17:BE17"/>
    <mergeCell ref="BF17:BG17"/>
    <mergeCell ref="BH17:BI17"/>
    <mergeCell ref="BJ17:BK17"/>
    <mergeCell ref="BL17:BM17"/>
    <mergeCell ref="BN17:BO17"/>
    <mergeCell ref="B7:C7"/>
    <mergeCell ref="B8:C8"/>
    <mergeCell ref="B9:C9"/>
    <mergeCell ref="B10:C10"/>
    <mergeCell ref="AC17:AT17"/>
    <mergeCell ref="AV17:AW17"/>
    <mergeCell ref="C2:G2"/>
    <mergeCell ref="C3:G3"/>
    <mergeCell ref="E5:H5"/>
    <mergeCell ref="I5:L5"/>
    <mergeCell ref="T5:V5"/>
    <mergeCell ref="B6:C6"/>
    <mergeCell ref="E6:F6"/>
    <mergeCell ref="G6:H6"/>
    <mergeCell ref="I6:J6"/>
    <mergeCell ref="K6:L6"/>
  </mergeCells>
  <conditionalFormatting sqref="AE48:AF48">
    <cfRule type="cellIs" dxfId="568" priority="221" operator="between">
      <formula>1</formula>
      <formula>4</formula>
    </cfRule>
  </conditionalFormatting>
  <conditionalFormatting sqref="AG48:AH48">
    <cfRule type="cellIs" dxfId="567" priority="220" operator="between">
      <formula>1</formula>
      <formula>4</formula>
    </cfRule>
  </conditionalFormatting>
  <conditionalFormatting sqref="AI48:AJ48">
    <cfRule type="cellIs" dxfId="566" priority="219" operator="between">
      <formula>1</formula>
      <formula>4</formula>
    </cfRule>
  </conditionalFormatting>
  <conditionalFormatting sqref="AK48:AL48">
    <cfRule type="cellIs" dxfId="565" priority="218" operator="between">
      <formula>1</formula>
      <formula>4</formula>
    </cfRule>
  </conditionalFormatting>
  <conditionalFormatting sqref="AE52:AF52">
    <cfRule type="expression" dxfId="564" priority="217">
      <formula>$AE48=1</formula>
    </cfRule>
  </conditionalFormatting>
  <conditionalFormatting sqref="AG52:AH52">
    <cfRule type="expression" dxfId="563" priority="216">
      <formula>$AG48=1</formula>
    </cfRule>
  </conditionalFormatting>
  <conditionalFormatting sqref="AI52:AJ52">
    <cfRule type="expression" dxfId="562" priority="215">
      <formula>$AI48=1</formula>
    </cfRule>
  </conditionalFormatting>
  <conditionalFormatting sqref="AK52:AL52">
    <cfRule type="expression" dxfId="561" priority="214">
      <formula>$AK48=1</formula>
    </cfRule>
  </conditionalFormatting>
  <conditionalFormatting sqref="AE53:AF53">
    <cfRule type="expression" dxfId="560" priority="213">
      <formula>$AE48=2</formula>
    </cfRule>
  </conditionalFormatting>
  <conditionalFormatting sqref="AG53:AH53">
    <cfRule type="expression" dxfId="559" priority="212">
      <formula>$AG48=2</formula>
    </cfRule>
  </conditionalFormatting>
  <conditionalFormatting sqref="AI53:AJ53">
    <cfRule type="expression" dxfId="558" priority="211">
      <formula>$AI48=2</formula>
    </cfRule>
  </conditionalFormatting>
  <conditionalFormatting sqref="AK53:AL53">
    <cfRule type="expression" dxfId="557" priority="210">
      <formula>$AK48=2</formula>
    </cfRule>
  </conditionalFormatting>
  <conditionalFormatting sqref="AE54:AF54">
    <cfRule type="expression" dxfId="556" priority="209">
      <formula>$AE48=3</formula>
    </cfRule>
  </conditionalFormatting>
  <conditionalFormatting sqref="AG54:AH54">
    <cfRule type="expression" dxfId="555" priority="208">
      <formula>$AG48=3</formula>
    </cfRule>
  </conditionalFormatting>
  <conditionalFormatting sqref="AI54:AJ54">
    <cfRule type="expression" dxfId="554" priority="207">
      <formula>$AI48=3</formula>
    </cfRule>
  </conditionalFormatting>
  <conditionalFormatting sqref="AK54:AL54">
    <cfRule type="expression" dxfId="553" priority="206">
      <formula>$AK48=3</formula>
    </cfRule>
  </conditionalFormatting>
  <conditionalFormatting sqref="AE55:AF55">
    <cfRule type="expression" dxfId="552" priority="205">
      <formula>$AE48=4</formula>
    </cfRule>
  </conditionalFormatting>
  <conditionalFormatting sqref="AG55:AH55">
    <cfRule type="expression" dxfId="551" priority="204">
      <formula>$AG48=4</formula>
    </cfRule>
  </conditionalFormatting>
  <conditionalFormatting sqref="AI55:AJ55">
    <cfRule type="expression" dxfId="550" priority="203">
      <formula>$AI48=4</formula>
    </cfRule>
  </conditionalFormatting>
  <conditionalFormatting sqref="AK55:AL55">
    <cfRule type="expression" dxfId="549" priority="202">
      <formula>$AK48=4</formula>
    </cfRule>
  </conditionalFormatting>
  <conditionalFormatting sqref="AE65:AF65">
    <cfRule type="expression" dxfId="548" priority="201">
      <formula>$AE$58=4</formula>
    </cfRule>
  </conditionalFormatting>
  <conditionalFormatting sqref="AG65:AH65">
    <cfRule type="expression" dxfId="547" priority="200">
      <formula>$AG$58=4</formula>
    </cfRule>
  </conditionalFormatting>
  <conditionalFormatting sqref="AI65:AJ65">
    <cfRule type="expression" dxfId="546" priority="199">
      <formula>$AI$58=4</formula>
    </cfRule>
  </conditionalFormatting>
  <conditionalFormatting sqref="AK65:AL65">
    <cfRule type="expression" dxfId="545" priority="198">
      <formula>$AK$58=4</formula>
    </cfRule>
  </conditionalFormatting>
  <conditionalFormatting sqref="AE64:AF64">
    <cfRule type="expression" dxfId="544" priority="197">
      <formula>$AE$58=3</formula>
    </cfRule>
  </conditionalFormatting>
  <conditionalFormatting sqref="AG64:AH64">
    <cfRule type="expression" dxfId="543" priority="196">
      <formula>$AG$58=3</formula>
    </cfRule>
  </conditionalFormatting>
  <conditionalFormatting sqref="AI64:AJ64">
    <cfRule type="expression" dxfId="542" priority="195">
      <formula>$AI$58=3</formula>
    </cfRule>
  </conditionalFormatting>
  <conditionalFormatting sqref="AK64:AL64">
    <cfRule type="expression" dxfId="541" priority="194">
      <formula>$AK$58=3</formula>
    </cfRule>
  </conditionalFormatting>
  <conditionalFormatting sqref="AE63:AF63">
    <cfRule type="expression" dxfId="540" priority="193">
      <formula>$AE$58=2</formula>
    </cfRule>
  </conditionalFormatting>
  <conditionalFormatting sqref="AG63:AH63">
    <cfRule type="expression" dxfId="539" priority="192">
      <formula>$AG$58=2</formula>
    </cfRule>
  </conditionalFormatting>
  <conditionalFormatting sqref="AI63:AJ63">
    <cfRule type="expression" dxfId="538" priority="191">
      <formula>$AI$58=2</formula>
    </cfRule>
  </conditionalFormatting>
  <conditionalFormatting sqref="AK63:AL63">
    <cfRule type="expression" dxfId="537" priority="190">
      <formula>$AK$58=2</formula>
    </cfRule>
  </conditionalFormatting>
  <conditionalFormatting sqref="AE62:AF62">
    <cfRule type="expression" dxfId="536" priority="189">
      <formula>$AE$58=1</formula>
    </cfRule>
  </conditionalFormatting>
  <conditionalFormatting sqref="AG62:AH62">
    <cfRule type="expression" dxfId="535" priority="188">
      <formula>$AG$58=1</formula>
    </cfRule>
  </conditionalFormatting>
  <conditionalFormatting sqref="AI62:AJ62">
    <cfRule type="expression" dxfId="534" priority="187">
      <formula>$AI$58=1</formula>
    </cfRule>
  </conditionalFormatting>
  <conditionalFormatting sqref="AK62:AL62">
    <cfRule type="expression" dxfId="533" priority="186">
      <formula>$AK$58=1</formula>
    </cfRule>
  </conditionalFormatting>
  <conditionalFormatting sqref="AE74:AF74">
    <cfRule type="expression" dxfId="532" priority="185">
      <formula>$AE$69=2</formula>
    </cfRule>
  </conditionalFormatting>
  <conditionalFormatting sqref="AE73:AF73">
    <cfRule type="expression" dxfId="531" priority="184">
      <formula>$AE$69=1</formula>
    </cfRule>
  </conditionalFormatting>
  <conditionalFormatting sqref="AE75:AF75">
    <cfRule type="expression" dxfId="530" priority="183">
      <formula>$AE$69=3</formula>
    </cfRule>
  </conditionalFormatting>
  <conditionalFormatting sqref="AE76:AF76">
    <cfRule type="expression" dxfId="529" priority="182">
      <formula>$AE$69=4</formula>
    </cfRule>
  </conditionalFormatting>
  <conditionalFormatting sqref="AG74:AH74">
    <cfRule type="expression" dxfId="528" priority="181">
      <formula>$AG$69=2</formula>
    </cfRule>
  </conditionalFormatting>
  <conditionalFormatting sqref="AG73:AH73">
    <cfRule type="expression" dxfId="527" priority="180">
      <formula>$AG$69=1</formula>
    </cfRule>
  </conditionalFormatting>
  <conditionalFormatting sqref="AG75:AH75">
    <cfRule type="expression" dxfId="526" priority="179">
      <formula>$AG$69=3</formula>
    </cfRule>
  </conditionalFormatting>
  <conditionalFormatting sqref="AG76:AH76">
    <cfRule type="expression" dxfId="525" priority="178">
      <formula>$AG$69=4</formula>
    </cfRule>
  </conditionalFormatting>
  <conditionalFormatting sqref="AI74:AJ74">
    <cfRule type="expression" dxfId="524" priority="177">
      <formula>$AI$69=2</formula>
    </cfRule>
  </conditionalFormatting>
  <conditionalFormatting sqref="AI73:AJ73">
    <cfRule type="expression" dxfId="523" priority="176">
      <formula>$AI$69=1</formula>
    </cfRule>
  </conditionalFormatting>
  <conditionalFormatting sqref="AI75:AJ75">
    <cfRule type="expression" dxfId="522" priority="175">
      <formula>$AI$69=3</formula>
    </cfRule>
  </conditionalFormatting>
  <conditionalFormatting sqref="AI76:AJ76">
    <cfRule type="expression" dxfId="521" priority="174">
      <formula>$AI$69=4</formula>
    </cfRule>
  </conditionalFormatting>
  <conditionalFormatting sqref="AK74:AL74">
    <cfRule type="expression" dxfId="520" priority="173">
      <formula>$AK$69=2</formula>
    </cfRule>
  </conditionalFormatting>
  <conditionalFormatting sqref="AK73:AL73">
    <cfRule type="expression" dxfId="519" priority="172">
      <formula>$AK$69=1</formula>
    </cfRule>
  </conditionalFormatting>
  <conditionalFormatting sqref="AK75:AL75">
    <cfRule type="expression" dxfId="518" priority="171">
      <formula>$AK$69=3</formula>
    </cfRule>
  </conditionalFormatting>
  <conditionalFormatting sqref="AK76:AL76">
    <cfRule type="expression" dxfId="517" priority="170">
      <formula>$AK$69=4</formula>
    </cfRule>
  </conditionalFormatting>
  <conditionalFormatting sqref="AE87:AF87">
    <cfRule type="expression" dxfId="516" priority="169">
      <formula>$AE$80=4</formula>
    </cfRule>
  </conditionalFormatting>
  <conditionalFormatting sqref="AG87:AH87">
    <cfRule type="expression" dxfId="515" priority="168">
      <formula>$AG$80=4</formula>
    </cfRule>
  </conditionalFormatting>
  <conditionalFormatting sqref="AI87:AJ87">
    <cfRule type="expression" dxfId="514" priority="167">
      <formula>$AI$80=4</formula>
    </cfRule>
  </conditionalFormatting>
  <conditionalFormatting sqref="AK87:AL87">
    <cfRule type="expression" dxfId="513" priority="166">
      <formula>$AK$80=4</formula>
    </cfRule>
  </conditionalFormatting>
  <conditionalFormatting sqref="AE86:AF86">
    <cfRule type="expression" dxfId="512" priority="165">
      <formula>$AE$80=3</formula>
    </cfRule>
  </conditionalFormatting>
  <conditionalFormatting sqref="AG86:AH86">
    <cfRule type="expression" dxfId="511" priority="164">
      <formula>$AG$80=3</formula>
    </cfRule>
  </conditionalFormatting>
  <conditionalFormatting sqref="AI86:AJ86">
    <cfRule type="expression" dxfId="510" priority="163">
      <formula>$AI$80=3</formula>
    </cfRule>
  </conditionalFormatting>
  <conditionalFormatting sqref="AK86:AL86">
    <cfRule type="expression" dxfId="509" priority="162">
      <formula>$AK$80=3</formula>
    </cfRule>
  </conditionalFormatting>
  <conditionalFormatting sqref="AE85:AF85">
    <cfRule type="expression" dxfId="508" priority="161">
      <formula>$AE$80=2</formula>
    </cfRule>
  </conditionalFormatting>
  <conditionalFormatting sqref="AG85:AH85">
    <cfRule type="expression" dxfId="507" priority="160">
      <formula>$AG$80=2</formula>
    </cfRule>
  </conditionalFormatting>
  <conditionalFormatting sqref="AI85:AJ85">
    <cfRule type="expression" dxfId="506" priority="159">
      <formula>$AI$80=2</formula>
    </cfRule>
  </conditionalFormatting>
  <conditionalFormatting sqref="AK85:AL85">
    <cfRule type="expression" dxfId="505" priority="158">
      <formula>$AK$80=2</formula>
    </cfRule>
  </conditionalFormatting>
  <conditionalFormatting sqref="AE84:AF84">
    <cfRule type="expression" dxfId="504" priority="157">
      <formula>$AE$80=1</formula>
    </cfRule>
  </conditionalFormatting>
  <conditionalFormatting sqref="AG84:AH84">
    <cfRule type="expression" dxfId="503" priority="156">
      <formula>$AG$80=1</formula>
    </cfRule>
  </conditionalFormatting>
  <conditionalFormatting sqref="AI84:AJ84">
    <cfRule type="expression" dxfId="502" priority="155">
      <formula>$AI$80=1</formula>
    </cfRule>
  </conditionalFormatting>
  <conditionalFormatting sqref="AK84:AL84">
    <cfRule type="expression" dxfId="501" priority="154">
      <formula>$AK$80=1</formula>
    </cfRule>
  </conditionalFormatting>
  <conditionalFormatting sqref="AI58:AJ58">
    <cfRule type="cellIs" dxfId="500" priority="153" operator="between">
      <formula>1</formula>
      <formula>4</formula>
    </cfRule>
  </conditionalFormatting>
  <conditionalFormatting sqref="AE58:AH58">
    <cfRule type="cellIs" dxfId="499" priority="152" operator="between">
      <formula>1</formula>
      <formula>4</formula>
    </cfRule>
  </conditionalFormatting>
  <conditionalFormatting sqref="AK58:AL58">
    <cfRule type="cellIs" dxfId="498" priority="151" operator="between">
      <formula>1</formula>
      <formula>4</formula>
    </cfRule>
  </conditionalFormatting>
  <conditionalFormatting sqref="AI69:AJ69">
    <cfRule type="cellIs" dxfId="497" priority="150" operator="between">
      <formula>1</formula>
      <formula>4</formula>
    </cfRule>
  </conditionalFormatting>
  <conditionalFormatting sqref="AE69:AH69">
    <cfRule type="cellIs" dxfId="496" priority="149" operator="between">
      <formula>1</formula>
      <formula>4</formula>
    </cfRule>
  </conditionalFormatting>
  <conditionalFormatting sqref="AK69:AL69">
    <cfRule type="cellIs" dxfId="495" priority="148" operator="between">
      <formula>1</formula>
      <formula>4</formula>
    </cfRule>
  </conditionalFormatting>
  <conditionalFormatting sqref="AI80:AJ80">
    <cfRule type="cellIs" dxfId="494" priority="147" operator="between">
      <formula>1</formula>
      <formula>4</formula>
    </cfRule>
  </conditionalFormatting>
  <conditionalFormatting sqref="AE80:AH80">
    <cfRule type="cellIs" dxfId="493" priority="146" operator="between">
      <formula>1</formula>
      <formula>4</formula>
    </cfRule>
  </conditionalFormatting>
  <conditionalFormatting sqref="AK80:AL80">
    <cfRule type="cellIs" dxfId="492" priority="145" operator="between">
      <formula>1</formula>
      <formula>4</formula>
    </cfRule>
  </conditionalFormatting>
  <conditionalFormatting sqref="AN65:AO65">
    <cfRule type="expression" dxfId="491" priority="96">
      <formula>$AE$58=4</formula>
    </cfRule>
  </conditionalFormatting>
  <conditionalFormatting sqref="AP65:AQ65">
    <cfRule type="expression" dxfId="490" priority="95">
      <formula>$AG$58=4</formula>
    </cfRule>
  </conditionalFormatting>
  <conditionalFormatting sqref="AR65:AS65">
    <cfRule type="expression" dxfId="489" priority="94">
      <formula>$AI$58=4</formula>
    </cfRule>
  </conditionalFormatting>
  <conditionalFormatting sqref="AT65:AU65">
    <cfRule type="expression" dxfId="488" priority="93">
      <formula>$AK$58=4</formula>
    </cfRule>
  </conditionalFormatting>
  <conditionalFormatting sqref="AN64:AO64">
    <cfRule type="expression" dxfId="487" priority="92">
      <formula>$AE$58=3</formula>
    </cfRule>
  </conditionalFormatting>
  <conditionalFormatting sqref="AP64:AQ64">
    <cfRule type="expression" dxfId="486" priority="91">
      <formula>$AG$58=3</formula>
    </cfRule>
  </conditionalFormatting>
  <conditionalFormatting sqref="AR64:AS64">
    <cfRule type="expression" dxfId="485" priority="90">
      <formula>$AI$58=3</formula>
    </cfRule>
  </conditionalFormatting>
  <conditionalFormatting sqref="AT64:AU64">
    <cfRule type="expression" dxfId="484" priority="89">
      <formula>$AK$58=3</formula>
    </cfRule>
  </conditionalFormatting>
  <conditionalFormatting sqref="AN63:AO63">
    <cfRule type="expression" dxfId="483" priority="88">
      <formula>$AE$58=2</formula>
    </cfRule>
  </conditionalFormatting>
  <conditionalFormatting sqref="AP63:AQ63">
    <cfRule type="expression" dxfId="482" priority="87">
      <formula>$AG$58=2</formula>
    </cfRule>
  </conditionalFormatting>
  <conditionalFormatting sqref="AR63:AS63">
    <cfRule type="expression" dxfId="481" priority="86">
      <formula>$AI$58=2</formula>
    </cfRule>
  </conditionalFormatting>
  <conditionalFormatting sqref="AT63:AU63">
    <cfRule type="expression" dxfId="480" priority="85">
      <formula>$AK$58=2</formula>
    </cfRule>
  </conditionalFormatting>
  <conditionalFormatting sqref="AN62:AO62">
    <cfRule type="expression" dxfId="479" priority="84">
      <formula>$AE$58=1</formula>
    </cfRule>
  </conditionalFormatting>
  <conditionalFormatting sqref="AP62:AQ62">
    <cfRule type="expression" dxfId="478" priority="83">
      <formula>$AG$58=1</formula>
    </cfRule>
  </conditionalFormatting>
  <conditionalFormatting sqref="AR62:AS62">
    <cfRule type="expression" dxfId="477" priority="82">
      <formula>$AI$58=1</formula>
    </cfRule>
  </conditionalFormatting>
  <conditionalFormatting sqref="AT62:AU62">
    <cfRule type="expression" dxfId="476" priority="81">
      <formula>$AK$58=1</formula>
    </cfRule>
  </conditionalFormatting>
  <conditionalFormatting sqref="AN74:AO74">
    <cfRule type="expression" dxfId="475" priority="80">
      <formula>$AE$69=2</formula>
    </cfRule>
  </conditionalFormatting>
  <conditionalFormatting sqref="AN73:AO73">
    <cfRule type="expression" dxfId="474" priority="79">
      <formula>$AE$69=1</formula>
    </cfRule>
  </conditionalFormatting>
  <conditionalFormatting sqref="AN75:AO75">
    <cfRule type="expression" dxfId="473" priority="78">
      <formula>$AE$69=3</formula>
    </cfRule>
  </conditionalFormatting>
  <conditionalFormatting sqref="AN76:AO76">
    <cfRule type="expression" dxfId="472" priority="77">
      <formula>$AE$69=4</formula>
    </cfRule>
  </conditionalFormatting>
  <conditionalFormatting sqref="AP74:AQ74">
    <cfRule type="expression" dxfId="471" priority="76">
      <formula>$AG$69=2</formula>
    </cfRule>
  </conditionalFormatting>
  <conditionalFormatting sqref="AP73:AQ73">
    <cfRule type="expression" dxfId="470" priority="75">
      <formula>$AG$69=1</formula>
    </cfRule>
  </conditionalFormatting>
  <conditionalFormatting sqref="AP75:AQ75">
    <cfRule type="expression" dxfId="469" priority="74">
      <formula>$AG$69=3</formula>
    </cfRule>
  </conditionalFormatting>
  <conditionalFormatting sqref="AP76:AQ76">
    <cfRule type="expression" dxfId="468" priority="73">
      <formula>$AG$69=4</formula>
    </cfRule>
  </conditionalFormatting>
  <conditionalFormatting sqref="AR74:AS74">
    <cfRule type="expression" dxfId="467" priority="72">
      <formula>$AI$69=2</formula>
    </cfRule>
  </conditionalFormatting>
  <conditionalFormatting sqref="AR73:AS73">
    <cfRule type="expression" dxfId="466" priority="71">
      <formula>$AI$69=1</formula>
    </cfRule>
  </conditionalFormatting>
  <conditionalFormatting sqref="AR75:AS75">
    <cfRule type="expression" dxfId="465" priority="70">
      <formula>$AI$69=3</formula>
    </cfRule>
  </conditionalFormatting>
  <conditionalFormatting sqref="AR76:AS76">
    <cfRule type="expression" dxfId="464" priority="69">
      <formula>$AI$69=4</formula>
    </cfRule>
  </conditionalFormatting>
  <conditionalFormatting sqref="AT74:AU74">
    <cfRule type="expression" dxfId="463" priority="68">
      <formula>$AK$69=2</formula>
    </cfRule>
  </conditionalFormatting>
  <conditionalFormatting sqref="AT73:AU73">
    <cfRule type="expression" dxfId="462" priority="67">
      <formula>$AK$69=1</formula>
    </cfRule>
  </conditionalFormatting>
  <conditionalFormatting sqref="AT75:AU75">
    <cfRule type="expression" dxfId="461" priority="66">
      <formula>$AK$69=3</formula>
    </cfRule>
  </conditionalFormatting>
  <conditionalFormatting sqref="AT76:AU76">
    <cfRule type="expression" dxfId="460" priority="65">
      <formula>$AK$69=4</formula>
    </cfRule>
  </conditionalFormatting>
  <conditionalFormatting sqref="AN85:AO85">
    <cfRule type="expression" dxfId="459" priority="64">
      <formula>$AE$80=2</formula>
    </cfRule>
  </conditionalFormatting>
  <conditionalFormatting sqref="AN84:AO84">
    <cfRule type="expression" dxfId="458" priority="63">
      <formula>$AE$80=1</formula>
    </cfRule>
  </conditionalFormatting>
  <conditionalFormatting sqref="AN86:AO86">
    <cfRule type="expression" dxfId="457" priority="62">
      <formula>$AE$80=3</formula>
    </cfRule>
  </conditionalFormatting>
  <conditionalFormatting sqref="AN87:AO87">
    <cfRule type="expression" dxfId="456" priority="61">
      <formula>$AE$80=4</formula>
    </cfRule>
  </conditionalFormatting>
  <conditionalFormatting sqref="AP85:AQ85">
    <cfRule type="expression" dxfId="455" priority="60">
      <formula>$AG$80=2</formula>
    </cfRule>
  </conditionalFormatting>
  <conditionalFormatting sqref="AP84:AQ84">
    <cfRule type="expression" dxfId="454" priority="59">
      <formula>$AG$80=1</formula>
    </cfRule>
  </conditionalFormatting>
  <conditionalFormatting sqref="AP86:AQ86">
    <cfRule type="expression" dxfId="453" priority="58">
      <formula>$AG$80=3</formula>
    </cfRule>
  </conditionalFormatting>
  <conditionalFormatting sqref="AP87:AQ87">
    <cfRule type="expression" dxfId="452" priority="57">
      <formula>$AG$80=4</formula>
    </cfRule>
  </conditionalFormatting>
  <conditionalFormatting sqref="AR85:AS85">
    <cfRule type="expression" dxfId="451" priority="56">
      <formula>$AI$80=2</formula>
    </cfRule>
  </conditionalFormatting>
  <conditionalFormatting sqref="AR84:AS84">
    <cfRule type="expression" dxfId="450" priority="55">
      <formula>$AI$80=1</formula>
    </cfRule>
  </conditionalFormatting>
  <conditionalFormatting sqref="AR86:AS86">
    <cfRule type="expression" dxfId="449" priority="54">
      <formula>$AI$80=3</formula>
    </cfRule>
  </conditionalFormatting>
  <conditionalFormatting sqref="AR87:AS87">
    <cfRule type="expression" dxfId="448" priority="53">
      <formula>$AI$80=4</formula>
    </cfRule>
  </conditionalFormatting>
  <conditionalFormatting sqref="AT85:AU85">
    <cfRule type="expression" dxfId="447" priority="52">
      <formula>$AK$80=2</formula>
    </cfRule>
  </conditionalFormatting>
  <conditionalFormatting sqref="AT84:AU84">
    <cfRule type="expression" dxfId="446" priority="51">
      <formula>$AK$80=1</formula>
    </cfRule>
  </conditionalFormatting>
  <conditionalFormatting sqref="AT86:AU86">
    <cfRule type="expression" dxfId="445" priority="50">
      <formula>$AK$80=3</formula>
    </cfRule>
  </conditionalFormatting>
  <conditionalFormatting sqref="AT87:AU87">
    <cfRule type="expression" dxfId="444" priority="49">
      <formula>$AK$80=4</formula>
    </cfRule>
  </conditionalFormatting>
  <conditionalFormatting sqref="L38:M41">
    <cfRule type="expression" dxfId="443" priority="47">
      <formula>$CD$20&gt;3</formula>
    </cfRule>
    <cfRule type="expression" dxfId="442" priority="48">
      <formula>$CD$20&lt;0.1</formula>
    </cfRule>
  </conditionalFormatting>
  <conditionalFormatting sqref="B67:H67">
    <cfRule type="expression" dxfId="441" priority="46">
      <formula>" =MOD(ROW(),8)=0"</formula>
    </cfRule>
  </conditionalFormatting>
  <conditionalFormatting sqref="B69:C69 E69 G69">
    <cfRule type="expression" dxfId="440" priority="45">
      <formula>" =MOD(ROW(),8)=0"</formula>
    </cfRule>
  </conditionalFormatting>
  <conditionalFormatting sqref="B71:C71 E71 G71">
    <cfRule type="expression" dxfId="439" priority="44">
      <formula>" =MOD(ROW(),8)=0"</formula>
    </cfRule>
  </conditionalFormatting>
  <conditionalFormatting sqref="B73:C73 E73 G73">
    <cfRule type="expression" dxfId="438" priority="43">
      <formula>" =MOD(ROW(),8)=0"</formula>
    </cfRule>
  </conditionalFormatting>
  <conditionalFormatting sqref="L67:M67 O67 Q67:R67">
    <cfRule type="expression" dxfId="437" priority="42">
      <formula>" =MOD(ROW(),8)=0"</formula>
    </cfRule>
  </conditionalFormatting>
  <conditionalFormatting sqref="L69:M69 O69 Q69:R69">
    <cfRule type="expression" dxfId="436" priority="41">
      <formula>" =MOD(ROW(),8)=0"</formula>
    </cfRule>
  </conditionalFormatting>
  <conditionalFormatting sqref="L71:M71 O71 Q71:R71">
    <cfRule type="expression" dxfId="435" priority="40">
      <formula>" =MOD(ROW(),8)=0"</formula>
    </cfRule>
  </conditionalFormatting>
  <conditionalFormatting sqref="L73:M73 O73 Q73:R73">
    <cfRule type="expression" dxfId="434" priority="39">
      <formula>" =MOD(ROW(),8)=0"</formula>
    </cfRule>
  </conditionalFormatting>
  <conditionalFormatting sqref="B75:C75 E75 G75:H75">
    <cfRule type="expression" dxfId="433" priority="38">
      <formula>" =MOD(ROW(),8)=0"</formula>
    </cfRule>
  </conditionalFormatting>
  <conditionalFormatting sqref="B77:C77 E77 G77">
    <cfRule type="expression" dxfId="432" priority="37">
      <formula>" =MOD(ROW(),8)=0"</formula>
    </cfRule>
  </conditionalFormatting>
  <conditionalFormatting sqref="B79:C79 E79 G79">
    <cfRule type="expression" dxfId="431" priority="36">
      <formula>" =MOD(ROW(),8)=0"</formula>
    </cfRule>
  </conditionalFormatting>
  <conditionalFormatting sqref="B81:C81 E81 G81">
    <cfRule type="expression" dxfId="430" priority="35">
      <formula>" =MOD(ROW(),8)=0"</formula>
    </cfRule>
  </conditionalFormatting>
  <conditionalFormatting sqref="L75:M75 O75 Q75:R75">
    <cfRule type="expression" dxfId="429" priority="34">
      <formula>" =MOD(ROW(),8)=0"</formula>
    </cfRule>
  </conditionalFormatting>
  <conditionalFormatting sqref="L77:M77 O77 Q77:R77">
    <cfRule type="expression" dxfId="428" priority="33">
      <formula>" =MOD(ROW(),8)=0"</formula>
    </cfRule>
  </conditionalFormatting>
  <conditionalFormatting sqref="L79:M79 O79 Q79:R79">
    <cfRule type="expression" dxfId="427" priority="32">
      <formula>" =MOD(ROW(),8)=0"</formula>
    </cfRule>
  </conditionalFormatting>
  <conditionalFormatting sqref="L81:M81 O81 Q81:R81">
    <cfRule type="expression" dxfId="426" priority="31">
      <formula>" =MOD(ROW(),8)=0"</formula>
    </cfRule>
  </conditionalFormatting>
  <conditionalFormatting sqref="D69">
    <cfRule type="expression" dxfId="425" priority="30">
      <formula>" =MOD(ROW(),8)=0"</formula>
    </cfRule>
  </conditionalFormatting>
  <conditionalFormatting sqref="D71">
    <cfRule type="expression" dxfId="424" priority="29">
      <formula>" =MOD(ROW(),8)=0"</formula>
    </cfRule>
  </conditionalFormatting>
  <conditionalFormatting sqref="D73">
    <cfRule type="expression" dxfId="423" priority="28">
      <formula>" =MOD(ROW(),8)=0"</formula>
    </cfRule>
  </conditionalFormatting>
  <conditionalFormatting sqref="D75">
    <cfRule type="expression" dxfId="422" priority="27">
      <formula>" =MOD(ROW(),8)=0"</formula>
    </cfRule>
  </conditionalFormatting>
  <conditionalFormatting sqref="D77">
    <cfRule type="expression" dxfId="421" priority="26">
      <formula>" =MOD(ROW(),8)=0"</formula>
    </cfRule>
  </conditionalFormatting>
  <conditionalFormatting sqref="D79">
    <cfRule type="expression" dxfId="420" priority="25">
      <formula>" =MOD(ROW(),8)=0"</formula>
    </cfRule>
  </conditionalFormatting>
  <conditionalFormatting sqref="D81">
    <cfRule type="expression" dxfId="419" priority="24">
      <formula>" =MOD(ROW(),8)=0"</formula>
    </cfRule>
  </conditionalFormatting>
  <conditionalFormatting sqref="N67">
    <cfRule type="expression" dxfId="418" priority="23">
      <formula>" =MOD(ROW(),8)=0"</formula>
    </cfRule>
  </conditionalFormatting>
  <conditionalFormatting sqref="N69">
    <cfRule type="expression" dxfId="417" priority="22">
      <formula>" =MOD(ROW(),8)=0"</formula>
    </cfRule>
  </conditionalFormatting>
  <conditionalFormatting sqref="N71">
    <cfRule type="expression" dxfId="416" priority="21">
      <formula>" =MOD(ROW(),8)=0"</formula>
    </cfRule>
  </conditionalFormatting>
  <conditionalFormatting sqref="N73">
    <cfRule type="expression" dxfId="415" priority="20">
      <formula>" =MOD(ROW(),8)=0"</formula>
    </cfRule>
  </conditionalFormatting>
  <conditionalFormatting sqref="N75">
    <cfRule type="expression" dxfId="414" priority="19">
      <formula>" =MOD(ROW(),8)=0"</formula>
    </cfRule>
  </conditionalFormatting>
  <conditionalFormatting sqref="N77">
    <cfRule type="expression" dxfId="413" priority="18">
      <formula>" =MOD(ROW(),8)=0"</formula>
    </cfRule>
  </conditionalFormatting>
  <conditionalFormatting sqref="N79">
    <cfRule type="expression" dxfId="412" priority="17">
      <formula>" =MOD(ROW(),8)=0"</formula>
    </cfRule>
  </conditionalFormatting>
  <conditionalFormatting sqref="N81">
    <cfRule type="expression" dxfId="411" priority="16">
      <formula>" =MOD(ROW(),8)=0"</formula>
    </cfRule>
  </conditionalFormatting>
  <conditionalFormatting sqref="F69">
    <cfRule type="expression" dxfId="410" priority="15">
      <formula>" =MOD(ROW(),8)=0"</formula>
    </cfRule>
  </conditionalFormatting>
  <conditionalFormatting sqref="F71">
    <cfRule type="expression" dxfId="409" priority="14">
      <formula>" =MOD(ROW(),8)=0"</formula>
    </cfRule>
  </conditionalFormatting>
  <conditionalFormatting sqref="F73">
    <cfRule type="expression" dxfId="408" priority="13">
      <formula>" =MOD(ROW(),8)=0"</formula>
    </cfRule>
  </conditionalFormatting>
  <conditionalFormatting sqref="F75">
    <cfRule type="expression" dxfId="407" priority="12">
      <formula>" =MOD(ROW(),8)=0"</formula>
    </cfRule>
  </conditionalFormatting>
  <conditionalFormatting sqref="F77">
    <cfRule type="expression" dxfId="406" priority="11">
      <formula>" =MOD(ROW(),8)=0"</formula>
    </cfRule>
  </conditionalFormatting>
  <conditionalFormatting sqref="F79">
    <cfRule type="expression" dxfId="405" priority="10">
      <formula>" =MOD(ROW(),8)=0"</formula>
    </cfRule>
  </conditionalFormatting>
  <conditionalFormatting sqref="F81">
    <cfRule type="expression" dxfId="404" priority="9">
      <formula>" =MOD(ROW(),8)=0"</formula>
    </cfRule>
  </conditionalFormatting>
  <conditionalFormatting sqref="P67">
    <cfRule type="expression" dxfId="403" priority="8">
      <formula>" =MOD(ROW(),8)=0"</formula>
    </cfRule>
  </conditionalFormatting>
  <conditionalFormatting sqref="P69">
    <cfRule type="expression" dxfId="402" priority="7">
      <formula>" =MOD(ROW(),8)=0"</formula>
    </cfRule>
  </conditionalFormatting>
  <conditionalFormatting sqref="P71">
    <cfRule type="expression" dxfId="401" priority="6">
      <formula>" =MOD(ROW(),8)=0"</formula>
    </cfRule>
  </conditionalFormatting>
  <conditionalFormatting sqref="P73">
    <cfRule type="expression" dxfId="400" priority="5">
      <formula>" =MOD(ROW(),8)=0"</formula>
    </cfRule>
  </conditionalFormatting>
  <conditionalFormatting sqref="P75">
    <cfRule type="expression" dxfId="399" priority="4">
      <formula>" =MOD(ROW(),8)=0"</formula>
    </cfRule>
  </conditionalFormatting>
  <conditionalFormatting sqref="P77">
    <cfRule type="expression" dxfId="398" priority="3">
      <formula>" =MOD(ROW(),8)=0"</formula>
    </cfRule>
  </conditionalFormatting>
  <conditionalFormatting sqref="P79">
    <cfRule type="expression" dxfId="397" priority="2">
      <formula>" =MOD(ROW(),8)=0"</formula>
    </cfRule>
  </conditionalFormatting>
  <conditionalFormatting sqref="P81">
    <cfRule type="expression" dxfId="396" priority="1">
      <formula>" =MOD(ROW(),8)=0"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Casing Review</vt:lpstr>
      <vt:lpstr>Formations</vt:lpstr>
      <vt:lpstr>DxSurvey</vt:lpstr>
      <vt:lpstr>Vertical WBD</vt:lpstr>
      <vt:lpstr>DataPrint</vt:lpstr>
      <vt:lpstr>BOPE</vt:lpstr>
      <vt:lpstr>Casing Strengths</vt:lpstr>
      <vt:lpstr>SHL Section</vt:lpstr>
      <vt:lpstr>BHL Section 1</vt:lpstr>
      <vt:lpstr>BHL Section 2</vt:lpstr>
      <vt:lpstr>BHL Section 3</vt:lpstr>
      <vt:lpstr>Rev Hist</vt:lpstr>
      <vt:lpstr>Grid Numbers</vt:lpstr>
      <vt:lpstr>DisplayPlat</vt:lpstr>
      <vt:lpstr>Sheet1</vt:lpstr>
      <vt:lpstr>Sheet3</vt:lpstr>
      <vt:lpstr>Casing_Collar</vt:lpstr>
      <vt:lpstr>Casing_Grade</vt:lpstr>
      <vt:lpstr>Casing_Joint</vt:lpstr>
      <vt:lpstr>'BHL Section 1'!Print_Area</vt:lpstr>
      <vt:lpstr>'BHL Section 2'!Print_Area</vt:lpstr>
      <vt:lpstr>'BHL Section 3'!Print_Area</vt:lpstr>
      <vt:lpstr>'Casing Review'!Print_Area</vt:lpstr>
      <vt:lpstr>DataPrint!Print_Area</vt:lpstr>
      <vt:lpstr>DxSurvey!Print_Area</vt:lpstr>
      <vt:lpstr>'SHL Section'!Print_Area</vt:lpstr>
      <vt:lpstr>'Vertical WBD'!Print_Area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Doucet;daynedoucet@utah.gov</dc:creator>
  <cp:lastModifiedBy>Colton Goodrich</cp:lastModifiedBy>
  <cp:lastPrinted>2021-07-26T17:59:12Z</cp:lastPrinted>
  <dcterms:created xsi:type="dcterms:W3CDTF">2012-09-18T23:58:54Z</dcterms:created>
  <dcterms:modified xsi:type="dcterms:W3CDTF">2021-09-20T16:30:15Z</dcterms:modified>
</cp:coreProperties>
</file>