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j\Desktop\Universidad\Octavo semestre\Diseño de aeronaves I\"/>
    </mc:Choice>
  </mc:AlternateContent>
  <xr:revisionPtr revIDLastSave="0" documentId="8_{0ACBE11F-6CA8-4076-97F9-AC216E28226E}" xr6:coauthVersionLast="47" xr6:coauthVersionMax="47" xr10:uidLastSave="{00000000-0000-0000-0000-000000000000}"/>
  <bookViews>
    <workbookView xWindow="-108" yWindow="-108" windowWidth="23256" windowHeight="12456" activeTab="1" xr2:uid="{1421783A-C318-4838-B6D9-CFC62F2C68E7}"/>
  </bookViews>
  <sheets>
    <sheet name="Twin engine" sheetId="1" r:id="rId1"/>
    <sheet name="Jet Figh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7" i="2" l="1"/>
  <c r="F176" i="2"/>
  <c r="E176" i="2"/>
  <c r="D176" i="2"/>
  <c r="G175" i="2"/>
  <c r="F175" i="2"/>
  <c r="E175" i="2"/>
  <c r="D175" i="2"/>
  <c r="C175" i="2"/>
  <c r="F174" i="2"/>
  <c r="E174" i="2"/>
  <c r="D174" i="2"/>
  <c r="C174" i="2"/>
  <c r="G173" i="2"/>
  <c r="F173" i="2"/>
  <c r="E173" i="2"/>
  <c r="D173" i="2"/>
  <c r="C173" i="2"/>
  <c r="G156" i="2"/>
  <c r="F156" i="2"/>
  <c r="E156" i="2"/>
  <c r="D156" i="2"/>
  <c r="C156" i="2"/>
  <c r="F155" i="2"/>
  <c r="E155" i="2"/>
  <c r="D155" i="2"/>
  <c r="C155" i="2"/>
  <c r="G154" i="2"/>
  <c r="F154" i="2"/>
  <c r="E154" i="2"/>
  <c r="D154" i="2"/>
  <c r="C154" i="2"/>
  <c r="C122" i="2"/>
  <c r="C120" i="2"/>
  <c r="C119" i="2"/>
  <c r="C116" i="2"/>
  <c r="C95" i="2"/>
  <c r="C99" i="2" s="1"/>
  <c r="C87" i="2"/>
  <c r="C71" i="2"/>
  <c r="C70" i="2"/>
  <c r="C56" i="2"/>
  <c r="C47" i="2"/>
  <c r="C48" i="2" s="1"/>
  <c r="C30" i="2"/>
  <c r="C33" i="2" s="1"/>
  <c r="C37" i="2" s="1"/>
  <c r="C29" i="2"/>
  <c r="C15" i="2"/>
  <c r="C64" i="1"/>
  <c r="C63" i="1"/>
  <c r="C58" i="1"/>
  <c r="C50" i="1"/>
  <c r="C59" i="1" s="1"/>
  <c r="C32" i="1"/>
  <c r="C33" i="1" s="1"/>
  <c r="C38" i="1" s="1"/>
  <c r="C13" i="1"/>
  <c r="C66" i="1" s="1"/>
  <c r="C41" i="2" l="1"/>
  <c r="C176" i="2"/>
  <c r="C140" i="2"/>
  <c r="C69" i="1"/>
  <c r="C70" i="1" s="1"/>
  <c r="C39" i="1"/>
  <c r="C65" i="1"/>
  <c r="C75" i="1"/>
  <c r="C61" i="2" l="1"/>
  <c r="C112" i="1"/>
  <c r="C102" i="1"/>
  <c r="C81" i="1"/>
  <c r="C92" i="1"/>
  <c r="C42" i="1"/>
  <c r="C45" i="1" s="1"/>
  <c r="C54" i="1" s="1"/>
  <c r="C60" i="1"/>
  <c r="C63" i="2" l="1"/>
  <c r="C64" i="2" s="1"/>
  <c r="C62" i="2"/>
  <c r="C74" i="2" l="1"/>
  <c r="C75" i="2" s="1"/>
  <c r="C104" i="2" s="1"/>
  <c r="C77" i="2"/>
  <c r="C80" i="2" s="1"/>
  <c r="C89" i="2" s="1"/>
  <c r="C90" i="2" s="1"/>
  <c r="C105" i="2" l="1"/>
  <c r="C108" i="2" s="1"/>
  <c r="C111" i="2" s="1"/>
  <c r="C121" i="2"/>
  <c r="C151" i="2"/>
  <c r="G179" i="2" l="1"/>
  <c r="G178" i="2"/>
  <c r="G158" i="2"/>
  <c r="F178" i="2"/>
  <c r="F157" i="2"/>
  <c r="E178" i="2"/>
  <c r="E157" i="2"/>
  <c r="D178" i="2"/>
  <c r="D157" i="2"/>
  <c r="C157" i="2"/>
  <c r="F179" i="2"/>
  <c r="E179" i="2"/>
  <c r="D179" i="2"/>
  <c r="C179" i="2"/>
  <c r="C178" i="2"/>
  <c r="C125" i="2"/>
  <c r="C126" i="2" s="1"/>
  <c r="C132" i="2"/>
</calcChain>
</file>

<file path=xl/sharedStrings.xml><?xml version="1.0" encoding="utf-8"?>
<sst xmlns="http://schemas.openxmlformats.org/spreadsheetml/2006/main" count="231" uniqueCount="167">
  <si>
    <t>Mission Specification data</t>
  </si>
  <si>
    <t>N° of passangers</t>
  </si>
  <si>
    <t>Weight of each [lb]</t>
  </si>
  <si>
    <t>Total Baggage [lb]</t>
  </si>
  <si>
    <t>Range [nmi]</t>
  </si>
  <si>
    <t>Fuel reserves</t>
  </si>
  <si>
    <t>Altittude [ft]</t>
  </si>
  <si>
    <t>Cruise speed [kts]</t>
  </si>
  <si>
    <t>Climb time [min]</t>
  </si>
  <si>
    <t>Step 1, given in specs</t>
  </si>
  <si>
    <t>Wpl [lb]</t>
  </si>
  <si>
    <t>Step 2, Wto, guess</t>
  </si>
  <si>
    <t>Wto_guess [lb]</t>
  </si>
  <si>
    <t>Step 3, Fuel weight estimation</t>
  </si>
  <si>
    <t>W1/Wto (start and warm up) table 2.1</t>
  </si>
  <si>
    <t>W2/W1 (Taxi) table 2.1</t>
  </si>
  <si>
    <t>W3/W2 (Take-off) table 2.1</t>
  </si>
  <si>
    <t>W4/W3 (Climb) table 2.1</t>
  </si>
  <si>
    <t>For cruise, we use Breguet equations</t>
  </si>
  <si>
    <t>Cp [lbs/(hp/hr)] table 2.2</t>
  </si>
  <si>
    <r>
      <t>η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table 2.2</t>
    </r>
  </si>
  <si>
    <t>L/D table 2.2</t>
  </si>
  <si>
    <t>W5/W4 (cruise)</t>
  </si>
  <si>
    <t>W6/W5 (descent) table 2.1</t>
  </si>
  <si>
    <t>W7/W6 (Landing,taxi and shutdown) table 2.1</t>
  </si>
  <si>
    <t xml:space="preserve">Mff </t>
  </si>
  <si>
    <r>
      <t>Wf</t>
    </r>
    <r>
      <rPr>
        <vertAlign val="subscript"/>
        <sz val="11"/>
        <color theme="1"/>
        <rFont val="Aptos Narrow"/>
        <family val="2"/>
        <scheme val="minor"/>
      </rPr>
      <t>used</t>
    </r>
  </si>
  <si>
    <t>Step 4, Operating empty weight tentative</t>
  </si>
  <si>
    <r>
      <t>W</t>
    </r>
    <r>
      <rPr>
        <vertAlign val="subscript"/>
        <sz val="11"/>
        <color theme="1"/>
        <rFont val="Aptos Narrow"/>
        <family val="2"/>
        <scheme val="minor"/>
      </rPr>
      <t>OE_tent</t>
    </r>
    <r>
      <rPr>
        <sz val="11"/>
        <color theme="1"/>
        <rFont val="Aptos Narrow"/>
        <family val="2"/>
        <scheme val="minor"/>
      </rPr>
      <t xml:space="preserve"> [lb]</t>
    </r>
  </si>
  <si>
    <t>Step 5, Empty weight tentative</t>
  </si>
  <si>
    <r>
      <t>W</t>
    </r>
    <r>
      <rPr>
        <vertAlign val="subscript"/>
        <sz val="11"/>
        <color theme="1"/>
        <rFont val="Aptos Narrow"/>
        <family val="2"/>
        <scheme val="minor"/>
      </rPr>
      <t>E_tent</t>
    </r>
    <r>
      <rPr>
        <sz val="11"/>
        <color theme="1"/>
        <rFont val="Aptos Narrow"/>
        <family val="2"/>
        <scheme val="minor"/>
      </rPr>
      <t xml:space="preserve"> [lb]</t>
    </r>
  </si>
  <si>
    <r>
      <t>Step 6, Allowable value of W</t>
    </r>
    <r>
      <rPr>
        <vertAlign val="subscript"/>
        <sz val="11"/>
        <color theme="1"/>
        <rFont val="Aptos Narrow"/>
        <family val="2"/>
        <scheme val="minor"/>
      </rPr>
      <t>E</t>
    </r>
  </si>
  <si>
    <t>A</t>
  </si>
  <si>
    <t>B</t>
  </si>
  <si>
    <r>
      <t>W</t>
    </r>
    <r>
      <rPr>
        <vertAlign val="subscript"/>
        <sz val="11"/>
        <color theme="1"/>
        <rFont val="Aptos Narrow"/>
        <family val="2"/>
        <scheme val="minor"/>
      </rPr>
      <t>E_allowable</t>
    </r>
    <r>
      <rPr>
        <sz val="11"/>
        <color theme="1"/>
        <rFont val="Aptos Narrow"/>
        <family val="2"/>
        <scheme val="minor"/>
      </rPr>
      <t xml:space="preserve"> [lb]</t>
    </r>
  </si>
  <si>
    <t>Iteration</t>
  </si>
  <si>
    <t>For the iteration process, the cell of the Wto guess is modified until we get a tolerance within the 0.5%</t>
  </si>
  <si>
    <t>Tolerance [%]</t>
  </si>
  <si>
    <t>Final results</t>
  </si>
  <si>
    <t>Wto [lb]</t>
  </si>
  <si>
    <r>
      <t>W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[lb]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</si>
  <si>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[lb]</t>
    </r>
  </si>
  <si>
    <t>Alternative way to do the iteration process</t>
  </si>
  <si>
    <t xml:space="preserve">A </t>
  </si>
  <si>
    <t>C</t>
  </si>
  <si>
    <t>D</t>
  </si>
  <si>
    <t>Lado izquierdo</t>
  </si>
  <si>
    <t>Lado derecho</t>
  </si>
  <si>
    <t>error [%]</t>
  </si>
  <si>
    <t>Sensitivity</t>
  </si>
  <si>
    <t xml:space="preserve">F </t>
  </si>
  <si>
    <t xml:space="preserve">Sensitivity of Wto to Range </t>
  </si>
  <si>
    <t>∂Wto/∂R [lb/nm]</t>
  </si>
  <si>
    <t>Eso significa que si por ejemplo, quiero cambiar el rango inicial que debía cumplir de 1000 nm a 1100 nm, podemos obtener cuanto peso inicial adicional necesito, multiplando esos 100 que agregué por esa relación , quedaría 100*6.9  y da 690 lbs, por ende eso es lo que debo aumentarle al Wto para aumentar el rango 100 nm</t>
  </si>
  <si>
    <t>Sensitivity of Wto to Cp</t>
  </si>
  <si>
    <t>∂Wto/∂Cp [lb/lb/h]</t>
  </si>
  <si>
    <t>Significa que si consigo un motor que me consuma menos combustible, por ejemplo con un Cp de 0.45, es decir reduciendo el consumo un 0.05, me reduciría el Wto 0.05*13817 = 691 lbs</t>
  </si>
  <si>
    <t>Sensitivity of Wto to ηp</t>
  </si>
  <si>
    <t>∂Wto/∂Cp [lb]</t>
  </si>
  <si>
    <t>Significa que si consigo una helice con mejor eficiencia por ejemplo de 0.84, es decir, 0.02 mas eficiente, puedo obtener cuanto se me reduce el Wto como 0.02*-8425= -168 lbs</t>
  </si>
  <si>
    <t>Sensitivity of Wto to L/D</t>
  </si>
  <si>
    <t>∂Wto/∂L/D [lb]</t>
  </si>
  <si>
    <t>Significa que si aumento la L/D de 11 a 12, el Wto se me reduce 628.05 lbs, lo que resulta de multiplicar 1*628.05</t>
  </si>
  <si>
    <t>Airplane Requirements</t>
  </si>
  <si>
    <t>N° of bombs</t>
  </si>
  <si>
    <t>Ammunition for GAU-81A [lb]</t>
  </si>
  <si>
    <t>Crew (one pilot) [lb]</t>
  </si>
  <si>
    <t xml:space="preserve">Cruise speed, external load </t>
  </si>
  <si>
    <t>Cruise speed,  clean</t>
  </si>
  <si>
    <t>Mach at 40000 ft external load</t>
  </si>
  <si>
    <t>Mach at 40000 ft clean</t>
  </si>
  <si>
    <t>Climb rate [fpm]</t>
  </si>
  <si>
    <t>Step 1, Payload Weight</t>
  </si>
  <si>
    <r>
      <t>W</t>
    </r>
    <r>
      <rPr>
        <vertAlign val="subscript"/>
        <sz val="11"/>
        <color theme="1"/>
        <rFont val="Aptos Narrow"/>
        <family val="2"/>
        <scheme val="minor"/>
      </rPr>
      <t>to_guess</t>
    </r>
    <r>
      <rPr>
        <sz val="11"/>
        <color theme="1"/>
        <rFont val="Aptos Narrow"/>
        <family val="2"/>
        <scheme val="minor"/>
      </rPr>
      <t xml:space="preserve"> [lb]</t>
    </r>
  </si>
  <si>
    <t>Step 3, Fuel Weight  estimation</t>
  </si>
  <si>
    <t>W4/W3 (Climb) figure 2.2</t>
  </si>
  <si>
    <t>Determining Rclimb to then determine Rcruise</t>
  </si>
  <si>
    <t>Vclimb assumed [kts]</t>
  </si>
  <si>
    <t>R/C [fpm]</t>
  </si>
  <si>
    <t>R/C [kts]</t>
  </si>
  <si>
    <t>Vhorizontal [kts]</t>
  </si>
  <si>
    <t>As we have Vhorizontal and climb time, we can find Rclimb</t>
  </si>
  <si>
    <t>Rclimb [nmi]</t>
  </si>
  <si>
    <t>As we have the total Range and the range of climb, we find the range of cruise</t>
  </si>
  <si>
    <t>R_tot (de una ida) [nmi]</t>
  </si>
  <si>
    <t>Rcruise [nmi]</t>
  </si>
  <si>
    <t>Vcruise [kts]</t>
  </si>
  <si>
    <t>cj [lb/(lb/h)]</t>
  </si>
  <si>
    <t xml:space="preserve">L/D </t>
  </si>
  <si>
    <t xml:space="preserve">W5/W4 (Cruise out) </t>
  </si>
  <si>
    <t>Loiter lo trabajamos con endurance</t>
  </si>
  <si>
    <t>cj [lb/(lb/h)] table 2.2</t>
  </si>
  <si>
    <r>
      <t>E</t>
    </r>
    <r>
      <rPr>
        <vertAlign val="subscript"/>
        <sz val="11"/>
        <color theme="1"/>
        <rFont val="Aptos Narrow"/>
        <family val="2"/>
        <scheme val="minor"/>
      </rPr>
      <t>loiter</t>
    </r>
    <r>
      <rPr>
        <sz val="11"/>
        <color theme="1"/>
        <rFont val="Aptos Narrow"/>
        <family val="2"/>
        <scheme val="minor"/>
      </rPr>
      <t xml:space="preserve"> from mission profile [min]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</si>
  <si>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loiter</t>
    </r>
    <r>
      <rPr>
        <sz val="11"/>
        <color theme="1"/>
        <rFont val="Aptos Narrow"/>
        <family val="2"/>
        <scheme val="minor"/>
      </rPr>
      <t xml:space="preserve"> from mission profile [h]</t>
    </r>
  </si>
  <si>
    <t xml:space="preserve">W6/W5 (Loiter) </t>
  </si>
  <si>
    <t xml:space="preserve">W7/W6 (Descent) </t>
  </si>
  <si>
    <r>
      <t>R</t>
    </r>
    <r>
      <rPr>
        <vertAlign val="subscript"/>
        <sz val="11"/>
        <color theme="1"/>
        <rFont val="Aptos Narrow"/>
        <family val="2"/>
        <scheme val="minor"/>
      </rPr>
      <t>dash_out</t>
    </r>
    <r>
      <rPr>
        <sz val="11"/>
        <color theme="1"/>
        <rFont val="Aptos Narrow"/>
        <family val="2"/>
        <scheme val="minor"/>
      </rPr>
      <t xml:space="preserve"> [nmi]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</si>
  <si>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dash_out</t>
    </r>
    <r>
      <rPr>
        <sz val="11"/>
        <color theme="1"/>
        <rFont val="Aptos Narrow"/>
        <family val="2"/>
        <scheme val="minor"/>
      </rPr>
      <t xml:space="preserve"> [kts]</t>
    </r>
  </si>
  <si>
    <t xml:space="preserve">cj [lb/(lb/h)] </t>
  </si>
  <si>
    <t>L/D</t>
  </si>
  <si>
    <t xml:space="preserve">W8/W7 (Dash out) </t>
  </si>
  <si>
    <t>W9/W8 drop bombs (no fuel penalties, just an instant)</t>
  </si>
  <si>
    <t>From this point, bombs are dropped</t>
  </si>
  <si>
    <t>Mff (% del Wto que queda luego de tirar bombas)</t>
  </si>
  <si>
    <t>% de combustible usado</t>
  </si>
  <si>
    <t>Weight before dropping bombs [lb]</t>
  </si>
  <si>
    <t>Weight immediately after dropping bombs [lb]</t>
  </si>
  <si>
    <t xml:space="preserve">Strafe </t>
  </si>
  <si>
    <r>
      <t>E</t>
    </r>
    <r>
      <rPr>
        <vertAlign val="subscript"/>
        <sz val="11"/>
        <color theme="1"/>
        <rFont val="Aptos Narrow"/>
        <family val="2"/>
        <scheme val="minor"/>
      </rPr>
      <t>strafe</t>
    </r>
    <r>
      <rPr>
        <sz val="11"/>
        <color theme="1"/>
        <rFont val="Aptos Narrow"/>
        <family val="2"/>
        <scheme val="minor"/>
      </rPr>
      <t xml:space="preserve"> [min]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</si>
  <si>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strafe</t>
    </r>
    <r>
      <rPr>
        <sz val="11"/>
        <color theme="1"/>
        <rFont val="Aptos Narrow"/>
        <family val="2"/>
        <scheme val="minor"/>
      </rPr>
      <t xml:space="preserve"> [h]</t>
    </r>
  </si>
  <si>
    <t>W10/W9</t>
  </si>
  <si>
    <t>Corrigiendo ese valor:</t>
  </si>
  <si>
    <t>Peso en 9/peso en 8</t>
  </si>
  <si>
    <t>W10/W9 corrected</t>
  </si>
  <si>
    <t>W9</t>
  </si>
  <si>
    <t>Inmediatamente despues de descargar la ametralladora</t>
  </si>
  <si>
    <t xml:space="preserve">W10 </t>
  </si>
  <si>
    <t>Para dash in, se usa rango</t>
  </si>
  <si>
    <r>
      <t>R</t>
    </r>
    <r>
      <rPr>
        <vertAlign val="subscript"/>
        <sz val="11"/>
        <color theme="1"/>
        <rFont val="Aptos Narrow"/>
        <family val="2"/>
        <scheme val="minor"/>
      </rPr>
      <t xml:space="preserve">dash_in </t>
    </r>
    <r>
      <rPr>
        <sz val="11"/>
        <color theme="1"/>
        <rFont val="Aptos Narrow"/>
        <family val="2"/>
        <scheme val="minor"/>
      </rPr>
      <t>[nm]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</si>
  <si>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 xml:space="preserve">dash_in </t>
    </r>
    <r>
      <rPr>
        <sz val="11"/>
        <color theme="1"/>
        <rFont val="Aptos Narrow"/>
        <family val="2"/>
        <scheme val="minor"/>
      </rPr>
      <t xml:space="preserve"> [kts]</t>
    </r>
  </si>
  <si>
    <t>W11/W10</t>
  </si>
  <si>
    <t>Strafe weight ratio (W10/W9)</t>
  </si>
  <si>
    <t>W11/W10 corrected</t>
  </si>
  <si>
    <t>Climb again, se usa la tabla con el mach</t>
  </si>
  <si>
    <t>W12/W11</t>
  </si>
  <si>
    <t>Rclimb [nm] (mismo procedimiento anterior)</t>
  </si>
  <si>
    <t>Rcruise_in [nm]</t>
  </si>
  <si>
    <t>Vcruise (el mach por la velocidad del sonido) [kts]</t>
  </si>
  <si>
    <t>W13/W12 (cruise in)</t>
  </si>
  <si>
    <t>W14/W13 (Descent) table 2.1</t>
  </si>
  <si>
    <t>W15/W14 (Descent) table 2.1</t>
  </si>
  <si>
    <t>Mff</t>
  </si>
  <si>
    <r>
      <t>W</t>
    </r>
    <r>
      <rPr>
        <vertAlign val="subscript"/>
        <sz val="11"/>
        <color theme="1"/>
        <rFont val="Aptos Narrow"/>
        <family val="2"/>
        <scheme val="minor"/>
      </rPr>
      <t xml:space="preserve">fuel </t>
    </r>
    <r>
      <rPr>
        <sz val="11"/>
        <color theme="1"/>
        <rFont val="Aptos Narrow"/>
        <family val="2"/>
        <scheme val="minor"/>
      </rPr>
      <t xml:space="preserve"> [lb]</t>
    </r>
  </si>
  <si>
    <t>Using  the equation for iterations</t>
  </si>
  <si>
    <t>Sensitivity of Wto to Wpl</t>
  </si>
  <si>
    <t xml:space="preserve">∂Wto/∂Wpl </t>
  </si>
  <si>
    <t>Por cada lb de carga paga que se le meta adicional al avión, el peso de despegue aumentará 6.12 lb</t>
  </si>
  <si>
    <t>Sensitivity of Wto to WE</t>
  </si>
  <si>
    <t>∂Wto/∂WE</t>
  </si>
  <si>
    <t>Por cada lb de carga paga que se le meta adicional al avión de peso vacío, el peso de despegue aumentará 1.83 lb</t>
  </si>
  <si>
    <t>Sensitivity of Take-Off Weight to Range (y = R) and Endurance (y = E)</t>
  </si>
  <si>
    <t>Como depende de parametros como Cj, V y L/D, se hace el analisis de sensibilidad para cada fase involucrada, en este caso, cruise-out, dash-out, dash-in y cruise se harán con rango y loiter se hará con autonomia (endurance)</t>
  </si>
  <si>
    <t>Para sensibilidad con rango</t>
  </si>
  <si>
    <t>F [Lb]</t>
  </si>
  <si>
    <t>Cruise-out</t>
  </si>
  <si>
    <t>Dash-out</t>
  </si>
  <si>
    <t>Dash-in</t>
  </si>
  <si>
    <t>Cruise-in</t>
  </si>
  <si>
    <t>Loiter</t>
  </si>
  <si>
    <t>Cj</t>
  </si>
  <si>
    <t>V</t>
  </si>
  <si>
    <t>N/A</t>
  </si>
  <si>
    <r>
      <t>Para sensibilidad con W</t>
    </r>
    <r>
      <rPr>
        <vertAlign val="subscript"/>
        <sz val="11"/>
        <color theme="1"/>
        <rFont val="Aptos Narrow"/>
        <family val="2"/>
        <scheme val="minor"/>
      </rPr>
      <t xml:space="preserve">E, </t>
    </r>
    <r>
      <rPr>
        <sz val="11"/>
        <color theme="1"/>
        <rFont val="Aptos Narrow"/>
        <family val="2"/>
        <scheme val="minor"/>
      </rPr>
      <t>Endurance</t>
    </r>
  </si>
  <si>
    <t>∂Wto/∂WR</t>
  </si>
  <si>
    <t>Se observa que la parte de dash out es la que tiene mas sensibilidad, por ende si necesitaramos aumentar el rango de dash out de 100 a 200 por ejemplo,  el Wto nos aumentaría 13900 lbs. Si establecemos el costo por peso de 500 dolares/lbs, eso nos costaría como empresa casi 7.000.000 de dolares adicionales</t>
  </si>
  <si>
    <t>Analizando el loiter, si el tiempo de loiter se redujera de 30 min  a 15 min (reducción de 0.25 h), el Wto disminuiría 0.25*18618.66 = 4645 lbs, reduciendo el costo unitario en una tasa de 2.3 millones, ya que 4645*500 = 2.3 M</t>
  </si>
  <si>
    <t>Sensitivity of Take-Off Weight to sfc (y = cj) andA.E (y = L/D)</t>
  </si>
  <si>
    <t>Se procede a hacer el mismo procedimiento, pero cambiando las formulas de las derivadas parciales, con base a la tabla 2.20</t>
  </si>
  <si>
    <t>Para sensibilidad con Cj Rango</t>
  </si>
  <si>
    <t>R</t>
  </si>
  <si>
    <t xml:space="preserve">E </t>
  </si>
  <si>
    <t>∂Wto/∂CJ</t>
  </si>
  <si>
    <t>Para sensibilidad con Cj Endurance</t>
  </si>
  <si>
    <t>∂Wto/∂L/D</t>
  </si>
  <si>
    <t>Con base a estos resultados podemos ver que por ejemplo, una disminución en el sfc de 0.1 en el dash-out, reduce el wto en 0.1*15515.45 = 1551 lbs. Si aumentamos la eficiencia aerodinámica un 0.5 en cruise-out, el peso se nos disminuye como 0.5*1887 = 943.5 lbs</t>
  </si>
  <si>
    <t>Para sensibilidad con L/D Rango</t>
  </si>
  <si>
    <t>Para sensibilidad con L/D Endurance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</si>
</sst>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13" Type="http://schemas.openxmlformats.org/officeDocument/2006/relationships/image" Target="../media/image9.png"/><Relationship Id="rId18" Type="http://schemas.openxmlformats.org/officeDocument/2006/relationships/image" Target="../media/image34.png"/><Relationship Id="rId3" Type="http://schemas.openxmlformats.org/officeDocument/2006/relationships/image" Target="../media/image22.png"/><Relationship Id="rId21" Type="http://schemas.openxmlformats.org/officeDocument/2006/relationships/image" Target="../media/image37.png"/><Relationship Id="rId7" Type="http://schemas.openxmlformats.org/officeDocument/2006/relationships/image" Target="../media/image26.png"/><Relationship Id="rId12" Type="http://schemas.openxmlformats.org/officeDocument/2006/relationships/image" Target="../media/image31.png"/><Relationship Id="rId17" Type="http://schemas.openxmlformats.org/officeDocument/2006/relationships/image" Target="../media/image33.png"/><Relationship Id="rId2" Type="http://schemas.openxmlformats.org/officeDocument/2006/relationships/image" Target="../media/image21.png"/><Relationship Id="rId16" Type="http://schemas.openxmlformats.org/officeDocument/2006/relationships/image" Target="../media/image32.png"/><Relationship Id="rId20" Type="http://schemas.openxmlformats.org/officeDocument/2006/relationships/image" Target="../media/image36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11" Type="http://schemas.openxmlformats.org/officeDocument/2006/relationships/image" Target="../media/image30.png"/><Relationship Id="rId5" Type="http://schemas.openxmlformats.org/officeDocument/2006/relationships/image" Target="../media/image24.png"/><Relationship Id="rId15" Type="http://schemas.openxmlformats.org/officeDocument/2006/relationships/image" Target="../media/image11.png"/><Relationship Id="rId23" Type="http://schemas.openxmlformats.org/officeDocument/2006/relationships/image" Target="../media/image39.png"/><Relationship Id="rId10" Type="http://schemas.openxmlformats.org/officeDocument/2006/relationships/image" Target="../media/image29.png"/><Relationship Id="rId19" Type="http://schemas.openxmlformats.org/officeDocument/2006/relationships/image" Target="../media/image35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Relationship Id="rId14" Type="http://schemas.openxmlformats.org/officeDocument/2006/relationships/image" Target="../media/image10.png"/><Relationship Id="rId22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109946</xdr:colOff>
      <xdr:row>4</xdr:row>
      <xdr:rowOff>132322</xdr:rowOff>
    </xdr:from>
    <xdr:to>
      <xdr:col>8</xdr:col>
      <xdr:colOff>507186</xdr:colOff>
      <xdr:row>17</xdr:row>
      <xdr:rowOff>34472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6836AC-404E-41A2-BCE1-0BC60CA0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5746" y="863842"/>
          <a:ext cx="3567160" cy="2279590"/>
        </a:xfrm>
        <a:prstGeom prst="rect">
          <a:avLst/>
        </a:prstGeom>
      </xdr:spPr>
    </xdr:pic>
    <xdr:clientData/>
  </xdr:twoCellAnchor>
  <xdr:twoCellAnchor>
    <xdr:from>
      <xdr:col>3</xdr:col>
      <xdr:colOff>10885</xdr:colOff>
      <xdr:row>10</xdr:row>
      <xdr:rowOff>175926</xdr:rowOff>
    </xdr:from>
    <xdr:to>
      <xdr:col>4</xdr:col>
      <xdr:colOff>109946</xdr:colOff>
      <xdr:row>17</xdr:row>
      <xdr:rowOff>120832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0E893E5-44B0-4DB1-8E7E-7829AD9DF32C}"/>
            </a:ext>
          </a:extLst>
        </xdr:cNvPr>
        <xdr:cNvCxnSpPr>
          <a:endCxn id="2" idx="1"/>
        </xdr:cNvCxnSpPr>
      </xdr:nvCxnSpPr>
      <xdr:spPr>
        <a:xfrm flipV="1">
          <a:off x="3714205" y="2004726"/>
          <a:ext cx="891541" cy="1225066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726076</xdr:colOff>
      <xdr:row>18</xdr:row>
      <xdr:rowOff>125360</xdr:rowOff>
    </xdr:from>
    <xdr:to>
      <xdr:col>8</xdr:col>
      <xdr:colOff>166009</xdr:colOff>
      <xdr:row>28</xdr:row>
      <xdr:rowOff>30968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AC1C743-5F86-4BE8-B0B6-ABE7DC7F4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9396" y="3417200"/>
          <a:ext cx="3402333" cy="1734408"/>
        </a:xfrm>
        <a:prstGeom prst="rect">
          <a:avLst/>
        </a:prstGeom>
      </xdr:spPr>
    </xdr:pic>
    <xdr:clientData/>
  </xdr:twoCellAnchor>
  <xdr:twoCellAnchor editAs="oneCell">
    <xdr:from>
      <xdr:col>3</xdr:col>
      <xdr:colOff>770467</xdr:colOff>
      <xdr:row>31</xdr:row>
      <xdr:rowOff>117323</xdr:rowOff>
    </xdr:from>
    <xdr:to>
      <xdr:col>7</xdr:col>
      <xdr:colOff>160868</xdr:colOff>
      <xdr:row>35</xdr:row>
      <xdr:rowOff>82059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FF92D8A-B077-4D60-93B8-9F834ABB4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3787" y="6182843"/>
          <a:ext cx="2560321" cy="696256"/>
        </a:xfrm>
        <a:prstGeom prst="rect">
          <a:avLst/>
        </a:prstGeom>
      </xdr:spPr>
    </xdr:pic>
    <xdr:clientData/>
  </xdr:twoCellAnchor>
  <xdr:twoCellAnchor editAs="oneCell">
    <xdr:from>
      <xdr:col>3</xdr:col>
      <xdr:colOff>772885</xdr:colOff>
      <xdr:row>27</xdr:row>
      <xdr:rowOff>183847</xdr:rowOff>
    </xdr:from>
    <xdr:to>
      <xdr:col>7</xdr:col>
      <xdr:colOff>53220</xdr:colOff>
      <xdr:row>30</xdr:row>
      <xdr:rowOff>182864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CBB1E45-7667-453A-A4CE-D6270C81A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205" y="5502607"/>
          <a:ext cx="2450255" cy="547657"/>
        </a:xfrm>
        <a:prstGeom prst="rect">
          <a:avLst/>
        </a:prstGeom>
      </xdr:spPr>
    </xdr:pic>
    <xdr:clientData/>
  </xdr:twoCellAnchor>
  <xdr:twoCellAnchor>
    <xdr:from>
      <xdr:col>5</xdr:col>
      <xdr:colOff>413052</xdr:colOff>
      <xdr:row>30</xdr:row>
      <xdr:rowOff>167624</xdr:rowOff>
    </xdr:from>
    <xdr:to>
      <xdr:col>5</xdr:col>
      <xdr:colOff>465667</xdr:colOff>
      <xdr:row>31</xdr:row>
      <xdr:rowOff>117323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456AC3D9-2424-44A0-BBFA-325E700FC19E}"/>
            </a:ext>
          </a:extLst>
        </xdr:cNvPr>
        <xdr:cNvCxnSpPr>
          <a:stCxn id="6" idx="2"/>
          <a:endCxn id="5" idx="0"/>
        </xdr:cNvCxnSpPr>
      </xdr:nvCxnSpPr>
      <xdr:spPr>
        <a:xfrm>
          <a:off x="5701332" y="6050264"/>
          <a:ext cx="52615" cy="132579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56726</xdr:colOff>
      <xdr:row>35</xdr:row>
      <xdr:rowOff>348581</xdr:rowOff>
    </xdr:from>
    <xdr:to>
      <xdr:col>8</xdr:col>
      <xdr:colOff>452097</xdr:colOff>
      <xdr:row>37</xdr:row>
      <xdr:rowOff>157751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7E77557-9CE6-4C37-8570-C6EE1DA41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52526" y="7145621"/>
          <a:ext cx="3565291" cy="342570"/>
        </a:xfrm>
        <a:prstGeom prst="rect">
          <a:avLst/>
        </a:prstGeom>
      </xdr:spPr>
    </xdr:pic>
    <xdr:clientData/>
  </xdr:twoCellAnchor>
  <xdr:twoCellAnchor>
    <xdr:from>
      <xdr:col>3</xdr:col>
      <xdr:colOff>53340</xdr:colOff>
      <xdr:row>36</xdr:row>
      <xdr:rowOff>161726</xdr:rowOff>
    </xdr:from>
    <xdr:to>
      <xdr:col>4</xdr:col>
      <xdr:colOff>56726</xdr:colOff>
      <xdr:row>37</xdr:row>
      <xdr:rowOff>106680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9D07EF29-B291-4017-9E3A-3480AEFB26A9}"/>
            </a:ext>
          </a:extLst>
        </xdr:cNvPr>
        <xdr:cNvCxnSpPr>
          <a:endCxn id="8" idx="1"/>
        </xdr:cNvCxnSpPr>
      </xdr:nvCxnSpPr>
      <xdr:spPr>
        <a:xfrm flipV="1">
          <a:off x="3756660" y="7316906"/>
          <a:ext cx="795866" cy="127834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15240</xdr:colOff>
      <xdr:row>38</xdr:row>
      <xdr:rowOff>0</xdr:rowOff>
    </xdr:from>
    <xdr:to>
      <xdr:col>6</xdr:col>
      <xdr:colOff>91583</xdr:colOff>
      <xdr:row>39</xdr:row>
      <xdr:rowOff>7637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893C477-198B-439A-91C5-362ECB784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11040" y="7520940"/>
          <a:ext cx="1661303" cy="190517"/>
        </a:xfrm>
        <a:prstGeom prst="rect">
          <a:avLst/>
        </a:prstGeom>
      </xdr:spPr>
    </xdr:pic>
    <xdr:clientData/>
  </xdr:twoCellAnchor>
  <xdr:twoCellAnchor>
    <xdr:from>
      <xdr:col>3</xdr:col>
      <xdr:colOff>91440</xdr:colOff>
      <xdr:row>38</xdr:row>
      <xdr:rowOff>83820</xdr:rowOff>
    </xdr:from>
    <xdr:to>
      <xdr:col>4</xdr:col>
      <xdr:colOff>15240</xdr:colOff>
      <xdr:row>38</xdr:row>
      <xdr:rowOff>95259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5B48F702-B389-4630-9771-99435F8C1E25}"/>
            </a:ext>
          </a:extLst>
        </xdr:cNvPr>
        <xdr:cNvCxnSpPr>
          <a:endCxn id="10" idx="1"/>
        </xdr:cNvCxnSpPr>
      </xdr:nvCxnSpPr>
      <xdr:spPr>
        <a:xfrm>
          <a:off x="3794760" y="7604760"/>
          <a:ext cx="716280" cy="11439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93980</xdr:colOff>
      <xdr:row>48</xdr:row>
      <xdr:rowOff>135082</xdr:rowOff>
    </xdr:from>
    <xdr:to>
      <xdr:col>5</xdr:col>
      <xdr:colOff>708660</xdr:colOff>
      <xdr:row>50</xdr:row>
      <xdr:rowOff>30480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2473E3F-C0C0-4D42-9E3A-51351FB957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6001" b="17477"/>
        <a:stretch>
          <a:fillRect/>
        </a:stretch>
      </xdr:blipFill>
      <xdr:spPr>
        <a:xfrm>
          <a:off x="4589780" y="9545782"/>
          <a:ext cx="1407160" cy="261158"/>
        </a:xfrm>
        <a:prstGeom prst="rect">
          <a:avLst/>
        </a:prstGeom>
      </xdr:spPr>
    </xdr:pic>
    <xdr:clientData/>
  </xdr:twoCellAnchor>
  <xdr:twoCellAnchor>
    <xdr:from>
      <xdr:col>3</xdr:col>
      <xdr:colOff>33020</xdr:colOff>
      <xdr:row>49</xdr:row>
      <xdr:rowOff>82781</xdr:rowOff>
    </xdr:from>
    <xdr:to>
      <xdr:col>4</xdr:col>
      <xdr:colOff>93980</xdr:colOff>
      <xdr:row>49</xdr:row>
      <xdr:rowOff>132080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44C5733B-04C9-452A-8E82-CC802232E8EB}"/>
            </a:ext>
          </a:extLst>
        </xdr:cNvPr>
        <xdr:cNvCxnSpPr>
          <a:cxnSpLocks/>
          <a:endCxn id="12" idx="1"/>
        </xdr:cNvCxnSpPr>
      </xdr:nvCxnSpPr>
      <xdr:spPr>
        <a:xfrm flipV="1">
          <a:off x="3736340" y="9676361"/>
          <a:ext cx="853440" cy="49299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694482</xdr:colOff>
      <xdr:row>52</xdr:row>
      <xdr:rowOff>501569</xdr:rowOff>
    </xdr:from>
    <xdr:to>
      <xdr:col>7</xdr:col>
      <xdr:colOff>53174</xdr:colOff>
      <xdr:row>56</xdr:row>
      <xdr:rowOff>148795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CBF2D55-B6EB-40F5-822F-E8D40C9D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97802" y="10659029"/>
          <a:ext cx="2528612" cy="698786"/>
        </a:xfrm>
        <a:prstGeom prst="rect">
          <a:avLst/>
        </a:prstGeom>
      </xdr:spPr>
    </xdr:pic>
    <xdr:clientData/>
  </xdr:twoCellAnchor>
  <xdr:twoCellAnchor>
    <xdr:from>
      <xdr:col>3</xdr:col>
      <xdr:colOff>38582</xdr:colOff>
      <xdr:row>53</xdr:row>
      <xdr:rowOff>115747</xdr:rowOff>
    </xdr:from>
    <xdr:to>
      <xdr:col>3</xdr:col>
      <xdr:colOff>694482</xdr:colOff>
      <xdr:row>53</xdr:row>
      <xdr:rowOff>119057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714F9FD4-89D9-40F3-9327-8CF0B3F25601}"/>
            </a:ext>
          </a:extLst>
        </xdr:cNvPr>
        <xdr:cNvCxnSpPr>
          <a:cxnSpLocks/>
          <a:endCxn id="14" idx="1"/>
        </xdr:cNvCxnSpPr>
      </xdr:nvCxnSpPr>
      <xdr:spPr>
        <a:xfrm>
          <a:off x="3741902" y="11004727"/>
          <a:ext cx="655900" cy="3310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65</xdr:row>
      <xdr:rowOff>0</xdr:rowOff>
    </xdr:from>
    <xdr:to>
      <xdr:col>5</xdr:col>
      <xdr:colOff>376177</xdr:colOff>
      <xdr:row>66</xdr:row>
      <xdr:rowOff>32316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1BA24BC-BA91-4119-A54D-8CD1459B6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95800" y="13114020"/>
          <a:ext cx="1168657" cy="215196"/>
        </a:xfrm>
        <a:prstGeom prst="rect">
          <a:avLst/>
        </a:prstGeom>
      </xdr:spPr>
    </xdr:pic>
    <xdr:clientData/>
  </xdr:twoCellAnchor>
  <xdr:twoCellAnchor editAs="oneCell">
    <xdr:from>
      <xdr:col>3</xdr:col>
      <xdr:colOff>540153</xdr:colOff>
      <xdr:row>63</xdr:row>
      <xdr:rowOff>106102</xdr:rowOff>
    </xdr:from>
    <xdr:to>
      <xdr:col>6</xdr:col>
      <xdr:colOff>482279</xdr:colOff>
      <xdr:row>64</xdr:row>
      <xdr:rowOff>113306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66F714A-3754-4114-9980-0086269B4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43473" y="12854362"/>
          <a:ext cx="2319566" cy="190084"/>
        </a:xfrm>
        <a:prstGeom prst="rect">
          <a:avLst/>
        </a:prstGeom>
      </xdr:spPr>
    </xdr:pic>
    <xdr:clientData/>
  </xdr:twoCellAnchor>
  <xdr:twoCellAnchor>
    <xdr:from>
      <xdr:col>3</xdr:col>
      <xdr:colOff>28937</xdr:colOff>
      <xdr:row>64</xdr:row>
      <xdr:rowOff>18071</xdr:rowOff>
    </xdr:from>
    <xdr:to>
      <xdr:col>3</xdr:col>
      <xdr:colOff>540153</xdr:colOff>
      <xdr:row>64</xdr:row>
      <xdr:rowOff>106102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C4C433FB-3728-4D33-B1A0-7FB634490C9F}"/>
            </a:ext>
          </a:extLst>
        </xdr:cNvPr>
        <xdr:cNvCxnSpPr>
          <a:cxnSpLocks/>
          <a:endCxn id="17" idx="1"/>
        </xdr:cNvCxnSpPr>
      </xdr:nvCxnSpPr>
      <xdr:spPr>
        <a:xfrm flipV="1">
          <a:off x="3732257" y="12949211"/>
          <a:ext cx="511216" cy="88031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67519</xdr:colOff>
      <xdr:row>65</xdr:row>
      <xdr:rowOff>96456</xdr:rowOff>
    </xdr:from>
    <xdr:to>
      <xdr:col>4</xdr:col>
      <xdr:colOff>0</xdr:colOff>
      <xdr:row>65</xdr:row>
      <xdr:rowOff>107791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48BE08E4-3D3F-42E3-98A5-2FFA25141F60}"/>
            </a:ext>
          </a:extLst>
        </xdr:cNvPr>
        <xdr:cNvCxnSpPr>
          <a:cxnSpLocks/>
          <a:endCxn id="16" idx="1"/>
        </xdr:cNvCxnSpPr>
      </xdr:nvCxnSpPr>
      <xdr:spPr>
        <a:xfrm>
          <a:off x="3770839" y="13210476"/>
          <a:ext cx="724961" cy="11335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472633</xdr:colOff>
      <xdr:row>67</xdr:row>
      <xdr:rowOff>120773</xdr:rowOff>
    </xdr:from>
    <xdr:to>
      <xdr:col>6</xdr:col>
      <xdr:colOff>419046</xdr:colOff>
      <xdr:row>69</xdr:row>
      <xdr:rowOff>48228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65E5FCE-1D0F-46D2-B4EF-F134AEC02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75953" y="13600553"/>
          <a:ext cx="2323853" cy="293215"/>
        </a:xfrm>
        <a:prstGeom prst="rect">
          <a:avLst/>
        </a:prstGeom>
      </xdr:spPr>
    </xdr:pic>
    <xdr:clientData/>
  </xdr:twoCellAnchor>
  <xdr:twoCellAnchor editAs="oneCell">
    <xdr:from>
      <xdr:col>4</xdr:col>
      <xdr:colOff>318304</xdr:colOff>
      <xdr:row>76</xdr:row>
      <xdr:rowOff>28937</xdr:rowOff>
    </xdr:from>
    <xdr:to>
      <xdr:col>5</xdr:col>
      <xdr:colOff>499053</xdr:colOff>
      <xdr:row>79</xdr:row>
      <xdr:rowOff>3473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9464BA0-F0F4-4904-B468-816DFAA12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14104" y="15154637"/>
          <a:ext cx="973229" cy="523176"/>
        </a:xfrm>
        <a:prstGeom prst="rect">
          <a:avLst/>
        </a:prstGeom>
      </xdr:spPr>
    </xdr:pic>
    <xdr:clientData/>
  </xdr:twoCellAnchor>
  <xdr:twoCellAnchor editAs="oneCell">
    <xdr:from>
      <xdr:col>3</xdr:col>
      <xdr:colOff>684835</xdr:colOff>
      <xdr:row>79</xdr:row>
      <xdr:rowOff>144684</xdr:rowOff>
    </xdr:from>
    <xdr:to>
      <xdr:col>6</xdr:col>
      <xdr:colOff>455449</xdr:colOff>
      <xdr:row>81</xdr:row>
      <xdr:rowOff>54417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5FE2880-BDB6-421D-8370-BD99A0234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88155" y="15834264"/>
          <a:ext cx="2148054" cy="275493"/>
        </a:xfrm>
        <a:prstGeom prst="rect">
          <a:avLst/>
        </a:prstGeom>
      </xdr:spPr>
    </xdr:pic>
    <xdr:clientData/>
  </xdr:twoCellAnchor>
  <xdr:twoCellAnchor editAs="oneCell">
    <xdr:from>
      <xdr:col>3</xdr:col>
      <xdr:colOff>520861</xdr:colOff>
      <xdr:row>90</xdr:row>
      <xdr:rowOff>125392</xdr:rowOff>
    </xdr:from>
    <xdr:to>
      <xdr:col>7</xdr:col>
      <xdr:colOff>512480</xdr:colOff>
      <xdr:row>92</xdr:row>
      <xdr:rowOff>77164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ADD556E-C60F-4136-848E-23BC0E39A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24181" y="18268612"/>
          <a:ext cx="3161539" cy="317532"/>
        </a:xfrm>
        <a:prstGeom prst="rect">
          <a:avLst/>
        </a:prstGeom>
      </xdr:spPr>
    </xdr:pic>
    <xdr:clientData/>
  </xdr:twoCellAnchor>
  <xdr:twoCellAnchor editAs="oneCell">
    <xdr:from>
      <xdr:col>4</xdr:col>
      <xdr:colOff>520861</xdr:colOff>
      <xdr:row>86</xdr:row>
      <xdr:rowOff>173619</xdr:rowOff>
    </xdr:from>
    <xdr:to>
      <xdr:col>5</xdr:col>
      <xdr:colOff>730189</xdr:colOff>
      <xdr:row>89</xdr:row>
      <xdr:rowOff>176349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1E37F12D-6F57-4F45-A0F2-42AEB7D82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16661" y="17570079"/>
          <a:ext cx="1001808" cy="551370"/>
        </a:xfrm>
        <a:prstGeom prst="rect">
          <a:avLst/>
        </a:prstGeom>
      </xdr:spPr>
    </xdr:pic>
    <xdr:clientData/>
  </xdr:twoCellAnchor>
  <xdr:twoCellAnchor editAs="oneCell">
    <xdr:from>
      <xdr:col>3</xdr:col>
      <xdr:colOff>752354</xdr:colOff>
      <xdr:row>100</xdr:row>
      <xdr:rowOff>106102</xdr:rowOff>
    </xdr:from>
    <xdr:to>
      <xdr:col>6</xdr:col>
      <xdr:colOff>761126</xdr:colOff>
      <xdr:row>102</xdr:row>
      <xdr:rowOff>15834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90FE66D-D72F-44DA-874B-B41273533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55674" y="20291482"/>
          <a:ext cx="2386212" cy="275492"/>
        </a:xfrm>
        <a:prstGeom prst="rect">
          <a:avLst/>
        </a:prstGeom>
      </xdr:spPr>
    </xdr:pic>
    <xdr:clientData/>
  </xdr:twoCellAnchor>
  <xdr:twoCellAnchor editAs="oneCell">
    <xdr:from>
      <xdr:col>4</xdr:col>
      <xdr:colOff>86810</xdr:colOff>
      <xdr:row>97</xdr:row>
      <xdr:rowOff>0</xdr:rowOff>
    </xdr:from>
    <xdr:to>
      <xdr:col>5</xdr:col>
      <xdr:colOff>400927</xdr:colOff>
      <xdr:row>99</xdr:row>
      <xdr:rowOff>176470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25580482-06CC-4B13-BE0F-A196557C2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82610" y="19621500"/>
          <a:ext cx="1106597" cy="542230"/>
        </a:xfrm>
        <a:prstGeom prst="rect">
          <a:avLst/>
        </a:prstGeom>
      </xdr:spPr>
    </xdr:pic>
    <xdr:clientData/>
  </xdr:twoCellAnchor>
  <xdr:twoCellAnchor editAs="oneCell">
    <xdr:from>
      <xdr:col>4</xdr:col>
      <xdr:colOff>96455</xdr:colOff>
      <xdr:row>110</xdr:row>
      <xdr:rowOff>173620</xdr:rowOff>
    </xdr:from>
    <xdr:to>
      <xdr:col>6</xdr:col>
      <xdr:colOff>427367</xdr:colOff>
      <xdr:row>111</xdr:row>
      <xdr:rowOff>158010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21F16F1-20FF-459A-8F65-EF5CE8B3D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592255" y="22385920"/>
          <a:ext cx="1915872" cy="167270"/>
        </a:xfrm>
        <a:prstGeom prst="rect">
          <a:avLst/>
        </a:prstGeom>
      </xdr:spPr>
    </xdr:pic>
    <xdr:clientData/>
  </xdr:twoCellAnchor>
  <xdr:twoCellAnchor editAs="oneCell">
    <xdr:from>
      <xdr:col>4</xdr:col>
      <xdr:colOff>221847</xdr:colOff>
      <xdr:row>107</xdr:row>
      <xdr:rowOff>115746</xdr:rowOff>
    </xdr:from>
    <xdr:to>
      <xdr:col>5</xdr:col>
      <xdr:colOff>289367</xdr:colOff>
      <xdr:row>110</xdr:row>
      <xdr:rowOff>54577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41DB65FF-F694-4ACB-805F-9E84ED94C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717647" y="21764166"/>
          <a:ext cx="860000" cy="4874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121920</xdr:colOff>
      <xdr:row>13</xdr:row>
      <xdr:rowOff>91440</xdr:rowOff>
    </xdr:from>
    <xdr:to>
      <xdr:col>8</xdr:col>
      <xdr:colOff>743479</xdr:colOff>
      <xdr:row>19</xdr:row>
      <xdr:rowOff>165899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71059D-38E0-44DA-B246-7987928C9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0" y="2468880"/>
          <a:ext cx="3791479" cy="1171739"/>
        </a:xfrm>
        <a:prstGeom prst="rect">
          <a:avLst/>
        </a:prstGeom>
      </xdr:spPr>
    </xdr:pic>
    <xdr:clientData/>
  </xdr:twoCellAnchor>
  <xdr:twoCellAnchor>
    <xdr:from>
      <xdr:col>3</xdr:col>
      <xdr:colOff>30480</xdr:colOff>
      <xdr:row>16</xdr:row>
      <xdr:rowOff>128670</xdr:rowOff>
    </xdr:from>
    <xdr:to>
      <xdr:col>4</xdr:col>
      <xdr:colOff>121920</xdr:colOff>
      <xdr:row>17</xdr:row>
      <xdr:rowOff>106680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BC365A29-5E82-48EA-BF40-B3E96FF84758}"/>
            </a:ext>
          </a:extLst>
        </xdr:cNvPr>
        <xdr:cNvCxnSpPr>
          <a:endCxn id="2" idx="1"/>
        </xdr:cNvCxnSpPr>
      </xdr:nvCxnSpPr>
      <xdr:spPr>
        <a:xfrm flipV="1">
          <a:off x="4983480" y="3054750"/>
          <a:ext cx="883920" cy="160890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541021</xdr:colOff>
      <xdr:row>20</xdr:row>
      <xdr:rowOff>99061</xdr:rowOff>
    </xdr:from>
    <xdr:to>
      <xdr:col>10</xdr:col>
      <xdr:colOff>1466035</xdr:colOff>
      <xdr:row>36</xdr:row>
      <xdr:rowOff>160099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7E6838E-83B6-4BC9-A815-A9CE9AA1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8981" y="3771901"/>
          <a:ext cx="4887414" cy="2987118"/>
        </a:xfrm>
        <a:prstGeom prst="rect">
          <a:avLst/>
        </a:prstGeom>
      </xdr:spPr>
    </xdr:pic>
    <xdr:clientData/>
  </xdr:twoCellAnchor>
  <xdr:twoCellAnchor editAs="oneCell">
    <xdr:from>
      <xdr:col>5</xdr:col>
      <xdr:colOff>365760</xdr:colOff>
      <xdr:row>36</xdr:row>
      <xdr:rowOff>130940</xdr:rowOff>
    </xdr:from>
    <xdr:to>
      <xdr:col>8</xdr:col>
      <xdr:colOff>385461</xdr:colOff>
      <xdr:row>47</xdr:row>
      <xdr:rowOff>27188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A1454D-6937-4F45-B725-DA8CE039E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3720" y="6889880"/>
          <a:ext cx="2397141" cy="1907928"/>
        </a:xfrm>
        <a:prstGeom prst="rect">
          <a:avLst/>
        </a:prstGeom>
      </xdr:spPr>
    </xdr:pic>
    <xdr:clientData/>
  </xdr:twoCellAnchor>
  <xdr:twoCellAnchor editAs="oneCell">
    <xdr:from>
      <xdr:col>3</xdr:col>
      <xdr:colOff>114299</xdr:colOff>
      <xdr:row>26</xdr:row>
      <xdr:rowOff>110595</xdr:rowOff>
    </xdr:from>
    <xdr:to>
      <xdr:col>5</xdr:col>
      <xdr:colOff>28818</xdr:colOff>
      <xdr:row>30</xdr:row>
      <xdr:rowOff>59166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FA2A3F2-B568-4D1A-840E-27069545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67299" y="4880715"/>
          <a:ext cx="1499479" cy="680091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31</xdr:row>
      <xdr:rowOff>106680</xdr:rowOff>
    </xdr:from>
    <xdr:to>
      <xdr:col>5</xdr:col>
      <xdr:colOff>129758</xdr:colOff>
      <xdr:row>33</xdr:row>
      <xdr:rowOff>55289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C426254-C99C-4723-A165-9DF68B621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05400" y="5791200"/>
          <a:ext cx="1562318" cy="314369"/>
        </a:xfrm>
        <a:prstGeom prst="rect">
          <a:avLst/>
        </a:prstGeom>
      </xdr:spPr>
    </xdr:pic>
    <xdr:clientData/>
  </xdr:twoCellAnchor>
  <xdr:twoCellAnchor editAs="oneCell">
    <xdr:from>
      <xdr:col>3</xdr:col>
      <xdr:colOff>463163</xdr:colOff>
      <xdr:row>38</xdr:row>
      <xdr:rowOff>68580</xdr:rowOff>
    </xdr:from>
    <xdr:to>
      <xdr:col>5</xdr:col>
      <xdr:colOff>289879</xdr:colOff>
      <xdr:row>42</xdr:row>
      <xdr:rowOff>13488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CBDA9AA-AC02-4A0F-B401-B0FC5B9D3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6163" y="7193280"/>
          <a:ext cx="1411676" cy="676428"/>
        </a:xfrm>
        <a:prstGeom prst="rect">
          <a:avLst/>
        </a:prstGeom>
      </xdr:spPr>
    </xdr:pic>
    <xdr:clientData/>
  </xdr:twoCellAnchor>
  <xdr:twoCellAnchor editAs="oneCell">
    <xdr:from>
      <xdr:col>3</xdr:col>
      <xdr:colOff>121920</xdr:colOff>
      <xdr:row>43</xdr:row>
      <xdr:rowOff>28977</xdr:rowOff>
    </xdr:from>
    <xdr:to>
      <xdr:col>5</xdr:col>
      <xdr:colOff>72680</xdr:colOff>
      <xdr:row>47</xdr:row>
      <xdr:rowOff>93495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9161974-F8CC-4B20-8F95-053F580DF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74920" y="8068077"/>
          <a:ext cx="1535720" cy="796038"/>
        </a:xfrm>
        <a:prstGeom prst="rect">
          <a:avLst/>
        </a:prstGeom>
      </xdr:spPr>
    </xdr:pic>
    <xdr:clientData/>
  </xdr:twoCellAnchor>
  <xdr:twoCellAnchor editAs="oneCell">
    <xdr:from>
      <xdr:col>3</xdr:col>
      <xdr:colOff>251460</xdr:colOff>
      <xdr:row>48</xdr:row>
      <xdr:rowOff>148261</xdr:rowOff>
    </xdr:from>
    <xdr:to>
      <xdr:col>5</xdr:col>
      <xdr:colOff>514720</xdr:colOff>
      <xdr:row>53</xdr:row>
      <xdr:rowOff>51599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67018EA-047B-490F-9B54-4E7BC6541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04460" y="9132241"/>
          <a:ext cx="1848220" cy="817738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64</xdr:row>
      <xdr:rowOff>81554</xdr:rowOff>
    </xdr:from>
    <xdr:to>
      <xdr:col>5</xdr:col>
      <xdr:colOff>209916</xdr:colOff>
      <xdr:row>68</xdr:row>
      <xdr:rowOff>121920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45CBFDE-CEE8-4D66-B772-D210E4E2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57800" y="12022094"/>
          <a:ext cx="1490076" cy="771886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75</xdr:row>
      <xdr:rowOff>22860</xdr:rowOff>
    </xdr:from>
    <xdr:to>
      <xdr:col>6</xdr:col>
      <xdr:colOff>152400</xdr:colOff>
      <xdr:row>78</xdr:row>
      <xdr:rowOff>31961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5A8A358-E1DC-40FB-9261-8C43016E2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20640" y="14005560"/>
          <a:ext cx="2362200" cy="557741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80</xdr:row>
      <xdr:rowOff>137380</xdr:rowOff>
    </xdr:from>
    <xdr:to>
      <xdr:col>6</xdr:col>
      <xdr:colOff>99060</xdr:colOff>
      <xdr:row>86</xdr:row>
      <xdr:rowOff>117943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470E536-24D5-425B-8393-950FCC141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05400" y="15034480"/>
          <a:ext cx="2324100" cy="1077843"/>
        </a:xfrm>
        <a:prstGeom prst="rect">
          <a:avLst/>
        </a:prstGeom>
      </xdr:spPr>
    </xdr:pic>
    <xdr:clientData/>
  </xdr:twoCellAnchor>
  <xdr:twoCellAnchor editAs="oneCell">
    <xdr:from>
      <xdr:col>3</xdr:col>
      <xdr:colOff>205740</xdr:colOff>
      <xdr:row>96</xdr:row>
      <xdr:rowOff>57194</xdr:rowOff>
    </xdr:from>
    <xdr:to>
      <xdr:col>5</xdr:col>
      <xdr:colOff>341334</xdr:colOff>
      <xdr:row>101</xdr:row>
      <xdr:rowOff>40181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6419E77-DFB5-4FC8-BF10-60013E9BF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58740" y="17910854"/>
          <a:ext cx="1720554" cy="89738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5</xdr:col>
      <xdr:colOff>376177</xdr:colOff>
      <xdr:row>122</xdr:row>
      <xdr:rowOff>32316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1D36D3E-0CC0-4B17-AA7D-3ADC47EDC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45480" y="22501860"/>
          <a:ext cx="1168657" cy="215196"/>
        </a:xfrm>
        <a:prstGeom prst="rect">
          <a:avLst/>
        </a:prstGeom>
      </xdr:spPr>
    </xdr:pic>
    <xdr:clientData/>
  </xdr:twoCellAnchor>
  <xdr:twoCellAnchor editAs="oneCell">
    <xdr:from>
      <xdr:col>3</xdr:col>
      <xdr:colOff>540153</xdr:colOff>
      <xdr:row>119</xdr:row>
      <xdr:rowOff>106102</xdr:rowOff>
    </xdr:from>
    <xdr:to>
      <xdr:col>6</xdr:col>
      <xdr:colOff>482279</xdr:colOff>
      <xdr:row>120</xdr:row>
      <xdr:rowOff>113306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A0A2865-66EB-42F1-92DE-BF26797C3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93153" y="22242202"/>
          <a:ext cx="2319566" cy="190084"/>
        </a:xfrm>
        <a:prstGeom prst="rect">
          <a:avLst/>
        </a:prstGeom>
      </xdr:spPr>
    </xdr:pic>
    <xdr:clientData/>
  </xdr:twoCellAnchor>
  <xdr:twoCellAnchor>
    <xdr:from>
      <xdr:col>3</xdr:col>
      <xdr:colOff>28937</xdr:colOff>
      <xdr:row>120</xdr:row>
      <xdr:rowOff>18071</xdr:rowOff>
    </xdr:from>
    <xdr:to>
      <xdr:col>3</xdr:col>
      <xdr:colOff>540153</xdr:colOff>
      <xdr:row>120</xdr:row>
      <xdr:rowOff>106102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FEA9A14E-860A-4552-BE8C-6BE3C8082679}"/>
            </a:ext>
          </a:extLst>
        </xdr:cNvPr>
        <xdr:cNvCxnSpPr>
          <a:cxnSpLocks/>
          <a:endCxn id="16" idx="1"/>
        </xdr:cNvCxnSpPr>
      </xdr:nvCxnSpPr>
      <xdr:spPr>
        <a:xfrm flipV="1">
          <a:off x="4981937" y="22337051"/>
          <a:ext cx="511216" cy="88031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67519</xdr:colOff>
      <xdr:row>121</xdr:row>
      <xdr:rowOff>96456</xdr:rowOff>
    </xdr:from>
    <xdr:to>
      <xdr:col>4</xdr:col>
      <xdr:colOff>0</xdr:colOff>
      <xdr:row>121</xdr:row>
      <xdr:rowOff>107791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777E0630-CB5E-4CD9-881C-3EC3B912C46E}"/>
            </a:ext>
          </a:extLst>
        </xdr:cNvPr>
        <xdr:cNvCxnSpPr>
          <a:cxnSpLocks/>
          <a:endCxn id="15" idx="1"/>
        </xdr:cNvCxnSpPr>
      </xdr:nvCxnSpPr>
      <xdr:spPr>
        <a:xfrm>
          <a:off x="5020519" y="22598316"/>
          <a:ext cx="724961" cy="11335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472633</xdr:colOff>
      <xdr:row>123</xdr:row>
      <xdr:rowOff>120773</xdr:rowOff>
    </xdr:from>
    <xdr:to>
      <xdr:col>6</xdr:col>
      <xdr:colOff>419046</xdr:colOff>
      <xdr:row>125</xdr:row>
      <xdr:rowOff>48228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090C1E7-630C-4B28-A0EB-B2B983A0E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25633" y="22988393"/>
          <a:ext cx="2323853" cy="293215"/>
        </a:xfrm>
        <a:prstGeom prst="rect">
          <a:avLst/>
        </a:prstGeom>
      </xdr:spPr>
    </xdr:pic>
    <xdr:clientData/>
  </xdr:twoCellAnchor>
  <xdr:twoCellAnchor editAs="oneCell">
    <xdr:from>
      <xdr:col>3</xdr:col>
      <xdr:colOff>548640</xdr:colOff>
      <xdr:row>130</xdr:row>
      <xdr:rowOff>38100</xdr:rowOff>
    </xdr:from>
    <xdr:to>
      <xdr:col>5</xdr:col>
      <xdr:colOff>459314</xdr:colOff>
      <xdr:row>132</xdr:row>
      <xdr:rowOff>91498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B241A9B-E0B6-40AE-BA80-C960B7D88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01640" y="24185880"/>
          <a:ext cx="1495634" cy="419158"/>
        </a:xfrm>
        <a:prstGeom prst="rect">
          <a:avLst/>
        </a:prstGeom>
      </xdr:spPr>
    </xdr:pic>
    <xdr:clientData/>
  </xdr:twoCellAnchor>
  <xdr:twoCellAnchor editAs="oneCell">
    <xdr:from>
      <xdr:col>3</xdr:col>
      <xdr:colOff>472439</xdr:colOff>
      <xdr:row>137</xdr:row>
      <xdr:rowOff>175260</xdr:rowOff>
    </xdr:from>
    <xdr:to>
      <xdr:col>5</xdr:col>
      <xdr:colOff>382550</xdr:colOff>
      <xdr:row>140</xdr:row>
      <xdr:rowOff>121920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CA6F731-6FBE-4487-8CF0-4A671DD9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25439" y="25603200"/>
          <a:ext cx="1495071" cy="495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131</xdr:row>
      <xdr:rowOff>64799</xdr:rowOff>
    </xdr:from>
    <xdr:to>
      <xdr:col>3</xdr:col>
      <xdr:colOff>548640</xdr:colOff>
      <xdr:row>131</xdr:row>
      <xdr:rowOff>68580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AF9AC8D8-0C6B-4317-BBA3-DF2DD685251F}"/>
            </a:ext>
          </a:extLst>
        </xdr:cNvPr>
        <xdr:cNvCxnSpPr>
          <a:cxnSpLocks/>
          <a:endCxn id="20" idx="1"/>
        </xdr:cNvCxnSpPr>
      </xdr:nvCxnSpPr>
      <xdr:spPr>
        <a:xfrm flipV="1">
          <a:off x="4953000" y="24395459"/>
          <a:ext cx="548640" cy="3781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139</xdr:row>
      <xdr:rowOff>57150</xdr:rowOff>
    </xdr:from>
    <xdr:to>
      <xdr:col>3</xdr:col>
      <xdr:colOff>472439</xdr:colOff>
      <xdr:row>139</xdr:row>
      <xdr:rowOff>68580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802CFAE6-253E-434F-AD92-07F587A308BD}"/>
            </a:ext>
          </a:extLst>
        </xdr:cNvPr>
        <xdr:cNvCxnSpPr>
          <a:cxnSpLocks/>
          <a:endCxn id="21" idx="1"/>
        </xdr:cNvCxnSpPr>
      </xdr:nvCxnSpPr>
      <xdr:spPr>
        <a:xfrm flipV="1">
          <a:off x="4968240" y="25850850"/>
          <a:ext cx="457199" cy="11430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186690</xdr:colOff>
      <xdr:row>150</xdr:row>
      <xdr:rowOff>93345</xdr:rowOff>
    </xdr:from>
    <xdr:to>
      <xdr:col>10</xdr:col>
      <xdr:colOff>689791</xdr:colOff>
      <xdr:row>152</xdr:row>
      <xdr:rowOff>15280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128DCFC4-6DB8-4048-8692-FE9C7F898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787890" y="28272105"/>
          <a:ext cx="1295581" cy="287695"/>
        </a:xfrm>
        <a:prstGeom prst="rect">
          <a:avLst/>
        </a:prstGeom>
      </xdr:spPr>
    </xdr:pic>
    <xdr:clientData/>
  </xdr:twoCellAnchor>
  <xdr:twoCellAnchor editAs="oneCell">
    <xdr:from>
      <xdr:col>9</xdr:col>
      <xdr:colOff>353786</xdr:colOff>
      <xdr:row>156</xdr:row>
      <xdr:rowOff>78877</xdr:rowOff>
    </xdr:from>
    <xdr:to>
      <xdr:col>10</xdr:col>
      <xdr:colOff>1198605</xdr:colOff>
      <xdr:row>158</xdr:row>
      <xdr:rowOff>62649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D01D92C-70B4-4173-A1AE-E7BC39897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954986" y="29370157"/>
          <a:ext cx="1637299" cy="349532"/>
        </a:xfrm>
        <a:prstGeom prst="rect">
          <a:avLst/>
        </a:prstGeom>
      </xdr:spPr>
    </xdr:pic>
    <xdr:clientData/>
  </xdr:twoCellAnchor>
  <xdr:twoCellAnchor editAs="oneCell">
    <xdr:from>
      <xdr:col>9</xdr:col>
      <xdr:colOff>87086</xdr:colOff>
      <xdr:row>173</xdr:row>
      <xdr:rowOff>130629</xdr:rowOff>
    </xdr:from>
    <xdr:to>
      <xdr:col>10</xdr:col>
      <xdr:colOff>1338943</xdr:colOff>
      <xdr:row>175</xdr:row>
      <xdr:rowOff>42514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E8C34C9-E8DB-466B-96BC-F909217C7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688286" y="32576589"/>
          <a:ext cx="2044337" cy="277645"/>
        </a:xfrm>
        <a:prstGeom prst="rect">
          <a:avLst/>
        </a:prstGeom>
      </xdr:spPr>
    </xdr:pic>
    <xdr:clientData/>
  </xdr:twoCellAnchor>
  <xdr:twoCellAnchor editAs="oneCell">
    <xdr:from>
      <xdr:col>9</xdr:col>
      <xdr:colOff>272143</xdr:colOff>
      <xdr:row>178</xdr:row>
      <xdr:rowOff>163286</xdr:rowOff>
    </xdr:from>
    <xdr:to>
      <xdr:col>10</xdr:col>
      <xdr:colOff>1039804</xdr:colOff>
      <xdr:row>180</xdr:row>
      <xdr:rowOff>12278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F675BF3-45E2-4DAF-B3D5-1101E9F8E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873343" y="33523646"/>
          <a:ext cx="1560141" cy="214752"/>
        </a:xfrm>
        <a:prstGeom prst="rect">
          <a:avLst/>
        </a:prstGeom>
      </xdr:spPr>
    </xdr:pic>
    <xdr:clientData/>
  </xdr:twoCellAnchor>
  <xdr:twoCellAnchor editAs="oneCell">
    <xdr:from>
      <xdr:col>9</xdr:col>
      <xdr:colOff>21771</xdr:colOff>
      <xdr:row>183</xdr:row>
      <xdr:rowOff>130629</xdr:rowOff>
    </xdr:from>
    <xdr:to>
      <xdr:col>10</xdr:col>
      <xdr:colOff>1328057</xdr:colOff>
      <xdr:row>185</xdr:row>
      <xdr:rowOff>88788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69FA951-F8A4-46CC-8F21-DF7CA7F12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622971" y="34595889"/>
          <a:ext cx="2098766" cy="323919"/>
        </a:xfrm>
        <a:prstGeom prst="rect">
          <a:avLst/>
        </a:prstGeom>
      </xdr:spPr>
    </xdr:pic>
    <xdr:clientData/>
  </xdr:twoCellAnchor>
  <xdr:twoCellAnchor editAs="oneCell">
    <xdr:from>
      <xdr:col>9</xdr:col>
      <xdr:colOff>119743</xdr:colOff>
      <xdr:row>188</xdr:row>
      <xdr:rowOff>97971</xdr:rowOff>
    </xdr:from>
    <xdr:to>
      <xdr:col>10</xdr:col>
      <xdr:colOff>1366987</xdr:colOff>
      <xdr:row>190</xdr:row>
      <xdr:rowOff>80331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E2C0D56-EDE0-449A-B969-8D9F1ADA3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720943" y="35477631"/>
          <a:ext cx="2039724" cy="348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CBEB-243F-42FF-A7E5-EEBC3589921A}">
  <dimension ref="B2:D116"/>
  <sheetViews>
    <sheetView workbookViewId="0">
      <selection activeCell="K10" sqref="K10"/>
    </sheetView>
  </sheetViews>
  <sheetFormatPr baseColWidth="10" defaultRowHeight="14.4" x14ac:dyDescent="0.3"/>
  <cols>
    <col min="2" max="2" width="24.5546875" customWidth="1"/>
  </cols>
  <sheetData>
    <row r="2" spans="2:3" x14ac:dyDescent="0.3">
      <c r="B2" s="1" t="s">
        <v>0</v>
      </c>
      <c r="C2" s="1"/>
    </row>
    <row r="3" spans="2:3" x14ac:dyDescent="0.3">
      <c r="B3" s="2" t="s">
        <v>1</v>
      </c>
      <c r="C3" s="2">
        <v>6</v>
      </c>
    </row>
    <row r="4" spans="2:3" x14ac:dyDescent="0.3">
      <c r="B4" s="2" t="s">
        <v>2</v>
      </c>
      <c r="C4" s="2">
        <v>175</v>
      </c>
    </row>
    <row r="5" spans="2:3" x14ac:dyDescent="0.3">
      <c r="B5" s="2" t="s">
        <v>3</v>
      </c>
      <c r="C5" s="2">
        <v>200</v>
      </c>
    </row>
    <row r="6" spans="2:3" x14ac:dyDescent="0.3">
      <c r="B6" s="2" t="s">
        <v>4</v>
      </c>
      <c r="C6" s="2">
        <v>1000</v>
      </c>
    </row>
    <row r="7" spans="2:3" x14ac:dyDescent="0.3">
      <c r="B7" s="2" t="s">
        <v>5</v>
      </c>
      <c r="C7" s="2">
        <v>0.25</v>
      </c>
    </row>
    <row r="8" spans="2:3" x14ac:dyDescent="0.3">
      <c r="B8" s="2" t="s">
        <v>6</v>
      </c>
      <c r="C8" s="2">
        <v>10000</v>
      </c>
    </row>
    <row r="9" spans="2:3" x14ac:dyDescent="0.3">
      <c r="B9" s="2" t="s">
        <v>7</v>
      </c>
      <c r="C9" s="2">
        <v>250</v>
      </c>
    </row>
    <row r="10" spans="2:3" x14ac:dyDescent="0.3">
      <c r="B10" s="2" t="s">
        <v>8</v>
      </c>
      <c r="C10" s="2">
        <v>10</v>
      </c>
    </row>
    <row r="12" spans="2:3" x14ac:dyDescent="0.3">
      <c r="B12" s="1" t="s">
        <v>9</v>
      </c>
      <c r="C12" s="1"/>
    </row>
    <row r="13" spans="2:3" x14ac:dyDescent="0.3">
      <c r="B13" s="2" t="s">
        <v>10</v>
      </c>
      <c r="C13" s="2">
        <f>+(C3*C4)+C5</f>
        <v>1250</v>
      </c>
    </row>
    <row r="17" spans="2:3" x14ac:dyDescent="0.3">
      <c r="B17" s="3" t="s">
        <v>11</v>
      </c>
      <c r="C17" s="3"/>
    </row>
    <row r="18" spans="2:3" x14ac:dyDescent="0.3">
      <c r="B18" s="2" t="s">
        <v>12</v>
      </c>
      <c r="C18" s="2">
        <v>7900</v>
      </c>
    </row>
    <row r="21" spans="2:3" x14ac:dyDescent="0.3">
      <c r="B21" s="1" t="s">
        <v>13</v>
      </c>
      <c r="C21" s="1"/>
    </row>
    <row r="22" spans="2:3" ht="57.6" x14ac:dyDescent="0.3">
      <c r="B22" s="4" t="s">
        <v>14</v>
      </c>
      <c r="C22" s="5">
        <v>0.99199999999999999</v>
      </c>
    </row>
    <row r="23" spans="2:3" x14ac:dyDescent="0.3">
      <c r="B23" s="2" t="s">
        <v>15</v>
      </c>
      <c r="C23" s="2">
        <v>0.996</v>
      </c>
    </row>
    <row r="24" spans="2:3" x14ac:dyDescent="0.3">
      <c r="B24" s="2" t="s">
        <v>16</v>
      </c>
      <c r="C24" s="2">
        <v>0.996</v>
      </c>
    </row>
    <row r="25" spans="2:3" x14ac:dyDescent="0.3">
      <c r="B25" s="2" t="s">
        <v>17</v>
      </c>
      <c r="C25" s="2">
        <v>0.99</v>
      </c>
    </row>
    <row r="28" spans="2:3" x14ac:dyDescent="0.3">
      <c r="B28" s="6" t="s">
        <v>18</v>
      </c>
      <c r="C28" s="6"/>
    </row>
    <row r="29" spans="2:3" x14ac:dyDescent="0.3">
      <c r="B29" s="2" t="s">
        <v>19</v>
      </c>
      <c r="C29" s="2">
        <v>0.5</v>
      </c>
    </row>
    <row r="30" spans="2:3" ht="15.6" x14ac:dyDescent="0.35">
      <c r="B30" s="2" t="s">
        <v>20</v>
      </c>
      <c r="C30" s="2">
        <v>0.82</v>
      </c>
    </row>
    <row r="31" spans="2:3" x14ac:dyDescent="0.3">
      <c r="B31" s="2" t="s">
        <v>21</v>
      </c>
      <c r="C31" s="2">
        <v>11</v>
      </c>
    </row>
    <row r="32" spans="2:3" x14ac:dyDescent="0.3">
      <c r="B32" s="2" t="s">
        <v>4</v>
      </c>
      <c r="C32" s="2">
        <f>+C6</f>
        <v>1000</v>
      </c>
    </row>
    <row r="33" spans="2:3" x14ac:dyDescent="0.3">
      <c r="B33" s="2" t="s">
        <v>22</v>
      </c>
      <c r="C33" s="2">
        <f>+EXP((-C32)/(375*(C30/C29)*(C31)))</f>
        <v>0.86258665978162108</v>
      </c>
    </row>
    <row r="35" spans="2:3" x14ac:dyDescent="0.3">
      <c r="B35" s="2" t="s">
        <v>23</v>
      </c>
      <c r="C35" s="2">
        <v>0.99199999999999999</v>
      </c>
    </row>
    <row r="36" spans="2:3" ht="72" x14ac:dyDescent="0.3">
      <c r="B36" s="4" t="s">
        <v>24</v>
      </c>
      <c r="C36" s="2">
        <v>0.99199999999999999</v>
      </c>
    </row>
    <row r="38" spans="2:3" x14ac:dyDescent="0.3">
      <c r="B38" t="s">
        <v>25</v>
      </c>
      <c r="C38">
        <f>+PRODUCT(C22,C23,C24,C25,C33,C35,C36)</f>
        <v>0.82697356140074296</v>
      </c>
    </row>
    <row r="39" spans="2:3" ht="15.6" x14ac:dyDescent="0.35">
      <c r="B39" t="s">
        <v>26</v>
      </c>
      <c r="C39">
        <f>+((1-C38)*C18)*1.25</f>
        <v>1708.6360811676632</v>
      </c>
    </row>
    <row r="41" spans="2:3" x14ac:dyDescent="0.3">
      <c r="B41" s="1" t="s">
        <v>27</v>
      </c>
      <c r="C41" s="1"/>
    </row>
    <row r="42" spans="2:3" ht="15.6" x14ac:dyDescent="0.35">
      <c r="B42" s="2" t="s">
        <v>28</v>
      </c>
      <c r="C42" s="2">
        <f>+C18-C39-C13</f>
        <v>4941.3639188323368</v>
      </c>
    </row>
    <row r="44" spans="2:3" x14ac:dyDescent="0.3">
      <c r="B44" s="1" t="s">
        <v>29</v>
      </c>
      <c r="C44" s="1"/>
    </row>
    <row r="45" spans="2:3" ht="15.6" x14ac:dyDescent="0.35">
      <c r="B45" s="2" t="s">
        <v>30</v>
      </c>
      <c r="C45" s="2">
        <f>+C42-(0.005*C18)</f>
        <v>4901.8639188323368</v>
      </c>
    </row>
    <row r="47" spans="2:3" ht="15.6" x14ac:dyDescent="0.35">
      <c r="B47" s="1" t="s">
        <v>31</v>
      </c>
      <c r="C47" s="1"/>
    </row>
    <row r="48" spans="2:3" x14ac:dyDescent="0.3">
      <c r="B48" s="2" t="s">
        <v>32</v>
      </c>
      <c r="C48" s="2">
        <v>9.6600000000000005E-2</v>
      </c>
    </row>
    <row r="49" spans="2:3" x14ac:dyDescent="0.3">
      <c r="B49" s="2" t="s">
        <v>33</v>
      </c>
      <c r="C49" s="2">
        <v>1.0298</v>
      </c>
    </row>
    <row r="50" spans="2:3" ht="15.6" x14ac:dyDescent="0.35">
      <c r="B50" s="2" t="s">
        <v>34</v>
      </c>
      <c r="C50" s="2">
        <f>+POWER(10,(LOG10(C18)-C48)/C49)</f>
        <v>4909.4661506959483</v>
      </c>
    </row>
    <row r="52" spans="2:3" x14ac:dyDescent="0.3">
      <c r="B52" s="1" t="s">
        <v>35</v>
      </c>
      <c r="C52" s="1"/>
    </row>
    <row r="53" spans="2:3" x14ac:dyDescent="0.3">
      <c r="B53" s="7" t="s">
        <v>36</v>
      </c>
      <c r="C53" s="7"/>
    </row>
    <row r="54" spans="2:3" x14ac:dyDescent="0.3">
      <c r="B54" s="2" t="s">
        <v>37</v>
      </c>
      <c r="C54" s="2">
        <f>+(ABS(C45-C50)/ABS(C50))*100</f>
        <v>0.15484844238174011</v>
      </c>
    </row>
    <row r="57" spans="2:3" x14ac:dyDescent="0.3">
      <c r="B57" s="1" t="s">
        <v>38</v>
      </c>
      <c r="C57" s="1"/>
    </row>
    <row r="58" spans="2:3" x14ac:dyDescent="0.3">
      <c r="B58" s="2" t="s">
        <v>39</v>
      </c>
      <c r="C58" s="2">
        <f>+C18</f>
        <v>7900</v>
      </c>
    </row>
    <row r="59" spans="2:3" ht="15.6" x14ac:dyDescent="0.35">
      <c r="B59" s="2" t="s">
        <v>40</v>
      </c>
      <c r="C59" s="2">
        <f>+C50</f>
        <v>4909.4661506959483</v>
      </c>
    </row>
    <row r="60" spans="2:3" ht="15.6" x14ac:dyDescent="0.35">
      <c r="B60" s="2" t="s">
        <v>41</v>
      </c>
      <c r="C60" s="2">
        <f>+C39</f>
        <v>1708.6360811676632</v>
      </c>
    </row>
    <row r="62" spans="2:3" x14ac:dyDescent="0.3">
      <c r="B62" s="1" t="s">
        <v>42</v>
      </c>
      <c r="C62" s="1"/>
    </row>
    <row r="63" spans="2:3" x14ac:dyDescent="0.3">
      <c r="B63" s="2" t="s">
        <v>43</v>
      </c>
      <c r="C63" s="2">
        <f>+C48</f>
        <v>9.6600000000000005E-2</v>
      </c>
    </row>
    <row r="64" spans="2:3" x14ac:dyDescent="0.3">
      <c r="B64" s="2" t="s">
        <v>33</v>
      </c>
      <c r="C64" s="2">
        <f>+C49</f>
        <v>1.0298</v>
      </c>
    </row>
    <row r="65" spans="2:3" x14ac:dyDescent="0.3">
      <c r="B65" s="2" t="s">
        <v>44</v>
      </c>
      <c r="C65" s="2">
        <f>1-((1+0.25)*(1-C38))-0.005</f>
        <v>0.7787169517509287</v>
      </c>
    </row>
    <row r="66" spans="2:3" x14ac:dyDescent="0.3">
      <c r="B66" s="2" t="s">
        <v>45</v>
      </c>
      <c r="C66" s="2">
        <f>+C13</f>
        <v>1250</v>
      </c>
    </row>
    <row r="68" spans="2:3" x14ac:dyDescent="0.3">
      <c r="B68" s="2" t="s">
        <v>46</v>
      </c>
      <c r="C68" s="2">
        <v>7935</v>
      </c>
    </row>
    <row r="69" spans="2:3" x14ac:dyDescent="0.3">
      <c r="B69" s="2" t="s">
        <v>47</v>
      </c>
      <c r="C69" s="2">
        <f>+POWER(10,C63+(C64*LOG10(C65*C68-C66)))</f>
        <v>7932.5684710372952</v>
      </c>
    </row>
    <row r="70" spans="2:3" x14ac:dyDescent="0.3">
      <c r="B70" s="2" t="s">
        <v>48</v>
      </c>
      <c r="C70" s="2">
        <f>+(ABS(C68-C69)/ABS(C69))*100</f>
        <v>3.0652479982776669E-2</v>
      </c>
    </row>
    <row r="73" spans="2:3" x14ac:dyDescent="0.3">
      <c r="B73" s="1" t="s">
        <v>49</v>
      </c>
      <c r="C73" s="1"/>
    </row>
    <row r="75" spans="2:3" x14ac:dyDescent="0.3">
      <c r="B75" t="s">
        <v>50</v>
      </c>
      <c r="C75">
        <f>+(-C64*(C68^2)*C38*(1+C7))/(C65*C68*(1-C64)-C66)</f>
        <v>46736.643716260391</v>
      </c>
    </row>
    <row r="77" spans="2:3" x14ac:dyDescent="0.3">
      <c r="B77" s="1" t="s">
        <v>51</v>
      </c>
      <c r="C77" s="1"/>
    </row>
    <row r="78" spans="2:3" x14ac:dyDescent="0.3">
      <c r="B78" s="2" t="s">
        <v>19</v>
      </c>
      <c r="C78" s="2">
        <v>0.5</v>
      </c>
    </row>
    <row r="79" spans="2:3" ht="15.6" x14ac:dyDescent="0.35">
      <c r="B79" s="2" t="s">
        <v>20</v>
      </c>
      <c r="C79" s="2">
        <v>0.82</v>
      </c>
    </row>
    <row r="80" spans="2:3" x14ac:dyDescent="0.3">
      <c r="B80" s="2" t="s">
        <v>21</v>
      </c>
      <c r="C80" s="2">
        <v>11</v>
      </c>
    </row>
    <row r="81" spans="2:4" x14ac:dyDescent="0.3">
      <c r="B81" s="2" t="s">
        <v>52</v>
      </c>
      <c r="C81" s="2">
        <f>+C75*C78/(375*C79*C80)</f>
        <v>6.9085947843696065</v>
      </c>
    </row>
    <row r="83" spans="2:4" x14ac:dyDescent="0.3">
      <c r="B83" s="7" t="s">
        <v>53</v>
      </c>
      <c r="C83" s="7"/>
      <c r="D83" s="7"/>
    </row>
    <row r="84" spans="2:4" x14ac:dyDescent="0.3">
      <c r="B84" s="7"/>
      <c r="C84" s="7"/>
      <c r="D84" s="7"/>
    </row>
    <row r="85" spans="2:4" x14ac:dyDescent="0.3">
      <c r="B85" s="7"/>
      <c r="C85" s="7"/>
      <c r="D85" s="7"/>
    </row>
    <row r="86" spans="2:4" x14ac:dyDescent="0.3">
      <c r="B86" s="7"/>
      <c r="C86" s="7"/>
      <c r="D86" s="7"/>
    </row>
    <row r="88" spans="2:4" x14ac:dyDescent="0.3">
      <c r="B88" s="1" t="s">
        <v>54</v>
      </c>
      <c r="C88" s="1"/>
    </row>
    <row r="89" spans="2:4" x14ac:dyDescent="0.3">
      <c r="B89" s="2" t="s">
        <v>19</v>
      </c>
      <c r="C89" s="2">
        <v>0.5</v>
      </c>
    </row>
    <row r="90" spans="2:4" ht="15.6" x14ac:dyDescent="0.35">
      <c r="B90" s="2" t="s">
        <v>20</v>
      </c>
      <c r="C90" s="2">
        <v>0.82</v>
      </c>
    </row>
    <row r="91" spans="2:4" x14ac:dyDescent="0.3">
      <c r="B91" s="2" t="s">
        <v>21</v>
      </c>
      <c r="C91" s="2">
        <v>11</v>
      </c>
    </row>
    <row r="92" spans="2:4" x14ac:dyDescent="0.3">
      <c r="B92" s="2" t="s">
        <v>55</v>
      </c>
      <c r="C92" s="2">
        <f>+C75*(C6/(375*C90*C91))</f>
        <v>13817.189568739215</v>
      </c>
    </row>
    <row r="94" spans="2:4" x14ac:dyDescent="0.3">
      <c r="B94" s="7" t="s">
        <v>56</v>
      </c>
      <c r="C94" s="7"/>
    </row>
    <row r="95" spans="2:4" x14ac:dyDescent="0.3">
      <c r="B95" s="7"/>
      <c r="C95" s="7"/>
    </row>
    <row r="96" spans="2:4" x14ac:dyDescent="0.3">
      <c r="B96" s="7"/>
      <c r="C96" s="7"/>
    </row>
    <row r="98" spans="2:3" x14ac:dyDescent="0.3">
      <c r="B98" s="1" t="s">
        <v>57</v>
      </c>
      <c r="C98" s="1"/>
    </row>
    <row r="99" spans="2:3" x14ac:dyDescent="0.3">
      <c r="B99" s="2" t="s">
        <v>19</v>
      </c>
      <c r="C99" s="2">
        <v>0.5</v>
      </c>
    </row>
    <row r="100" spans="2:3" ht="15.6" x14ac:dyDescent="0.35">
      <c r="B100" s="2" t="s">
        <v>20</v>
      </c>
      <c r="C100" s="2">
        <v>0.82</v>
      </c>
    </row>
    <row r="101" spans="2:3" x14ac:dyDescent="0.3">
      <c r="B101" s="2" t="s">
        <v>21</v>
      </c>
      <c r="C101" s="2">
        <v>11</v>
      </c>
    </row>
    <row r="102" spans="2:3" x14ac:dyDescent="0.3">
      <c r="B102" s="2" t="s">
        <v>58</v>
      </c>
      <c r="C102" s="2">
        <f>+C75*(-C6*C99)/(375*(C100^2)*C101)</f>
        <v>-8425.1155906946424</v>
      </c>
    </row>
    <row r="104" spans="2:3" x14ac:dyDescent="0.3">
      <c r="B104" s="7" t="s">
        <v>59</v>
      </c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8" spans="2:3" x14ac:dyDescent="0.3">
      <c r="B108" s="1" t="s">
        <v>60</v>
      </c>
      <c r="C108" s="1"/>
    </row>
    <row r="109" spans="2:3" x14ac:dyDescent="0.3">
      <c r="B109" s="2" t="s">
        <v>19</v>
      </c>
      <c r="C109" s="2">
        <v>0.5</v>
      </c>
    </row>
    <row r="110" spans="2:3" ht="15.6" x14ac:dyDescent="0.35">
      <c r="B110" s="2" t="s">
        <v>20</v>
      </c>
      <c r="C110" s="2">
        <v>0.82</v>
      </c>
    </row>
    <row r="111" spans="2:3" x14ac:dyDescent="0.3">
      <c r="B111" s="2" t="s">
        <v>21</v>
      </c>
      <c r="C111" s="2">
        <v>11</v>
      </c>
    </row>
    <row r="112" spans="2:3" x14ac:dyDescent="0.3">
      <c r="B112" s="2" t="s">
        <v>61</v>
      </c>
      <c r="C112" s="2">
        <f>+(C75*(-C6*C109))/(375*C110*(C111^2))</f>
        <v>-628.05407130632784</v>
      </c>
    </row>
    <row r="114" spans="2:3" x14ac:dyDescent="0.3">
      <c r="B114" s="7" t="s">
        <v>62</v>
      </c>
      <c r="C114" s="7"/>
    </row>
    <row r="115" spans="2:3" x14ac:dyDescent="0.3">
      <c r="B115" s="7"/>
      <c r="C115" s="7"/>
    </row>
    <row r="116" spans="2:3" x14ac:dyDescent="0.3">
      <c r="B116" s="7"/>
      <c r="C116" s="7"/>
    </row>
  </sheetData>
  <mergeCells count="21">
    <mergeCell ref="B104:C106"/>
    <mergeCell ref="B108:C108"/>
    <mergeCell ref="B114:C116"/>
    <mergeCell ref="B73:C73"/>
    <mergeCell ref="B77:C77"/>
    <mergeCell ref="B83:D86"/>
    <mergeCell ref="B88:C88"/>
    <mergeCell ref="B94:C96"/>
    <mergeCell ref="B98:C98"/>
    <mergeCell ref="B44:C44"/>
    <mergeCell ref="B47:C47"/>
    <mergeCell ref="B52:C52"/>
    <mergeCell ref="B53:C53"/>
    <mergeCell ref="B57:C57"/>
    <mergeCell ref="B62:C62"/>
    <mergeCell ref="B2:C2"/>
    <mergeCell ref="B12:C12"/>
    <mergeCell ref="B17:C17"/>
    <mergeCell ref="B21:C21"/>
    <mergeCell ref="B28:C28"/>
    <mergeCell ref="B41:C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5E4C-5EDF-4624-A8B6-AE4D290D488E}">
  <dimension ref="B2:K191"/>
  <sheetViews>
    <sheetView tabSelected="1" topLeftCell="A169" workbookViewId="0">
      <selection activeCell="I180" sqref="I180"/>
    </sheetView>
  </sheetViews>
  <sheetFormatPr baseColWidth="10" defaultRowHeight="14.4" x14ac:dyDescent="0.3"/>
  <cols>
    <col min="2" max="2" width="28.33203125" customWidth="1"/>
    <col min="3" max="3" width="20.44140625" customWidth="1"/>
    <col min="11" max="11" width="23.33203125" customWidth="1"/>
  </cols>
  <sheetData>
    <row r="2" spans="2:3" x14ac:dyDescent="0.3">
      <c r="B2" s="8" t="s">
        <v>63</v>
      </c>
      <c r="C2" s="8"/>
    </row>
    <row r="3" spans="2:3" x14ac:dyDescent="0.3">
      <c r="B3" s="2" t="s">
        <v>64</v>
      </c>
      <c r="C3" s="2">
        <v>20</v>
      </c>
    </row>
    <row r="4" spans="2:3" x14ac:dyDescent="0.3">
      <c r="B4" s="2" t="s">
        <v>2</v>
      </c>
      <c r="C4" s="2">
        <v>500</v>
      </c>
    </row>
    <row r="5" spans="2:3" x14ac:dyDescent="0.3">
      <c r="B5" s="2" t="s">
        <v>65</v>
      </c>
      <c r="C5" s="2">
        <v>2000</v>
      </c>
    </row>
    <row r="6" spans="2:3" x14ac:dyDescent="0.3">
      <c r="B6" s="2" t="s">
        <v>66</v>
      </c>
      <c r="C6" s="2">
        <v>200</v>
      </c>
    </row>
    <row r="7" spans="2:3" x14ac:dyDescent="0.3">
      <c r="B7" s="2" t="s">
        <v>67</v>
      </c>
      <c r="C7" s="2">
        <v>400</v>
      </c>
    </row>
    <row r="8" spans="2:3" x14ac:dyDescent="0.3">
      <c r="B8" s="2" t="s">
        <v>68</v>
      </c>
      <c r="C8" s="2">
        <v>450</v>
      </c>
    </row>
    <row r="9" spans="2:3" x14ac:dyDescent="0.3">
      <c r="B9" s="2" t="s">
        <v>69</v>
      </c>
      <c r="C9" s="2">
        <v>0.8</v>
      </c>
    </row>
    <row r="10" spans="2:3" x14ac:dyDescent="0.3">
      <c r="B10" s="2" t="s">
        <v>70</v>
      </c>
      <c r="C10" s="2">
        <v>0.85</v>
      </c>
    </row>
    <row r="11" spans="2:3" x14ac:dyDescent="0.3">
      <c r="B11" s="2" t="s">
        <v>8</v>
      </c>
      <c r="C11" s="2">
        <v>8</v>
      </c>
    </row>
    <row r="12" spans="2:3" x14ac:dyDescent="0.3">
      <c r="B12" s="2" t="s">
        <v>71</v>
      </c>
      <c r="C12" s="2">
        <v>500</v>
      </c>
    </row>
    <row r="14" spans="2:3" x14ac:dyDescent="0.3">
      <c r="B14" s="9" t="s">
        <v>72</v>
      </c>
      <c r="C14" s="9"/>
    </row>
    <row r="15" spans="2:3" x14ac:dyDescent="0.3">
      <c r="B15" s="2" t="s">
        <v>10</v>
      </c>
      <c r="C15" s="2">
        <f>+C3*C4+C5</f>
        <v>12000</v>
      </c>
    </row>
    <row r="17" spans="2:3" x14ac:dyDescent="0.3">
      <c r="B17" s="9" t="s">
        <v>11</v>
      </c>
      <c r="C17" s="9"/>
    </row>
    <row r="18" spans="2:3" ht="15.6" x14ac:dyDescent="0.35">
      <c r="B18" s="2" t="s">
        <v>73</v>
      </c>
      <c r="C18" s="2">
        <v>64000</v>
      </c>
    </row>
    <row r="20" spans="2:3" x14ac:dyDescent="0.3">
      <c r="B20" s="9" t="s">
        <v>74</v>
      </c>
      <c r="C20" s="9"/>
    </row>
    <row r="21" spans="2:3" x14ac:dyDescent="0.3">
      <c r="B21" t="s">
        <v>14</v>
      </c>
      <c r="C21">
        <v>0.99</v>
      </c>
    </row>
    <row r="22" spans="2:3" x14ac:dyDescent="0.3">
      <c r="B22" t="s">
        <v>15</v>
      </c>
      <c r="C22">
        <v>0.99</v>
      </c>
    </row>
    <row r="23" spans="2:3" x14ac:dyDescent="0.3">
      <c r="B23" t="s">
        <v>16</v>
      </c>
      <c r="C23">
        <v>0.99</v>
      </c>
    </row>
    <row r="24" spans="2:3" x14ac:dyDescent="0.3">
      <c r="B24" t="s">
        <v>75</v>
      </c>
      <c r="C24">
        <v>0.97099999999999997</v>
      </c>
    </row>
    <row r="26" spans="2:3" x14ac:dyDescent="0.3">
      <c r="B26" s="10" t="s">
        <v>76</v>
      </c>
      <c r="C26" s="10"/>
    </row>
    <row r="27" spans="2:3" x14ac:dyDescent="0.3">
      <c r="B27" t="s">
        <v>77</v>
      </c>
      <c r="C27">
        <v>350</v>
      </c>
    </row>
    <row r="28" spans="2:3" x14ac:dyDescent="0.3">
      <c r="B28" t="s">
        <v>78</v>
      </c>
      <c r="C28">
        <v>500</v>
      </c>
    </row>
    <row r="29" spans="2:3" x14ac:dyDescent="0.3">
      <c r="B29" t="s">
        <v>79</v>
      </c>
      <c r="C29">
        <f>+C28/101.3</f>
        <v>4.9358341559723593</v>
      </c>
    </row>
    <row r="30" spans="2:3" x14ac:dyDescent="0.3">
      <c r="B30" t="s">
        <v>80</v>
      </c>
      <c r="C30">
        <f>+SQRT((C27^2)-(C29^2))</f>
        <v>349.96519475682828</v>
      </c>
    </row>
    <row r="32" spans="2:3" x14ac:dyDescent="0.3">
      <c r="B32" t="s">
        <v>81</v>
      </c>
    </row>
    <row r="33" spans="2:3" x14ac:dyDescent="0.3">
      <c r="B33" t="s">
        <v>82</v>
      </c>
      <c r="C33">
        <f>+C30*C11/60</f>
        <v>46.662025967577101</v>
      </c>
    </row>
    <row r="35" spans="2:3" ht="115.2" x14ac:dyDescent="0.3">
      <c r="B35" s="11" t="s">
        <v>83</v>
      </c>
    </row>
    <row r="36" spans="2:3" x14ac:dyDescent="0.3">
      <c r="B36" t="s">
        <v>84</v>
      </c>
      <c r="C36">
        <v>300</v>
      </c>
    </row>
    <row r="37" spans="2:3" x14ac:dyDescent="0.3">
      <c r="B37" t="s">
        <v>85</v>
      </c>
      <c r="C37">
        <f>+C36-C33</f>
        <v>253.33797403242289</v>
      </c>
    </row>
    <row r="38" spans="2:3" x14ac:dyDescent="0.3">
      <c r="B38" t="s">
        <v>86</v>
      </c>
      <c r="C38">
        <v>459</v>
      </c>
    </row>
    <row r="39" spans="2:3" x14ac:dyDescent="0.3">
      <c r="B39" t="s">
        <v>87</v>
      </c>
      <c r="C39">
        <v>0.6</v>
      </c>
    </row>
    <row r="40" spans="2:3" x14ac:dyDescent="0.3">
      <c r="B40" t="s">
        <v>88</v>
      </c>
      <c r="C40">
        <v>7</v>
      </c>
    </row>
    <row r="41" spans="2:3" x14ac:dyDescent="0.3">
      <c r="B41" t="s">
        <v>89</v>
      </c>
      <c r="C41">
        <f>+EXP((-C37)/((C38/C39)*C40))</f>
        <v>0.95379293665438269</v>
      </c>
    </row>
    <row r="43" spans="2:3" x14ac:dyDescent="0.3">
      <c r="B43" t="s">
        <v>90</v>
      </c>
    </row>
    <row r="44" spans="2:3" x14ac:dyDescent="0.3">
      <c r="B44" t="s">
        <v>91</v>
      </c>
      <c r="C44">
        <v>0.6</v>
      </c>
    </row>
    <row r="45" spans="2:3" x14ac:dyDescent="0.3">
      <c r="B45" t="s">
        <v>21</v>
      </c>
      <c r="C45">
        <v>9</v>
      </c>
    </row>
    <row r="46" spans="2:3" ht="15.6" x14ac:dyDescent="0.35">
      <c r="B46" t="s">
        <v>92</v>
      </c>
      <c r="C46">
        <v>30</v>
      </c>
    </row>
    <row r="47" spans="2:3" ht="15.6" x14ac:dyDescent="0.35">
      <c r="B47" t="s">
        <v>93</v>
      </c>
      <c r="C47">
        <f>+C46/60</f>
        <v>0.5</v>
      </c>
    </row>
    <row r="48" spans="2:3" x14ac:dyDescent="0.3">
      <c r="B48" t="s">
        <v>94</v>
      </c>
      <c r="C48">
        <f>+EXP((-C47)/((1/C44)*C45))</f>
        <v>0.9672161004820059</v>
      </c>
    </row>
    <row r="50" spans="2:3" x14ac:dyDescent="0.3">
      <c r="B50" t="s">
        <v>95</v>
      </c>
      <c r="C50">
        <v>0.99</v>
      </c>
    </row>
    <row r="52" spans="2:3" ht="15.6" x14ac:dyDescent="0.35">
      <c r="B52" t="s">
        <v>96</v>
      </c>
      <c r="C52">
        <v>100</v>
      </c>
    </row>
    <row r="53" spans="2:3" ht="15.6" x14ac:dyDescent="0.35">
      <c r="B53" t="s">
        <v>97</v>
      </c>
      <c r="C53">
        <v>400</v>
      </c>
    </row>
    <row r="54" spans="2:3" x14ac:dyDescent="0.3">
      <c r="B54" t="s">
        <v>98</v>
      </c>
      <c r="C54">
        <v>0.9</v>
      </c>
    </row>
    <row r="55" spans="2:3" x14ac:dyDescent="0.3">
      <c r="B55" t="s">
        <v>99</v>
      </c>
      <c r="C55">
        <v>4.5</v>
      </c>
    </row>
    <row r="56" spans="2:3" x14ac:dyDescent="0.3">
      <c r="B56" t="s">
        <v>100</v>
      </c>
      <c r="C56">
        <f>+EXP((-C52)/((C53/C54)*C55))</f>
        <v>0.95122942450071402</v>
      </c>
    </row>
    <row r="58" spans="2:3" x14ac:dyDescent="0.3">
      <c r="B58" t="s">
        <v>101</v>
      </c>
      <c r="C58">
        <v>1</v>
      </c>
    </row>
    <row r="60" spans="2:3" x14ac:dyDescent="0.3">
      <c r="B60" t="s">
        <v>102</v>
      </c>
    </row>
    <row r="61" spans="2:3" x14ac:dyDescent="0.3">
      <c r="B61" t="s">
        <v>103</v>
      </c>
      <c r="C61">
        <f>+PRODUCT(C21,C22,C23,C24,C41,C48,C50,C56,C58)</f>
        <v>0.81850795267354604</v>
      </c>
    </row>
    <row r="62" spans="2:3" x14ac:dyDescent="0.3">
      <c r="B62" t="s">
        <v>104</v>
      </c>
      <c r="C62">
        <f>1-C61</f>
        <v>0.18149204732645396</v>
      </c>
    </row>
    <row r="63" spans="2:3" x14ac:dyDescent="0.3">
      <c r="B63" t="s">
        <v>105</v>
      </c>
      <c r="C63">
        <f>+C61*C18</f>
        <v>52384.508971106945</v>
      </c>
    </row>
    <row r="64" spans="2:3" x14ac:dyDescent="0.3">
      <c r="B64" t="s">
        <v>106</v>
      </c>
      <c r="C64">
        <f>+C63-(C3*C4)</f>
        <v>42384.508971106945</v>
      </c>
    </row>
    <row r="66" spans="2:3" x14ac:dyDescent="0.3">
      <c r="B66" t="s">
        <v>107</v>
      </c>
    </row>
    <row r="67" spans="2:3" x14ac:dyDescent="0.3">
      <c r="B67" t="s">
        <v>91</v>
      </c>
      <c r="C67">
        <v>0.9</v>
      </c>
    </row>
    <row r="68" spans="2:3" x14ac:dyDescent="0.3">
      <c r="B68" t="s">
        <v>21</v>
      </c>
      <c r="C68">
        <v>4.5</v>
      </c>
    </row>
    <row r="69" spans="2:3" ht="15.6" x14ac:dyDescent="0.35">
      <c r="B69" t="s">
        <v>108</v>
      </c>
      <c r="C69">
        <v>5</v>
      </c>
    </row>
    <row r="70" spans="2:3" ht="15.6" x14ac:dyDescent="0.35">
      <c r="B70" t="s">
        <v>109</v>
      </c>
      <c r="C70">
        <f>+C69/60</f>
        <v>8.3333333333333329E-2</v>
      </c>
    </row>
    <row r="71" spans="2:3" x14ac:dyDescent="0.3">
      <c r="B71" t="s">
        <v>110</v>
      </c>
      <c r="C71">
        <f>+EXP((-C70)/((1/C67)*C68))</f>
        <v>0.98347145382161749</v>
      </c>
    </row>
    <row r="73" spans="2:3" x14ac:dyDescent="0.3">
      <c r="B73" t="s">
        <v>111</v>
      </c>
    </row>
    <row r="74" spans="2:3" x14ac:dyDescent="0.3">
      <c r="B74" t="s">
        <v>112</v>
      </c>
      <c r="C74">
        <f>+C64/C63</f>
        <v>0.80910387065925216</v>
      </c>
    </row>
    <row r="75" spans="2:3" x14ac:dyDescent="0.3">
      <c r="B75" t="s">
        <v>113</v>
      </c>
      <c r="C75">
        <f>+(1-(1-C71)*C74)</f>
        <v>0.98662668931070052</v>
      </c>
    </row>
    <row r="77" spans="2:3" x14ac:dyDescent="0.3">
      <c r="B77" t="s">
        <v>114</v>
      </c>
      <c r="C77">
        <f>+C64-(C64*(1-C71))</f>
        <v>41683.954657329938</v>
      </c>
    </row>
    <row r="79" spans="2:3" x14ac:dyDescent="0.3">
      <c r="B79" t="s">
        <v>115</v>
      </c>
    </row>
    <row r="80" spans="2:3" x14ac:dyDescent="0.3">
      <c r="B80" t="s">
        <v>116</v>
      </c>
      <c r="C80">
        <f>+C77-C5</f>
        <v>39683.954657329938</v>
      </c>
    </row>
    <row r="82" spans="2:3" x14ac:dyDescent="0.3">
      <c r="B82" t="s">
        <v>117</v>
      </c>
    </row>
    <row r="83" spans="2:3" ht="15.6" x14ac:dyDescent="0.35">
      <c r="B83" t="s">
        <v>118</v>
      </c>
      <c r="C83">
        <v>100</v>
      </c>
    </row>
    <row r="84" spans="2:3" ht="15.6" x14ac:dyDescent="0.35">
      <c r="B84" t="s">
        <v>119</v>
      </c>
      <c r="C84">
        <v>450</v>
      </c>
    </row>
    <row r="85" spans="2:3" x14ac:dyDescent="0.3">
      <c r="B85" t="s">
        <v>91</v>
      </c>
      <c r="C85">
        <v>0.9</v>
      </c>
    </row>
    <row r="86" spans="2:3" x14ac:dyDescent="0.3">
      <c r="B86" t="s">
        <v>99</v>
      </c>
      <c r="C86">
        <v>5.5</v>
      </c>
    </row>
    <row r="87" spans="2:3" x14ac:dyDescent="0.3">
      <c r="B87" t="s">
        <v>120</v>
      </c>
      <c r="C87">
        <f>+EXP((-C83)/((C84/C85)*C86))</f>
        <v>0.96428957896472445</v>
      </c>
    </row>
    <row r="89" spans="2:3" x14ac:dyDescent="0.3">
      <c r="B89" t="s">
        <v>121</v>
      </c>
      <c r="C89">
        <f>+C80/C77</f>
        <v>0.95201990750538568</v>
      </c>
    </row>
    <row r="90" spans="2:3" x14ac:dyDescent="0.3">
      <c r="B90" t="s">
        <v>122</v>
      </c>
      <c r="C90">
        <f>1-((1-C87)*C89)</f>
        <v>0.96600296826901855</v>
      </c>
    </row>
    <row r="92" spans="2:3" x14ac:dyDescent="0.3">
      <c r="B92" t="s">
        <v>123</v>
      </c>
    </row>
    <row r="93" spans="2:3" x14ac:dyDescent="0.3">
      <c r="B93" t="s">
        <v>124</v>
      </c>
      <c r="C93">
        <v>0.96899999999999997</v>
      </c>
    </row>
    <row r="94" spans="2:3" x14ac:dyDescent="0.3">
      <c r="B94" t="s">
        <v>125</v>
      </c>
      <c r="C94">
        <v>47</v>
      </c>
    </row>
    <row r="95" spans="2:3" x14ac:dyDescent="0.3">
      <c r="B95" t="s">
        <v>126</v>
      </c>
      <c r="C95">
        <f>300-C94</f>
        <v>253</v>
      </c>
    </row>
    <row r="96" spans="2:3" x14ac:dyDescent="0.3">
      <c r="B96" t="s">
        <v>127</v>
      </c>
      <c r="C96">
        <v>488</v>
      </c>
    </row>
    <row r="97" spans="2:3" x14ac:dyDescent="0.3">
      <c r="B97" t="s">
        <v>91</v>
      </c>
      <c r="C97">
        <v>0.6</v>
      </c>
    </row>
    <row r="98" spans="2:3" x14ac:dyDescent="0.3">
      <c r="B98" t="s">
        <v>99</v>
      </c>
      <c r="C98">
        <v>7.5</v>
      </c>
    </row>
    <row r="99" spans="2:3" x14ac:dyDescent="0.3">
      <c r="B99" t="s">
        <v>128</v>
      </c>
      <c r="C99">
        <f>+EXP((-C95)/((C96/C97)*C98))</f>
        <v>0.95937292618894898</v>
      </c>
    </row>
    <row r="101" spans="2:3" x14ac:dyDescent="0.3">
      <c r="B101" t="s">
        <v>129</v>
      </c>
      <c r="C101">
        <v>0.99</v>
      </c>
    </row>
    <row r="102" spans="2:3" x14ac:dyDescent="0.3">
      <c r="B102" t="s">
        <v>130</v>
      </c>
      <c r="C102">
        <v>0.995</v>
      </c>
    </row>
    <row r="104" spans="2:3" x14ac:dyDescent="0.3">
      <c r="B104" t="s">
        <v>131</v>
      </c>
      <c r="C104">
        <f>+PRODUCT(C21,C22,C23,C24,C41,C48,C50,C56,C58,C75,C87,C93,C99,C101,C102)</f>
        <v>0.71310379382612432</v>
      </c>
    </row>
    <row r="105" spans="2:3" ht="15.6" x14ac:dyDescent="0.35">
      <c r="B105" t="s">
        <v>132</v>
      </c>
      <c r="C105">
        <f>+(1-C104)*C18</f>
        <v>18361.357195128043</v>
      </c>
    </row>
    <row r="107" spans="2:3" x14ac:dyDescent="0.3">
      <c r="B107" s="1" t="s">
        <v>27</v>
      </c>
      <c r="C107" s="1"/>
    </row>
    <row r="108" spans="2:3" ht="15.6" x14ac:dyDescent="0.35">
      <c r="B108" s="2" t="s">
        <v>28</v>
      </c>
      <c r="C108" s="2">
        <f>+C18-C105-C15</f>
        <v>33638.642804871954</v>
      </c>
    </row>
    <row r="110" spans="2:3" x14ac:dyDescent="0.3">
      <c r="B110" s="1" t="s">
        <v>29</v>
      </c>
      <c r="C110" s="1"/>
    </row>
    <row r="111" spans="2:3" ht="15.6" x14ac:dyDescent="0.35">
      <c r="B111" s="2" t="s">
        <v>30</v>
      </c>
      <c r="C111" s="2">
        <f>+C108-(0.005*C18)-C6</f>
        <v>33118.642804871954</v>
      </c>
    </row>
    <row r="113" spans="2:3" ht="15.6" x14ac:dyDescent="0.35">
      <c r="B113" s="1" t="s">
        <v>31</v>
      </c>
      <c r="C113" s="1"/>
    </row>
    <row r="114" spans="2:3" x14ac:dyDescent="0.3">
      <c r="B114" s="2" t="s">
        <v>32</v>
      </c>
      <c r="C114" s="2">
        <v>0.5091</v>
      </c>
    </row>
    <row r="115" spans="2:3" x14ac:dyDescent="0.3">
      <c r="B115" s="2" t="s">
        <v>33</v>
      </c>
      <c r="C115" s="2">
        <v>0.95050000000000001</v>
      </c>
    </row>
    <row r="116" spans="2:3" ht="15.6" x14ac:dyDescent="0.35">
      <c r="B116" s="2" t="s">
        <v>34</v>
      </c>
      <c r="C116" s="2">
        <f>+POWER(10,(LOG10(C18)-C114)/C115)</f>
        <v>33178.952940877738</v>
      </c>
    </row>
    <row r="118" spans="2:3" x14ac:dyDescent="0.3">
      <c r="B118" s="10" t="s">
        <v>133</v>
      </c>
      <c r="C118" s="10"/>
    </row>
    <row r="119" spans="2:3" x14ac:dyDescent="0.3">
      <c r="B119" s="2" t="s">
        <v>43</v>
      </c>
      <c r="C119" s="2">
        <f>+C114</f>
        <v>0.5091</v>
      </c>
    </row>
    <row r="120" spans="2:3" x14ac:dyDescent="0.3">
      <c r="B120" s="2" t="s">
        <v>33</v>
      </c>
      <c r="C120" s="2">
        <f>+C115</f>
        <v>0.95050000000000001</v>
      </c>
    </row>
    <row r="121" spans="2:3" x14ac:dyDescent="0.3">
      <c r="B121" s="2" t="s">
        <v>44</v>
      </c>
      <c r="C121" s="2">
        <f>1-(1-C104)</f>
        <v>0.71310379382612432</v>
      </c>
    </row>
    <row r="122" spans="2:3" x14ac:dyDescent="0.3">
      <c r="B122" s="2" t="s">
        <v>45</v>
      </c>
      <c r="C122" s="2">
        <f>+C15+C6</f>
        <v>12200</v>
      </c>
    </row>
    <row r="124" spans="2:3" x14ac:dyDescent="0.3">
      <c r="B124" s="2" t="s">
        <v>46</v>
      </c>
      <c r="C124" s="2">
        <v>64000</v>
      </c>
    </row>
    <row r="125" spans="2:3" x14ac:dyDescent="0.3">
      <c r="B125" s="2" t="s">
        <v>47</v>
      </c>
      <c r="C125" s="2">
        <f>+POWER(10,C119+(C120*LOG10(C121*C124-C122)))</f>
        <v>64476.036779901544</v>
      </c>
    </row>
    <row r="126" spans="2:3" x14ac:dyDescent="0.3">
      <c r="B126" s="2" t="s">
        <v>48</v>
      </c>
      <c r="C126" s="2">
        <f>+(ABS(C124-C125)/ABS(C125))*100</f>
        <v>0.73831582038233157</v>
      </c>
    </row>
    <row r="129" spans="2:3" x14ac:dyDescent="0.3">
      <c r="B129" s="10" t="s">
        <v>49</v>
      </c>
      <c r="C129" s="10"/>
    </row>
    <row r="131" spans="2:3" x14ac:dyDescent="0.3">
      <c r="B131" s="1" t="s">
        <v>134</v>
      </c>
      <c r="C131" s="1"/>
    </row>
    <row r="132" spans="2:3" x14ac:dyDescent="0.3">
      <c r="B132" s="2" t="s">
        <v>135</v>
      </c>
      <c r="C132" s="2">
        <f>+(C120*C124)/(C122-(C121*C124*(1-C120)))</f>
        <v>6.1193733407714452</v>
      </c>
    </row>
    <row r="134" spans="2:3" x14ac:dyDescent="0.3">
      <c r="B134" s="7" t="s">
        <v>136</v>
      </c>
      <c r="C134" s="7"/>
    </row>
    <row r="135" spans="2:3" x14ac:dyDescent="0.3">
      <c r="B135" s="7"/>
      <c r="C135" s="7"/>
    </row>
    <row r="139" spans="2:3" x14ac:dyDescent="0.3">
      <c r="B139" s="1" t="s">
        <v>137</v>
      </c>
      <c r="C139" s="1"/>
    </row>
    <row r="140" spans="2:3" x14ac:dyDescent="0.3">
      <c r="B140" s="2" t="s">
        <v>138</v>
      </c>
      <c r="C140" s="2">
        <f>+(C120*C124)/(10^((LOG(C124)-C119)/C120))</f>
        <v>1.8334514687186723</v>
      </c>
    </row>
    <row r="142" spans="2:3" x14ac:dyDescent="0.3">
      <c r="B142" s="7" t="s">
        <v>139</v>
      </c>
      <c r="C142" s="7"/>
    </row>
    <row r="143" spans="2:3" x14ac:dyDescent="0.3">
      <c r="B143" s="7"/>
      <c r="C143" s="7"/>
    </row>
    <row r="146" spans="2:11" x14ac:dyDescent="0.3">
      <c r="B146" s="1" t="s">
        <v>140</v>
      </c>
      <c r="C146" s="1"/>
    </row>
    <row r="147" spans="2:11" x14ac:dyDescent="0.3">
      <c r="B147" s="7" t="s">
        <v>141</v>
      </c>
      <c r="C147" s="7"/>
    </row>
    <row r="148" spans="2:11" x14ac:dyDescent="0.3">
      <c r="B148" s="7"/>
      <c r="C148" s="7"/>
    </row>
    <row r="150" spans="2:11" x14ac:dyDescent="0.3">
      <c r="J150" s="6" t="s">
        <v>142</v>
      </c>
      <c r="K150" s="6"/>
    </row>
    <row r="151" spans="2:11" x14ac:dyDescent="0.3">
      <c r="B151" s="2" t="s">
        <v>143</v>
      </c>
      <c r="C151" s="2">
        <f>+(-C120*(C124^2)*C104)/(C121*C124*(1-C120)-C122)</f>
        <v>279279.89408912399</v>
      </c>
      <c r="J151" s="12"/>
      <c r="K151" s="13"/>
    </row>
    <row r="152" spans="2:11" x14ac:dyDescent="0.3">
      <c r="J152" s="14"/>
      <c r="K152" s="15"/>
    </row>
    <row r="153" spans="2:11" x14ac:dyDescent="0.3">
      <c r="B153" s="2"/>
      <c r="C153" s="2" t="s">
        <v>144</v>
      </c>
      <c r="D153" s="2" t="s">
        <v>145</v>
      </c>
      <c r="E153" s="2" t="s">
        <v>146</v>
      </c>
      <c r="F153" s="2" t="s">
        <v>147</v>
      </c>
      <c r="G153" s="2" t="s">
        <v>148</v>
      </c>
      <c r="J153" s="16"/>
      <c r="K153" s="17"/>
    </row>
    <row r="154" spans="2:11" x14ac:dyDescent="0.3">
      <c r="B154" s="2" t="s">
        <v>149</v>
      </c>
      <c r="C154" s="2">
        <f>+C39</f>
        <v>0.6</v>
      </c>
      <c r="D154" s="2">
        <f>+C54</f>
        <v>0.9</v>
      </c>
      <c r="E154" s="2">
        <f>+C85</f>
        <v>0.9</v>
      </c>
      <c r="F154" s="2">
        <f>+C97</f>
        <v>0.6</v>
      </c>
      <c r="G154" s="2">
        <f>+C44</f>
        <v>0.6</v>
      </c>
    </row>
    <row r="155" spans="2:11" x14ac:dyDescent="0.3">
      <c r="B155" s="2" t="s">
        <v>150</v>
      </c>
      <c r="C155" s="2">
        <f>+C38</f>
        <v>459</v>
      </c>
      <c r="D155" s="2">
        <f>+C53</f>
        <v>400</v>
      </c>
      <c r="E155" s="2">
        <f>+C84</f>
        <v>450</v>
      </c>
      <c r="F155" s="2">
        <f>+C96</f>
        <v>488</v>
      </c>
      <c r="G155" s="2" t="s">
        <v>151</v>
      </c>
    </row>
    <row r="156" spans="2:11" ht="15.6" x14ac:dyDescent="0.35">
      <c r="B156" s="2" t="s">
        <v>99</v>
      </c>
      <c r="C156" s="2">
        <f>+C40</f>
        <v>7</v>
      </c>
      <c r="D156" s="2">
        <f>+C55</f>
        <v>4.5</v>
      </c>
      <c r="E156" s="2">
        <f>+C86</f>
        <v>5.5</v>
      </c>
      <c r="F156" s="2">
        <f>+C98</f>
        <v>7.5</v>
      </c>
      <c r="G156" s="2">
        <f>+C45</f>
        <v>9</v>
      </c>
      <c r="J156" s="6" t="s">
        <v>152</v>
      </c>
      <c r="K156" s="6"/>
    </row>
    <row r="157" spans="2:11" x14ac:dyDescent="0.3">
      <c r="B157" s="2" t="s">
        <v>153</v>
      </c>
      <c r="C157" s="2">
        <f>+($C$151*C154)/(C155*C156)</f>
        <v>52.153108139892439</v>
      </c>
      <c r="D157" s="2">
        <f t="shared" ref="D157:F157" si="0">+($C$151*D154)/(D155*D156)</f>
        <v>139.63994704456201</v>
      </c>
      <c r="E157" s="2">
        <f t="shared" si="0"/>
        <v>101.55632512331782</v>
      </c>
      <c r="F157" s="2">
        <f t="shared" si="0"/>
        <v>45.783589194938358</v>
      </c>
      <c r="G157" s="2"/>
      <c r="J157" s="12"/>
      <c r="K157" s="13"/>
    </row>
    <row r="158" spans="2:11" x14ac:dyDescent="0.3">
      <c r="B158" s="2" t="s">
        <v>138</v>
      </c>
      <c r="C158" s="2" t="s">
        <v>151</v>
      </c>
      <c r="D158" s="2" t="s">
        <v>151</v>
      </c>
      <c r="E158" s="2" t="s">
        <v>151</v>
      </c>
      <c r="F158" s="2" t="s">
        <v>151</v>
      </c>
      <c r="G158" s="2">
        <f>+C151*G154/G156</f>
        <v>18618.659605941601</v>
      </c>
      <c r="J158" s="14"/>
      <c r="K158" s="15"/>
    </row>
    <row r="159" spans="2:11" x14ac:dyDescent="0.3">
      <c r="J159" s="16"/>
      <c r="K159" s="17"/>
    </row>
    <row r="160" spans="2:11" x14ac:dyDescent="0.3">
      <c r="B160" s="7" t="s">
        <v>154</v>
      </c>
      <c r="C160" s="7"/>
      <c r="D160" s="7"/>
      <c r="E160" s="7"/>
      <c r="F160" s="7"/>
      <c r="G160" s="7"/>
    </row>
    <row r="161" spans="2:11" x14ac:dyDescent="0.3">
      <c r="B161" s="7"/>
      <c r="C161" s="7"/>
      <c r="D161" s="7"/>
      <c r="E161" s="7"/>
      <c r="F161" s="7"/>
      <c r="G161" s="7"/>
    </row>
    <row r="163" spans="2:11" x14ac:dyDescent="0.3">
      <c r="B163" s="7" t="s">
        <v>155</v>
      </c>
      <c r="C163" s="7"/>
      <c r="D163" s="7"/>
      <c r="E163" s="7"/>
      <c r="F163" s="7"/>
      <c r="G163" s="7"/>
    </row>
    <row r="164" spans="2:11" x14ac:dyDescent="0.3">
      <c r="B164" s="7"/>
      <c r="C164" s="7"/>
      <c r="D164" s="7"/>
      <c r="E164" s="7"/>
      <c r="F164" s="7"/>
      <c r="G164" s="7"/>
    </row>
    <row r="167" spans="2:11" x14ac:dyDescent="0.3">
      <c r="B167" s="1" t="s">
        <v>156</v>
      </c>
      <c r="C167" s="1"/>
    </row>
    <row r="168" spans="2:11" x14ac:dyDescent="0.3">
      <c r="B168" s="7" t="s">
        <v>157</v>
      </c>
      <c r="C168" s="7"/>
    </row>
    <row r="169" spans="2:11" x14ac:dyDescent="0.3">
      <c r="B169" s="7"/>
      <c r="C169" s="7"/>
    </row>
    <row r="170" spans="2:11" x14ac:dyDescent="0.3">
      <c r="B170" s="7"/>
      <c r="C170" s="7"/>
    </row>
    <row r="172" spans="2:11" x14ac:dyDescent="0.3">
      <c r="B172" s="2"/>
      <c r="C172" s="2" t="s">
        <v>144</v>
      </c>
      <c r="D172" s="2" t="s">
        <v>145</v>
      </c>
      <c r="E172" s="2" t="s">
        <v>146</v>
      </c>
      <c r="F172" s="2" t="s">
        <v>147</v>
      </c>
      <c r="G172" s="2" t="s">
        <v>148</v>
      </c>
    </row>
    <row r="173" spans="2:11" x14ac:dyDescent="0.3">
      <c r="B173" s="2" t="s">
        <v>149</v>
      </c>
      <c r="C173" s="2">
        <f>+C39</f>
        <v>0.6</v>
      </c>
      <c r="D173" s="2">
        <f>+C54</f>
        <v>0.9</v>
      </c>
      <c r="E173" s="2">
        <f>+C85</f>
        <v>0.9</v>
      </c>
      <c r="F173" s="2">
        <f>+C97</f>
        <v>0.6</v>
      </c>
      <c r="G173" s="2">
        <f>+C44</f>
        <v>0.6</v>
      </c>
      <c r="J173" s="6" t="s">
        <v>158</v>
      </c>
      <c r="K173" s="6"/>
    </row>
    <row r="174" spans="2:11" x14ac:dyDescent="0.3">
      <c r="B174" s="2" t="s">
        <v>150</v>
      </c>
      <c r="C174" s="2">
        <f>+C38</f>
        <v>459</v>
      </c>
      <c r="D174" s="2">
        <f>+C53</f>
        <v>400</v>
      </c>
      <c r="E174" s="2">
        <f>+C84</f>
        <v>450</v>
      </c>
      <c r="F174" s="2">
        <f>+C96</f>
        <v>488</v>
      </c>
      <c r="G174" s="2" t="s">
        <v>151</v>
      </c>
      <c r="J174" s="12"/>
      <c r="K174" s="13"/>
    </row>
    <row r="175" spans="2:11" x14ac:dyDescent="0.3">
      <c r="B175" s="2" t="s">
        <v>99</v>
      </c>
      <c r="C175" s="2">
        <f>+C40</f>
        <v>7</v>
      </c>
      <c r="D175" s="2">
        <f>+C55</f>
        <v>4.5</v>
      </c>
      <c r="E175" s="2">
        <f>+C86</f>
        <v>5.5</v>
      </c>
      <c r="F175" s="2">
        <f>+C98</f>
        <v>7.5</v>
      </c>
      <c r="G175" s="2">
        <f>+C45</f>
        <v>9</v>
      </c>
      <c r="J175" s="14"/>
      <c r="K175" s="15"/>
    </row>
    <row r="176" spans="2:11" x14ac:dyDescent="0.3">
      <c r="B176" s="2" t="s">
        <v>159</v>
      </c>
      <c r="C176" s="2">
        <f>+C37</f>
        <v>253.33797403242289</v>
      </c>
      <c r="D176" s="2">
        <f>+C52</f>
        <v>100</v>
      </c>
      <c r="E176" s="2">
        <f>+C83</f>
        <v>100</v>
      </c>
      <c r="F176" s="2">
        <f>+C95</f>
        <v>253</v>
      </c>
      <c r="G176" s="2" t="s">
        <v>151</v>
      </c>
      <c r="J176" s="16"/>
      <c r="K176" s="17"/>
    </row>
    <row r="177" spans="2:11" x14ac:dyDescent="0.3">
      <c r="B177" s="2" t="s">
        <v>160</v>
      </c>
      <c r="C177" s="2" t="s">
        <v>151</v>
      </c>
      <c r="D177" s="2" t="s">
        <v>151</v>
      </c>
      <c r="E177" s="2" t="s">
        <v>151</v>
      </c>
      <c r="F177" s="2" t="s">
        <v>151</v>
      </c>
      <c r="G177" s="2">
        <f>+C47</f>
        <v>0.5</v>
      </c>
    </row>
    <row r="178" spans="2:11" x14ac:dyDescent="0.3">
      <c r="B178" s="2" t="s">
        <v>161</v>
      </c>
      <c r="C178" s="2">
        <f>+$C$151*C176/(C174*C175)</f>
        <v>22020.604592757023</v>
      </c>
      <c r="D178" s="2">
        <f t="shared" ref="D178:F178" si="1">+$C$151*D176/(D174*D175)</f>
        <v>15515.549671617999</v>
      </c>
      <c r="E178" s="2">
        <f t="shared" si="1"/>
        <v>11284.03612481309</v>
      </c>
      <c r="F178" s="2">
        <f t="shared" si="1"/>
        <v>19305.413443865677</v>
      </c>
      <c r="G178" s="2">
        <f>+$C$151*G177/G175</f>
        <v>15515.549671617999</v>
      </c>
      <c r="J178" s="6" t="s">
        <v>162</v>
      </c>
      <c r="K178" s="6"/>
    </row>
    <row r="179" spans="2:11" x14ac:dyDescent="0.3">
      <c r="B179" s="2" t="s">
        <v>163</v>
      </c>
      <c r="C179" s="2">
        <f>+$C$151*(-C176*C173)/(C174*(C175^2))</f>
        <v>-1887.4803936648873</v>
      </c>
      <c r="D179" s="2">
        <f t="shared" ref="D179:F179" si="2">+$C$151*(-D176*D173)/(D174*(D175^2))</f>
        <v>-3103.1099343235996</v>
      </c>
      <c r="E179" s="2">
        <f t="shared" si="2"/>
        <v>-1846.4786386057783</v>
      </c>
      <c r="F179" s="2">
        <f t="shared" si="2"/>
        <v>-1544.4330755092537</v>
      </c>
      <c r="G179" s="2">
        <f>+(-$C$151*G177*G173)/(G175^2)</f>
        <v>-1034.3699781078667</v>
      </c>
      <c r="J179" s="12"/>
      <c r="K179" s="13"/>
    </row>
    <row r="180" spans="2:11" x14ac:dyDescent="0.3">
      <c r="J180" s="14"/>
      <c r="K180" s="15"/>
    </row>
    <row r="181" spans="2:11" x14ac:dyDescent="0.3">
      <c r="B181" s="7" t="s">
        <v>164</v>
      </c>
      <c r="C181" s="7"/>
      <c r="D181" s="7"/>
      <c r="E181" s="7"/>
      <c r="F181" s="7"/>
      <c r="G181" s="7"/>
      <c r="J181" s="16"/>
      <c r="K181" s="17"/>
    </row>
    <row r="182" spans="2:11" ht="31.2" customHeight="1" x14ac:dyDescent="0.3">
      <c r="B182" s="7"/>
      <c r="C182" s="7"/>
      <c r="D182" s="7"/>
      <c r="E182" s="7"/>
      <c r="F182" s="7"/>
      <c r="G182" s="7"/>
    </row>
    <row r="183" spans="2:11" x14ac:dyDescent="0.3">
      <c r="J183" s="6" t="s">
        <v>165</v>
      </c>
      <c r="K183" s="6"/>
    </row>
    <row r="184" spans="2:11" x14ac:dyDescent="0.3">
      <c r="J184" s="12"/>
      <c r="K184" s="13"/>
    </row>
    <row r="185" spans="2:11" x14ac:dyDescent="0.3">
      <c r="J185" s="14"/>
      <c r="K185" s="15"/>
    </row>
    <row r="186" spans="2:11" x14ac:dyDescent="0.3">
      <c r="J186" s="16"/>
      <c r="K186" s="17"/>
    </row>
    <row r="188" spans="2:11" x14ac:dyDescent="0.3">
      <c r="J188" s="6" t="s">
        <v>166</v>
      </c>
      <c r="K188" s="6"/>
    </row>
    <row r="189" spans="2:11" x14ac:dyDescent="0.3">
      <c r="J189" s="12"/>
      <c r="K189" s="13"/>
    </row>
    <row r="190" spans="2:11" x14ac:dyDescent="0.3">
      <c r="J190" s="14"/>
      <c r="K190" s="15"/>
    </row>
    <row r="191" spans="2:11" x14ac:dyDescent="0.3">
      <c r="J191" s="16"/>
      <c r="K191" s="17"/>
    </row>
  </sheetData>
  <mergeCells count="33">
    <mergeCell ref="J184:K186"/>
    <mergeCell ref="J188:K188"/>
    <mergeCell ref="J189:K191"/>
    <mergeCell ref="J173:K173"/>
    <mergeCell ref="J174:K176"/>
    <mergeCell ref="J178:K178"/>
    <mergeCell ref="J179:K181"/>
    <mergeCell ref="B181:G182"/>
    <mergeCell ref="J183:K183"/>
    <mergeCell ref="J156:K156"/>
    <mergeCell ref="J157:K159"/>
    <mergeCell ref="B160:G161"/>
    <mergeCell ref="B163:G164"/>
    <mergeCell ref="B167:C167"/>
    <mergeCell ref="B168:C170"/>
    <mergeCell ref="B139:C139"/>
    <mergeCell ref="B142:C143"/>
    <mergeCell ref="B146:C146"/>
    <mergeCell ref="B147:C148"/>
    <mergeCell ref="J150:K150"/>
    <mergeCell ref="J151:K153"/>
    <mergeCell ref="B110:C110"/>
    <mergeCell ref="B113:C113"/>
    <mergeCell ref="B118:C118"/>
    <mergeCell ref="B129:C129"/>
    <mergeCell ref="B131:C131"/>
    <mergeCell ref="B134:C135"/>
    <mergeCell ref="B2:C2"/>
    <mergeCell ref="B14:C14"/>
    <mergeCell ref="B17:C17"/>
    <mergeCell ref="B20:C20"/>
    <mergeCell ref="B26:C26"/>
    <mergeCell ref="B107:C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Twin engine</vt:lpstr>
      <vt:lpstr>Jet Fighter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Jesus Quesada Martinez</dc:creator>
  <cp:lastModifiedBy>Juan Jesus Quesada Martinez</cp:lastModifiedBy>
  <dcterms:created xsi:type="dcterms:W3CDTF">2026-03-05T01:02:59Z</dcterms:created>
  <dcterms:modified xsi:type="dcterms:W3CDTF">2026-03-05T01:08:02Z</dcterms:modified>
</cp:coreProperties>
</file>