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15600" windowHeight="7875" firstSheet="2" activeTab="5"/>
  </bookViews>
  <sheets>
    <sheet name="excavadoras" sheetId="1" r:id="rId1"/>
    <sheet name="tractor topadora" sheetId="2" r:id="rId2"/>
    <sheet name="cargador frontal" sheetId="3" r:id="rId3"/>
    <sheet name="volqueta" sheetId="4" r:id="rId4"/>
    <sheet name="motoniveladora" sheetId="5" r:id="rId5"/>
    <sheet name="compactadora" sheetId="6" r:id="rId6"/>
  </sheets>
  <calcPr calcId="145621"/>
</workbook>
</file>

<file path=xl/calcChain.xml><?xml version="1.0" encoding="utf-8"?>
<calcChain xmlns="http://schemas.openxmlformats.org/spreadsheetml/2006/main">
  <c r="G66" i="5" l="1"/>
  <c r="H23" i="1"/>
  <c r="H10" i="1"/>
  <c r="C8" i="1"/>
  <c r="G11" i="5"/>
  <c r="G71" i="5" l="1"/>
  <c r="G70" i="5"/>
  <c r="C67" i="5"/>
  <c r="G62" i="5" s="1"/>
  <c r="G44" i="5"/>
  <c r="C43" i="5" s="1"/>
  <c r="G38" i="5" s="1"/>
  <c r="G43" i="5"/>
  <c r="G39" i="5"/>
  <c r="C40" i="5" s="1"/>
  <c r="G35" i="5" s="1"/>
  <c r="C70" i="5" l="1"/>
  <c r="G65" i="5" s="1"/>
  <c r="C61" i="5" s="1"/>
  <c r="C76" i="5"/>
  <c r="C58" i="5"/>
  <c r="C79" i="5"/>
  <c r="C52" i="5"/>
  <c r="C49" i="5"/>
  <c r="C34" i="5"/>
  <c r="C31" i="5"/>
  <c r="C21" i="1" l="1"/>
  <c r="C16" i="1"/>
  <c r="G20" i="6" l="1"/>
  <c r="C14" i="6"/>
  <c r="C12" i="6"/>
  <c r="C3" i="6"/>
  <c r="G4" i="6"/>
  <c r="G6" i="3"/>
  <c r="G8" i="3"/>
  <c r="K2" i="3"/>
  <c r="G16" i="5"/>
  <c r="C12" i="5"/>
  <c r="G7" i="5" s="1"/>
  <c r="G15" i="5"/>
  <c r="G40" i="4"/>
  <c r="G39" i="4"/>
  <c r="G38" i="4"/>
  <c r="G36" i="4"/>
  <c r="B35" i="4"/>
  <c r="G30" i="4" s="1"/>
  <c r="G14" i="4"/>
  <c r="G13" i="4"/>
  <c r="G15" i="4"/>
  <c r="C15" i="5" l="1"/>
  <c r="G10" i="5" s="1"/>
  <c r="C24" i="5" s="1"/>
  <c r="C28" i="6"/>
  <c r="C30" i="6"/>
  <c r="C19" i="6"/>
  <c r="C37" i="4"/>
  <c r="G29" i="4" s="1"/>
  <c r="G44" i="4" s="1"/>
  <c r="C31" i="4"/>
  <c r="C13" i="2"/>
  <c r="G3" i="2" s="1"/>
  <c r="I10" i="2"/>
  <c r="G6" i="2"/>
  <c r="C6" i="5" l="1"/>
  <c r="C21" i="5"/>
  <c r="C3" i="5"/>
  <c r="G28" i="4"/>
  <c r="C28" i="4" s="1"/>
  <c r="C45" i="4"/>
  <c r="C10" i="4"/>
  <c r="G5" i="4" s="1"/>
  <c r="C6" i="4" l="1"/>
  <c r="G7" i="3"/>
  <c r="C6" i="3" s="1"/>
  <c r="G7" i="2"/>
  <c r="G10" i="2"/>
  <c r="C11" i="2" s="1"/>
  <c r="G9" i="2" s="1"/>
  <c r="C3" i="1"/>
  <c r="G3" i="4" l="1"/>
  <c r="C6" i="2"/>
  <c r="G4" i="2" s="1"/>
  <c r="G11" i="4"/>
  <c r="C12" i="4" s="1"/>
  <c r="G4" i="4" s="1"/>
  <c r="G19" i="4" s="1"/>
  <c r="C20" i="4" s="1"/>
  <c r="B52" i="4" s="1"/>
  <c r="C20" i="2" l="1"/>
  <c r="C3" i="2"/>
  <c r="C3" i="4"/>
  <c r="G4" i="3"/>
  <c r="G19" i="2"/>
  <c r="C3" i="3" l="1"/>
  <c r="K3" i="3" s="1"/>
  <c r="G14" i="3"/>
  <c r="C15" i="3" s="1"/>
</calcChain>
</file>

<file path=xl/sharedStrings.xml><?xml version="1.0" encoding="utf-8"?>
<sst xmlns="http://schemas.openxmlformats.org/spreadsheetml/2006/main" count="633" uniqueCount="182">
  <si>
    <t>PRODUCTIVIDAD</t>
  </si>
  <si>
    <t>Qt = q *60/T</t>
  </si>
  <si>
    <t>CAT 320 DL</t>
  </si>
  <si>
    <t>DATOS</t>
  </si>
  <si>
    <t>produccion de ciclo</t>
  </si>
  <si>
    <t>q</t>
  </si>
  <si>
    <t>m3</t>
  </si>
  <si>
    <t>unidad</t>
  </si>
  <si>
    <t>angulo de giron</t>
  </si>
  <si>
    <t xml:space="preserve">tamano del cucharron </t>
  </si>
  <si>
    <t>duracion del ciclo</t>
  </si>
  <si>
    <t>T</t>
  </si>
  <si>
    <t>m3/hra</t>
  </si>
  <si>
    <t>PRODUCTIVIDAD REAL</t>
  </si>
  <si>
    <t xml:space="preserve">EXCAVADORA </t>
  </si>
  <si>
    <t>Qt=q*60*m*k*E/Tcorregido</t>
  </si>
  <si>
    <t>Tc</t>
  </si>
  <si>
    <t>Tcorregido = T*(1+h)</t>
  </si>
  <si>
    <t>increm del ciclo p altur</t>
  </si>
  <si>
    <t>h</t>
  </si>
  <si>
    <t>Tractor con topadora</t>
  </si>
  <si>
    <t>CAT D7G</t>
  </si>
  <si>
    <t>m3/ciclo</t>
  </si>
  <si>
    <t>N</t>
  </si>
  <si>
    <t>tiempo duracion ciclo</t>
  </si>
  <si>
    <t>min</t>
  </si>
  <si>
    <t xml:space="preserve">tiempo de duracion </t>
  </si>
  <si>
    <t>T= D/A + (D+d)/R + Z</t>
  </si>
  <si>
    <t>distancia de acarreo</t>
  </si>
  <si>
    <t>D</t>
  </si>
  <si>
    <t>m</t>
  </si>
  <si>
    <t>velocidad de acarreo</t>
  </si>
  <si>
    <t>A</t>
  </si>
  <si>
    <t>m/min</t>
  </si>
  <si>
    <t>velociad de retroceso</t>
  </si>
  <si>
    <t>R</t>
  </si>
  <si>
    <t>distacia de corte</t>
  </si>
  <si>
    <t>d</t>
  </si>
  <si>
    <t>tiempo duracion el corte</t>
  </si>
  <si>
    <t>Z</t>
  </si>
  <si>
    <t xml:space="preserve">tiempo de corte </t>
  </si>
  <si>
    <t xml:space="preserve">Z </t>
  </si>
  <si>
    <t>velocidad de avance</t>
  </si>
  <si>
    <t>distancia de corte</t>
  </si>
  <si>
    <t>Z = 2d/A</t>
  </si>
  <si>
    <t>km/hora</t>
  </si>
  <si>
    <t>produccion por ciclo</t>
  </si>
  <si>
    <t>q = 0.48*a2*L</t>
  </si>
  <si>
    <t xml:space="preserve">alto de la hoja </t>
  </si>
  <si>
    <t>a</t>
  </si>
  <si>
    <t xml:space="preserve">ancho de la hoja </t>
  </si>
  <si>
    <t>L</t>
  </si>
  <si>
    <t>cargador frontal</t>
  </si>
  <si>
    <t>CAT 950</t>
  </si>
  <si>
    <t>T= D/Vc + D/Vr+ Z</t>
  </si>
  <si>
    <t>velocidad cn carga</t>
  </si>
  <si>
    <t>z=t1+t2+t3</t>
  </si>
  <si>
    <t xml:space="preserve">CAMION VOQUETA </t>
  </si>
  <si>
    <t>12 M3</t>
  </si>
  <si>
    <t>Qt = C*60/Tv</t>
  </si>
  <si>
    <t xml:space="preserve">C  </t>
  </si>
  <si>
    <t>C = n * qc</t>
  </si>
  <si>
    <t>C</t>
  </si>
  <si>
    <t xml:space="preserve">duracion d ciclo volqueta </t>
  </si>
  <si>
    <t>Tv</t>
  </si>
  <si>
    <t>num de ciclos necesariose pa llenar volqueta cn cargador</t>
  </si>
  <si>
    <t>n</t>
  </si>
  <si>
    <t>capacidad del cucharon</t>
  </si>
  <si>
    <t>qc</t>
  </si>
  <si>
    <t>factor del cucharon</t>
  </si>
  <si>
    <t>k</t>
  </si>
  <si>
    <t>num ciclos</t>
  </si>
  <si>
    <t>capacidad nominal volqueta</t>
  </si>
  <si>
    <t>ton</t>
  </si>
  <si>
    <t>ʃmat suelto</t>
  </si>
  <si>
    <t>g/cm3</t>
  </si>
  <si>
    <t>ton/m3</t>
  </si>
  <si>
    <t>Tv= (n*Te)+ tf+(D/Vc) +(D/Vr)</t>
  </si>
  <si>
    <t>ciclo del equipo que carga</t>
  </si>
  <si>
    <t>Te</t>
  </si>
  <si>
    <t>velocidad de carga</t>
  </si>
  <si>
    <t>Vc</t>
  </si>
  <si>
    <t>velocidad volqueta vacia</t>
  </si>
  <si>
    <t>Vr</t>
  </si>
  <si>
    <t>E</t>
  </si>
  <si>
    <t>15*12</t>
  </si>
  <si>
    <t>tf</t>
  </si>
  <si>
    <t>tiempo fijo</t>
  </si>
  <si>
    <t>tiempo 2</t>
  </si>
  <si>
    <t>tiempo 3</t>
  </si>
  <si>
    <t>t2</t>
  </si>
  <si>
    <t>t3</t>
  </si>
  <si>
    <t>tiempo fijo= t2+t3</t>
  </si>
  <si>
    <t>km/hr</t>
  </si>
  <si>
    <t>resistencia a la rodadura</t>
  </si>
  <si>
    <t xml:space="preserve"> r</t>
  </si>
  <si>
    <t>Qt=C*60*p*r*E/Tcorregido</t>
  </si>
  <si>
    <t>p</t>
  </si>
  <si>
    <t>factor pendiente</t>
  </si>
  <si>
    <t>factor trabajo</t>
  </si>
  <si>
    <t>distancia 1.5 km</t>
  </si>
  <si>
    <t>distancia 0.5km</t>
  </si>
  <si>
    <t>Qvolqueta *M</t>
  </si>
  <si>
    <t>Qcarg*N</t>
  </si>
  <si>
    <t>motoniveladora</t>
  </si>
  <si>
    <t>CAT 140H</t>
  </si>
  <si>
    <t>Qat = 60*d*(Le-Lo)/N*T</t>
  </si>
  <si>
    <t>Qat</t>
  </si>
  <si>
    <t>Qt</t>
  </si>
  <si>
    <t>m2/hra</t>
  </si>
  <si>
    <t>espesor de capa</t>
  </si>
  <si>
    <t>e</t>
  </si>
  <si>
    <t>ancho util en c/pasada</t>
  </si>
  <si>
    <t>Le</t>
  </si>
  <si>
    <t>ancho de traslape</t>
  </si>
  <si>
    <t>Lo</t>
  </si>
  <si>
    <t>Qt = 60*d*e*(Le-Lo)/N*T</t>
  </si>
  <si>
    <t>Le=L cos &amp;</t>
  </si>
  <si>
    <t>longitud de hoja</t>
  </si>
  <si>
    <t>&amp;</t>
  </si>
  <si>
    <t>pies</t>
  </si>
  <si>
    <t>cos 30</t>
  </si>
  <si>
    <r>
      <t>En los trabajos de nivelación, escarificado, perfilado, reparación de caminos, limpieza de maleza, conformación de subrasantes y reparación de caminos, la productividad de la motoniveladora se calculará en superficie [m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/hra].   </t>
    </r>
  </si>
  <si>
    <t>no usar el espesor</t>
  </si>
  <si>
    <t>tiempo duracion del ciclo</t>
  </si>
  <si>
    <t>T=d/Va + d/Vc + tf</t>
  </si>
  <si>
    <t>distancia de trabajo</t>
  </si>
  <si>
    <t>Va</t>
  </si>
  <si>
    <t>Vt</t>
  </si>
  <si>
    <t>factor de hoja</t>
  </si>
  <si>
    <t>factor eficiencia del trabajo</t>
  </si>
  <si>
    <t>Fh</t>
  </si>
  <si>
    <t>Qt = 60*d*(Le-Lo)*Fh*E*p/N*T</t>
  </si>
  <si>
    <t>Qt = 60*d*e*(Le-Lo)*Fh*E*p/N*T</t>
  </si>
  <si>
    <t>factor de cucharon</t>
  </si>
  <si>
    <t>factor de trabaji</t>
  </si>
  <si>
    <t>Qt=q*60*p*k*E/Tcorregido</t>
  </si>
  <si>
    <t>compactadora rodillo liso</t>
  </si>
  <si>
    <t>12 tn</t>
  </si>
  <si>
    <t>Qat = W*V/N</t>
  </si>
  <si>
    <t>produccion por hora</t>
  </si>
  <si>
    <t>m2/hora</t>
  </si>
  <si>
    <t>V</t>
  </si>
  <si>
    <t>veloc de operacion</t>
  </si>
  <si>
    <t>W</t>
  </si>
  <si>
    <t>ancho efectivo de compact</t>
  </si>
  <si>
    <t>num de pasadas del compac p capa</t>
  </si>
  <si>
    <t>mm</t>
  </si>
  <si>
    <t>espesor compact por capa</t>
  </si>
  <si>
    <t>espesor por capa</t>
  </si>
  <si>
    <t>H</t>
  </si>
  <si>
    <t>factor eficiencia de trabajp</t>
  </si>
  <si>
    <t>Qa= W*V*E/N</t>
  </si>
  <si>
    <t>Q= W*V*E*H/N</t>
  </si>
  <si>
    <t>compactadora pata de cabra</t>
  </si>
  <si>
    <t>m3/hora</t>
  </si>
  <si>
    <t xml:space="preserve">RETROEXCAVADORA </t>
  </si>
  <si>
    <t>CAT 428 F</t>
  </si>
  <si>
    <t>factor cucharon</t>
  </si>
  <si>
    <t>factor material</t>
  </si>
  <si>
    <t>eficiencia de trabajo</t>
  </si>
  <si>
    <t xml:space="preserve">productividad real promedio </t>
  </si>
  <si>
    <t>sub base</t>
  </si>
  <si>
    <t>terraplen</t>
  </si>
  <si>
    <t>desbroce</t>
  </si>
  <si>
    <t>Qt=29*a2*L/T</t>
  </si>
  <si>
    <t>valor</t>
  </si>
  <si>
    <t>increm. del ciclo p altur</t>
  </si>
  <si>
    <t>angulo de giro</t>
  </si>
  <si>
    <t>km/hra</t>
  </si>
  <si>
    <t>n=cap nom volq (ton)/qc*k* ʃmat suelto</t>
  </si>
  <si>
    <t>cos 40</t>
  </si>
  <si>
    <t>cos 20</t>
  </si>
  <si>
    <t>cos &amp;</t>
  </si>
  <si>
    <t>productividad teórica en área</t>
  </si>
  <si>
    <t>productividad teórica en volumen</t>
  </si>
  <si>
    <t>Dist. de trabajo recorrida p equipo</t>
  </si>
  <si>
    <t>ancho útil en c/pasada</t>
  </si>
  <si>
    <t>Num. de pasadas necesarias</t>
  </si>
  <si>
    <t>tiempo duración del ciclo p/pasada</t>
  </si>
  <si>
    <t>ángulo &amp;</t>
  </si>
  <si>
    <t>velocidad de retroceso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</si>
</sst>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/>
    <xf numFmtId="164" fontId="1" fillId="0" borderId="0" xfId="0" applyNumberFormat="1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left" vertical="center"/>
    </xf>
    <xf numFmtId="2" fontId="1" fillId="0" borderId="7" xfId="0" applyNumberFormat="1" applyFont="1" applyBorder="1" applyAlignment="1">
      <alignment horizontal="left" vertical="center"/>
    </xf>
    <xf numFmtId="2" fontId="1" fillId="0" borderId="7" xfId="0" applyNumberFormat="1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2" fontId="1" fillId="0" borderId="7" xfId="0" applyNumberFormat="1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7" xfId="0" applyNumberFormat="1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7" xfId="0" applyFont="1" applyFill="1" applyBorder="1"/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" fillId="0" borderId="10" xfId="0" applyFont="1" applyBorder="1"/>
    <xf numFmtId="2" fontId="1" fillId="0" borderId="10" xfId="0" applyNumberFormat="1" applyFont="1" applyBorder="1"/>
    <xf numFmtId="0" fontId="3" fillId="0" borderId="7" xfId="0" applyFon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164" fontId="1" fillId="0" borderId="0" xfId="0" applyNumberFormat="1" applyFont="1"/>
    <xf numFmtId="0" fontId="1" fillId="2" borderId="0" xfId="0" applyFont="1" applyFill="1"/>
    <xf numFmtId="164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165" fontId="3" fillId="0" borderId="7" xfId="0" applyNumberFormat="1" applyFont="1" applyBorder="1" applyAlignment="1">
      <alignment horizontal="left" vertical="center"/>
    </xf>
    <xf numFmtId="164" fontId="3" fillId="0" borderId="7" xfId="0" applyNumberFormat="1" applyFont="1" applyBorder="1"/>
    <xf numFmtId="0" fontId="1" fillId="0" borderId="0" xfId="0" applyFont="1" applyFill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2" borderId="7" xfId="0" applyFont="1" applyFill="1" applyBorder="1"/>
    <xf numFmtId="164" fontId="1" fillId="0" borderId="7" xfId="0" applyNumberFormat="1" applyFont="1" applyFill="1" applyBorder="1"/>
    <xf numFmtId="164" fontId="1" fillId="0" borderId="7" xfId="0" applyNumberFormat="1" applyFont="1" applyFill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3" workbookViewId="0">
      <selection activeCell="H24" sqref="H24"/>
    </sheetView>
  </sheetViews>
  <sheetFormatPr baseColWidth="10" defaultRowHeight="15.75" x14ac:dyDescent="0.25"/>
  <cols>
    <col min="1" max="1" width="19" style="1" customWidth="1"/>
    <col min="2" max="4" width="11.42578125" style="1"/>
    <col min="5" max="5" width="21.42578125" style="1" customWidth="1"/>
    <col min="6" max="6" width="3.85546875" style="1" customWidth="1"/>
    <col min="7" max="7" width="6.5703125" style="1" customWidth="1"/>
    <col min="8" max="8" width="6.85546875" style="1" customWidth="1"/>
    <col min="9" max="16384" width="11.42578125" style="1"/>
  </cols>
  <sheetData>
    <row r="1" spans="1:8" x14ac:dyDescent="0.25">
      <c r="A1" s="6" t="s">
        <v>14</v>
      </c>
      <c r="B1" s="7" t="s">
        <v>2</v>
      </c>
      <c r="C1" s="7"/>
      <c r="D1" s="7"/>
      <c r="E1" s="7"/>
      <c r="F1" s="7"/>
      <c r="G1" s="7"/>
      <c r="H1" s="8"/>
    </row>
    <row r="2" spans="1:8" x14ac:dyDescent="0.25">
      <c r="A2" s="21" t="s">
        <v>0</v>
      </c>
      <c r="B2" s="21"/>
      <c r="C2" s="24" t="s">
        <v>12</v>
      </c>
      <c r="D2" s="2"/>
      <c r="E2" s="18" t="s">
        <v>3</v>
      </c>
      <c r="F2" s="19"/>
      <c r="G2" s="16" t="s">
        <v>166</v>
      </c>
      <c r="H2" s="16" t="s">
        <v>7</v>
      </c>
    </row>
    <row r="3" spans="1:8" x14ac:dyDescent="0.25">
      <c r="A3" s="22" t="s">
        <v>1</v>
      </c>
      <c r="B3" s="23"/>
      <c r="C3" s="25">
        <f>G3*60/G6</f>
        <v>142.85714285714286</v>
      </c>
      <c r="D3" s="2"/>
      <c r="E3" s="16" t="s">
        <v>4</v>
      </c>
      <c r="F3" s="16" t="s">
        <v>5</v>
      </c>
      <c r="G3" s="16">
        <v>1</v>
      </c>
      <c r="H3" s="16" t="s">
        <v>6</v>
      </c>
    </row>
    <row r="4" spans="1:8" x14ac:dyDescent="0.25">
      <c r="A4" s="9"/>
      <c r="B4" s="2"/>
      <c r="C4" s="2"/>
      <c r="D4" s="2"/>
      <c r="E4" s="16" t="s">
        <v>168</v>
      </c>
      <c r="F4" s="16"/>
      <c r="G4" s="16">
        <v>90</v>
      </c>
      <c r="H4" s="16"/>
    </row>
    <row r="5" spans="1:8" x14ac:dyDescent="0.25">
      <c r="A5" s="9"/>
      <c r="B5" s="2"/>
      <c r="C5" s="2"/>
      <c r="D5" s="2"/>
      <c r="E5" s="16" t="s">
        <v>9</v>
      </c>
      <c r="F5" s="16"/>
      <c r="G5" s="16">
        <v>1</v>
      </c>
      <c r="H5" s="16" t="s">
        <v>6</v>
      </c>
    </row>
    <row r="6" spans="1:8" x14ac:dyDescent="0.25">
      <c r="A6" s="9"/>
      <c r="B6" s="2"/>
      <c r="C6" s="2"/>
      <c r="D6" s="2"/>
      <c r="E6" s="16" t="s">
        <v>10</v>
      </c>
      <c r="F6" s="16" t="s">
        <v>11</v>
      </c>
      <c r="G6" s="16">
        <v>0.42</v>
      </c>
      <c r="H6" s="16"/>
    </row>
    <row r="7" spans="1:8" x14ac:dyDescent="0.25">
      <c r="A7" s="32" t="s">
        <v>13</v>
      </c>
      <c r="B7" s="32"/>
      <c r="C7" s="33" t="s">
        <v>12</v>
      </c>
      <c r="D7" s="2"/>
      <c r="E7" s="16" t="s">
        <v>17</v>
      </c>
      <c r="F7" s="16" t="s">
        <v>16</v>
      </c>
      <c r="G7" s="16">
        <v>0.42</v>
      </c>
      <c r="H7" s="16"/>
    </row>
    <row r="8" spans="1:8" x14ac:dyDescent="0.25">
      <c r="A8" s="22" t="s">
        <v>15</v>
      </c>
      <c r="B8" s="23"/>
      <c r="C8" s="25">
        <f>G3*60*H10*G11*G9/G7</f>
        <v>85.714285714285722</v>
      </c>
      <c r="D8" s="2"/>
      <c r="E8" s="16" t="s">
        <v>167</v>
      </c>
      <c r="F8" s="16" t="s">
        <v>19</v>
      </c>
      <c r="G8" s="16">
        <v>0</v>
      </c>
      <c r="H8" s="16"/>
    </row>
    <row r="9" spans="1:8" x14ac:dyDescent="0.25">
      <c r="A9" s="9"/>
      <c r="B9" s="2"/>
      <c r="C9" s="2"/>
      <c r="D9" s="2"/>
      <c r="E9" s="29" t="s">
        <v>158</v>
      </c>
      <c r="F9" s="16" t="s">
        <v>70</v>
      </c>
      <c r="G9" s="16">
        <v>1</v>
      </c>
      <c r="H9" s="16"/>
    </row>
    <row r="10" spans="1:8" x14ac:dyDescent="0.25">
      <c r="A10" s="9"/>
      <c r="B10" s="2"/>
      <c r="C10" s="2"/>
      <c r="D10" s="2"/>
      <c r="E10" s="29" t="s">
        <v>159</v>
      </c>
      <c r="F10" s="16" t="s">
        <v>30</v>
      </c>
      <c r="G10" s="16">
        <v>1.5</v>
      </c>
      <c r="H10" s="16">
        <f>1/1.5</f>
        <v>0.66666666666666663</v>
      </c>
    </row>
    <row r="11" spans="1:8" x14ac:dyDescent="0.25">
      <c r="A11" s="10"/>
      <c r="B11" s="11"/>
      <c r="C11" s="11"/>
      <c r="D11" s="11"/>
      <c r="E11" s="16" t="s">
        <v>160</v>
      </c>
      <c r="F11" s="16" t="s">
        <v>84</v>
      </c>
      <c r="G11" s="16">
        <v>0.9</v>
      </c>
      <c r="H11" s="16"/>
    </row>
    <row r="14" spans="1:8" x14ac:dyDescent="0.25">
      <c r="A14" s="6" t="s">
        <v>156</v>
      </c>
      <c r="B14" s="7" t="s">
        <v>157</v>
      </c>
      <c r="C14" s="7"/>
      <c r="D14" s="7"/>
      <c r="E14" s="7"/>
      <c r="F14" s="7"/>
      <c r="G14" s="7"/>
      <c r="H14" s="8"/>
    </row>
    <row r="15" spans="1:8" x14ac:dyDescent="0.25">
      <c r="A15" s="28" t="s">
        <v>0</v>
      </c>
      <c r="B15" s="3"/>
      <c r="C15" s="2" t="s">
        <v>12</v>
      </c>
      <c r="D15" s="2"/>
      <c r="E15" s="36" t="s">
        <v>3</v>
      </c>
      <c r="F15" s="37"/>
      <c r="G15" s="34" t="s">
        <v>166</v>
      </c>
      <c r="H15" s="34" t="s">
        <v>7</v>
      </c>
    </row>
    <row r="16" spans="1:8" x14ac:dyDescent="0.25">
      <c r="A16" s="9" t="s">
        <v>1</v>
      </c>
      <c r="B16" s="2"/>
      <c r="C16" s="4">
        <f>G16*60/G19</f>
        <v>142.85714285714286</v>
      </c>
      <c r="D16" s="2"/>
      <c r="E16" s="12" t="s">
        <v>4</v>
      </c>
      <c r="F16" s="12" t="s">
        <v>5</v>
      </c>
      <c r="G16" s="12">
        <v>1</v>
      </c>
      <c r="H16" s="12" t="s">
        <v>6</v>
      </c>
    </row>
    <row r="17" spans="1:8" x14ac:dyDescent="0.25">
      <c r="A17" s="9"/>
      <c r="B17" s="2"/>
      <c r="C17" s="2"/>
      <c r="D17" s="2"/>
      <c r="E17" s="12" t="s">
        <v>8</v>
      </c>
      <c r="F17" s="12"/>
      <c r="G17" s="12">
        <v>90</v>
      </c>
      <c r="H17" s="12"/>
    </row>
    <row r="18" spans="1:8" x14ac:dyDescent="0.25">
      <c r="A18" s="9"/>
      <c r="B18" s="2"/>
      <c r="C18" s="2"/>
      <c r="D18" s="2"/>
      <c r="E18" s="12" t="s">
        <v>9</v>
      </c>
      <c r="F18" s="12"/>
      <c r="G18" s="12">
        <v>0.3</v>
      </c>
      <c r="H18" s="12" t="s">
        <v>6</v>
      </c>
    </row>
    <row r="19" spans="1:8" x14ac:dyDescent="0.25">
      <c r="A19" s="9"/>
      <c r="B19" s="2"/>
      <c r="C19" s="2"/>
      <c r="D19" s="2"/>
      <c r="E19" s="12" t="s">
        <v>10</v>
      </c>
      <c r="F19" s="12" t="s">
        <v>11</v>
      </c>
      <c r="G19" s="12">
        <v>0.42</v>
      </c>
      <c r="H19" s="12"/>
    </row>
    <row r="20" spans="1:8" x14ac:dyDescent="0.25">
      <c r="A20" s="28" t="s">
        <v>13</v>
      </c>
      <c r="B20" s="3"/>
      <c r="C20" s="2" t="s">
        <v>12</v>
      </c>
      <c r="D20" s="2"/>
      <c r="E20" s="12" t="s">
        <v>17</v>
      </c>
      <c r="F20" s="12" t="s">
        <v>16</v>
      </c>
      <c r="G20" s="12">
        <v>0.42</v>
      </c>
      <c r="H20" s="12"/>
    </row>
    <row r="21" spans="1:8" x14ac:dyDescent="0.25">
      <c r="A21" s="9" t="s">
        <v>15</v>
      </c>
      <c r="B21" s="2"/>
      <c r="C21" s="2">
        <f>G16*60*H23*G24*G22/G20</f>
        <v>85.714285714285722</v>
      </c>
      <c r="D21" s="2"/>
      <c r="E21" s="12" t="s">
        <v>18</v>
      </c>
      <c r="F21" s="12" t="s">
        <v>19</v>
      </c>
      <c r="G21" s="12">
        <v>0</v>
      </c>
      <c r="H21" s="12"/>
    </row>
    <row r="22" spans="1:8" x14ac:dyDescent="0.25">
      <c r="A22" s="9"/>
      <c r="B22" s="2"/>
      <c r="C22" s="2"/>
      <c r="D22" s="2"/>
      <c r="E22" s="35" t="s">
        <v>158</v>
      </c>
      <c r="F22" s="12" t="s">
        <v>70</v>
      </c>
      <c r="G22" s="12">
        <v>1</v>
      </c>
      <c r="H22" s="12"/>
    </row>
    <row r="23" spans="1:8" x14ac:dyDescent="0.25">
      <c r="A23" s="9"/>
      <c r="B23" s="2"/>
      <c r="C23" s="2"/>
      <c r="D23" s="2"/>
      <c r="E23" s="35" t="s">
        <v>159</v>
      </c>
      <c r="F23" s="12" t="s">
        <v>30</v>
      </c>
      <c r="G23" s="12">
        <v>1.5</v>
      </c>
      <c r="H23" s="12">
        <f>1/1.5</f>
        <v>0.66666666666666663</v>
      </c>
    </row>
    <row r="24" spans="1:8" x14ac:dyDescent="0.25">
      <c r="A24" s="10"/>
      <c r="B24" s="11"/>
      <c r="C24" s="11"/>
      <c r="D24" s="11"/>
      <c r="E24" s="12" t="s">
        <v>160</v>
      </c>
      <c r="F24" s="12" t="s">
        <v>84</v>
      </c>
      <c r="G24" s="12">
        <v>0.9</v>
      </c>
      <c r="H24" s="12"/>
    </row>
  </sheetData>
  <mergeCells count="8">
    <mergeCell ref="A2:B2"/>
    <mergeCell ref="A15:B15"/>
    <mergeCell ref="A7:B7"/>
    <mergeCell ref="A20:B20"/>
    <mergeCell ref="E2:F2"/>
    <mergeCell ref="A3:B3"/>
    <mergeCell ref="A8:B8"/>
    <mergeCell ref="E15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" sqref="E2:J13"/>
    </sheetView>
  </sheetViews>
  <sheetFormatPr baseColWidth="10" defaultRowHeight="15" x14ac:dyDescent="0.25"/>
  <cols>
    <col min="1" max="1" width="19.140625" customWidth="1"/>
    <col min="2" max="2" width="5.42578125" customWidth="1"/>
    <col min="5" max="5" width="22" customWidth="1"/>
    <col min="6" max="6" width="4" customWidth="1"/>
    <col min="7" max="7" width="8.5703125" customWidth="1"/>
    <col min="8" max="8" width="8.7109375" customWidth="1"/>
    <col min="9" max="9" width="5.42578125" customWidth="1"/>
    <col min="10" max="10" width="8.140625" customWidth="1"/>
  </cols>
  <sheetData>
    <row r="1" spans="1:10" ht="15.75" x14ac:dyDescent="0.25">
      <c r="A1" s="2" t="s">
        <v>20</v>
      </c>
      <c r="B1" s="2" t="s">
        <v>21</v>
      </c>
      <c r="C1" s="2"/>
      <c r="D1" s="2"/>
      <c r="E1" s="2"/>
      <c r="F1" s="2"/>
      <c r="G1" s="2"/>
      <c r="H1" s="2"/>
      <c r="I1" s="1"/>
      <c r="J1" s="1"/>
    </row>
    <row r="2" spans="1:10" ht="15.75" x14ac:dyDescent="0.25">
      <c r="A2" s="21" t="s">
        <v>0</v>
      </c>
      <c r="B2" s="21"/>
      <c r="C2" s="24" t="s">
        <v>12</v>
      </c>
      <c r="D2" s="2"/>
      <c r="E2" s="40" t="s">
        <v>3</v>
      </c>
      <c r="F2" s="36"/>
      <c r="G2" s="34" t="s">
        <v>166</v>
      </c>
      <c r="H2" s="34" t="s">
        <v>7</v>
      </c>
      <c r="I2" s="34" t="s">
        <v>166</v>
      </c>
      <c r="J2" s="34" t="s">
        <v>7</v>
      </c>
    </row>
    <row r="3" spans="1:10" ht="15.75" x14ac:dyDescent="0.25">
      <c r="A3" s="22" t="s">
        <v>1</v>
      </c>
      <c r="B3" s="23"/>
      <c r="C3" s="25">
        <f>G3*60/G4</f>
        <v>67.768293460043196</v>
      </c>
      <c r="D3" s="2"/>
      <c r="E3" s="12" t="s">
        <v>4</v>
      </c>
      <c r="F3" s="12" t="s">
        <v>5</v>
      </c>
      <c r="G3" s="13">
        <f>C13</f>
        <v>1.8844876799999999</v>
      </c>
      <c r="H3" s="12" t="s">
        <v>22</v>
      </c>
      <c r="I3" s="12"/>
      <c r="J3" s="12"/>
    </row>
    <row r="4" spans="1:10" ht="15.75" x14ac:dyDescent="0.25">
      <c r="A4" s="26"/>
      <c r="B4" s="26"/>
      <c r="C4" s="26"/>
      <c r="D4" s="2"/>
      <c r="E4" s="12" t="s">
        <v>24</v>
      </c>
      <c r="F4" s="12" t="s">
        <v>11</v>
      </c>
      <c r="G4" s="13">
        <f>C6</f>
        <v>1.6684684684684685</v>
      </c>
      <c r="H4" s="12" t="s">
        <v>25</v>
      </c>
      <c r="I4" s="12"/>
      <c r="J4" s="12"/>
    </row>
    <row r="5" spans="1:10" ht="15.75" x14ac:dyDescent="0.25">
      <c r="A5" s="24" t="s">
        <v>26</v>
      </c>
      <c r="B5" s="24" t="s">
        <v>11</v>
      </c>
      <c r="C5" s="24" t="s">
        <v>25</v>
      </c>
      <c r="D5" s="2"/>
      <c r="E5" s="12" t="s">
        <v>28</v>
      </c>
      <c r="F5" s="12" t="s">
        <v>29</v>
      </c>
      <c r="G5" s="14">
        <v>30</v>
      </c>
      <c r="H5" s="12" t="s">
        <v>30</v>
      </c>
      <c r="I5" s="12"/>
      <c r="J5" s="12"/>
    </row>
    <row r="6" spans="1:10" ht="15.75" x14ac:dyDescent="0.25">
      <c r="A6" s="21" t="s">
        <v>27</v>
      </c>
      <c r="B6" s="21"/>
      <c r="C6" s="27">
        <f>(G5/G6)+((G5+G8)/G7)+G9</f>
        <v>1.6684684684684685</v>
      </c>
      <c r="D6" s="2"/>
      <c r="E6" s="12" t="s">
        <v>31</v>
      </c>
      <c r="F6" s="12" t="s">
        <v>32</v>
      </c>
      <c r="G6" s="13">
        <f>I6*1000/60</f>
        <v>61.666666666666664</v>
      </c>
      <c r="H6" s="12" t="s">
        <v>33</v>
      </c>
      <c r="I6" s="12">
        <v>3.7</v>
      </c>
      <c r="J6" s="12"/>
    </row>
    <row r="7" spans="1:10" ht="15.75" x14ac:dyDescent="0.25">
      <c r="A7" s="26"/>
      <c r="B7" s="26"/>
      <c r="C7" s="26"/>
      <c r="D7" s="2"/>
      <c r="E7" s="12" t="s">
        <v>34</v>
      </c>
      <c r="F7" s="12" t="s">
        <v>35</v>
      </c>
      <c r="G7" s="13">
        <f>I7*1000/60</f>
        <v>75</v>
      </c>
      <c r="H7" s="12" t="s">
        <v>33</v>
      </c>
      <c r="I7" s="12">
        <v>4.5</v>
      </c>
      <c r="J7" s="12" t="s">
        <v>45</v>
      </c>
    </row>
    <row r="8" spans="1:10" ht="15.75" x14ac:dyDescent="0.25">
      <c r="A8" s="26"/>
      <c r="B8" s="26"/>
      <c r="C8" s="26"/>
      <c r="D8" s="2"/>
      <c r="E8" s="12" t="s">
        <v>36</v>
      </c>
      <c r="F8" s="12" t="s">
        <v>37</v>
      </c>
      <c r="G8" s="13">
        <v>10</v>
      </c>
      <c r="H8" s="12" t="s">
        <v>30</v>
      </c>
      <c r="I8" s="12"/>
      <c r="J8" s="12"/>
    </row>
    <row r="9" spans="1:10" ht="15.75" x14ac:dyDescent="0.25">
      <c r="A9" s="26"/>
      <c r="B9" s="26"/>
      <c r="C9" s="26"/>
      <c r="D9" s="2"/>
      <c r="E9" s="12" t="s">
        <v>38</v>
      </c>
      <c r="F9" s="12" t="s">
        <v>39</v>
      </c>
      <c r="G9" s="13">
        <f>C11</f>
        <v>0.64864864864864868</v>
      </c>
      <c r="H9" s="12" t="s">
        <v>25</v>
      </c>
      <c r="I9" s="12"/>
      <c r="J9" s="12"/>
    </row>
    <row r="10" spans="1:10" ht="15.75" x14ac:dyDescent="0.25">
      <c r="A10" s="24" t="s">
        <v>40</v>
      </c>
      <c r="B10" s="24" t="s">
        <v>41</v>
      </c>
      <c r="C10" s="24" t="s">
        <v>25</v>
      </c>
      <c r="D10" s="2"/>
      <c r="E10" s="12" t="s">
        <v>42</v>
      </c>
      <c r="F10" s="12" t="s">
        <v>32</v>
      </c>
      <c r="G10" s="13">
        <f>I10*1000/60</f>
        <v>30.833333333333332</v>
      </c>
      <c r="H10" s="12" t="s">
        <v>33</v>
      </c>
      <c r="I10" s="12">
        <f>3.7/2</f>
        <v>1.85</v>
      </c>
      <c r="J10" s="12" t="s">
        <v>45</v>
      </c>
    </row>
    <row r="11" spans="1:10" ht="15.75" x14ac:dyDescent="0.25">
      <c r="A11" s="24" t="s">
        <v>44</v>
      </c>
      <c r="B11" s="24"/>
      <c r="C11" s="27">
        <f>2*G11/G10</f>
        <v>0.64864864864864868</v>
      </c>
      <c r="D11" s="2"/>
      <c r="E11" s="12" t="s">
        <v>43</v>
      </c>
      <c r="F11" s="12" t="s">
        <v>37</v>
      </c>
      <c r="G11" s="13">
        <v>10</v>
      </c>
      <c r="H11" s="12" t="s">
        <v>30</v>
      </c>
      <c r="I11" s="12"/>
      <c r="J11" s="12"/>
    </row>
    <row r="12" spans="1:10" ht="15.75" x14ac:dyDescent="0.25">
      <c r="A12" s="24" t="s">
        <v>46</v>
      </c>
      <c r="B12" s="24" t="s">
        <v>5</v>
      </c>
      <c r="C12" s="27" t="s">
        <v>22</v>
      </c>
      <c r="D12" s="2"/>
      <c r="E12" s="12" t="s">
        <v>48</v>
      </c>
      <c r="F12" s="12" t="s">
        <v>49</v>
      </c>
      <c r="G12" s="13">
        <v>0.96</v>
      </c>
      <c r="H12" s="12" t="s">
        <v>30</v>
      </c>
      <c r="I12" s="12"/>
      <c r="J12" s="12"/>
    </row>
    <row r="13" spans="1:10" ht="15.75" x14ac:dyDescent="0.25">
      <c r="A13" s="24" t="s">
        <v>47</v>
      </c>
      <c r="B13" s="24"/>
      <c r="C13" s="27">
        <f>0.48*G12*G12*G13</f>
        <v>1.8844876799999999</v>
      </c>
      <c r="D13" s="2"/>
      <c r="E13" s="12" t="s">
        <v>50</v>
      </c>
      <c r="F13" s="12" t="s">
        <v>51</v>
      </c>
      <c r="G13" s="13">
        <v>4.26</v>
      </c>
      <c r="H13" s="12" t="s">
        <v>30</v>
      </c>
      <c r="I13" s="12"/>
      <c r="J13" s="12"/>
    </row>
    <row r="14" spans="1:10" ht="15.75" x14ac:dyDescent="0.25">
      <c r="A14" s="2"/>
      <c r="B14" s="2"/>
      <c r="C14" s="5"/>
      <c r="D14" s="2"/>
      <c r="E14" s="2"/>
      <c r="F14" s="2"/>
      <c r="G14" s="2"/>
      <c r="H14" s="2"/>
      <c r="I14" s="1"/>
      <c r="J14" s="1"/>
    </row>
    <row r="15" spans="1:10" ht="15.75" x14ac:dyDescent="0.25">
      <c r="A15" s="2"/>
      <c r="B15" s="2"/>
      <c r="C15" s="5"/>
      <c r="D15" s="2"/>
      <c r="E15" s="2"/>
      <c r="F15" s="2"/>
      <c r="G15" s="2"/>
      <c r="H15" s="2"/>
      <c r="I15" s="1"/>
      <c r="J15" s="1"/>
    </row>
    <row r="16" spans="1:10" ht="15.75" x14ac:dyDescent="0.25">
      <c r="A16" s="2"/>
      <c r="B16" s="2"/>
      <c r="C16" s="5"/>
      <c r="D16" s="2"/>
      <c r="E16" s="2"/>
      <c r="F16" s="2"/>
      <c r="G16" s="2"/>
      <c r="H16" s="2"/>
      <c r="I16" s="1"/>
      <c r="J16" s="1"/>
    </row>
    <row r="17" spans="1:10" ht="15.75" x14ac:dyDescent="0.25">
      <c r="A17" s="2"/>
      <c r="B17" s="2"/>
      <c r="C17" s="2"/>
      <c r="D17" s="2"/>
      <c r="E17" s="2"/>
      <c r="F17" s="2"/>
      <c r="G17" s="2"/>
      <c r="H17" s="2"/>
      <c r="I17" s="1"/>
      <c r="J17" s="1"/>
    </row>
    <row r="18" spans="1:10" ht="15.75" x14ac:dyDescent="0.25">
      <c r="A18" s="2"/>
      <c r="B18" s="2"/>
      <c r="C18" s="2"/>
      <c r="D18" s="2"/>
      <c r="E18" s="2"/>
      <c r="F18" s="2"/>
      <c r="G18" s="2"/>
      <c r="H18" s="2"/>
      <c r="I18" s="1"/>
      <c r="J18" s="1"/>
    </row>
    <row r="19" spans="1:10" ht="15.75" x14ac:dyDescent="0.25">
      <c r="A19" s="16" t="s">
        <v>13</v>
      </c>
      <c r="B19" s="16"/>
      <c r="C19" s="16" t="s">
        <v>12</v>
      </c>
      <c r="D19" s="2"/>
      <c r="E19" s="16" t="s">
        <v>17</v>
      </c>
      <c r="F19" s="16" t="s">
        <v>16</v>
      </c>
      <c r="G19" s="16">
        <f>G4*(1+G20)</f>
        <v>1.6684684684684685</v>
      </c>
      <c r="H19" s="2"/>
      <c r="I19" s="1"/>
      <c r="J19" s="1"/>
    </row>
    <row r="20" spans="1:10" ht="15.75" x14ac:dyDescent="0.25">
      <c r="A20" s="16" t="s">
        <v>165</v>
      </c>
      <c r="B20" s="16"/>
      <c r="C20" s="16">
        <f>29*G12*G12*G13/G4</f>
        <v>68.238906609071265</v>
      </c>
      <c r="D20" s="2"/>
      <c r="E20" s="16" t="s">
        <v>18</v>
      </c>
      <c r="F20" s="16" t="s">
        <v>19</v>
      </c>
      <c r="G20" s="16">
        <v>0</v>
      </c>
      <c r="H20" s="2"/>
      <c r="I20" s="1"/>
      <c r="J20" s="1"/>
    </row>
  </sheetData>
  <mergeCells count="4">
    <mergeCell ref="A2:B2"/>
    <mergeCell ref="E2:F2"/>
    <mergeCell ref="A3:B3"/>
    <mergeCell ref="A6:B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workbookViewId="0">
      <selection activeCell="E22" sqref="E22"/>
    </sheetView>
  </sheetViews>
  <sheetFormatPr baseColWidth="10" defaultRowHeight="15.75" x14ac:dyDescent="0.25"/>
  <cols>
    <col min="1" max="1" width="25.5703125" style="1" customWidth="1"/>
    <col min="2" max="4" width="11.42578125" style="1"/>
    <col min="5" max="5" width="25" style="1" customWidth="1"/>
    <col min="6" max="6" width="3.42578125" style="1" customWidth="1"/>
    <col min="7" max="7" width="6.28515625" style="1" customWidth="1"/>
    <col min="8" max="8" width="7.42578125" style="1" customWidth="1"/>
    <col min="9" max="9" width="5.85546875" style="1" customWidth="1"/>
    <col min="10" max="10" width="7.28515625" style="1" customWidth="1"/>
    <col min="11" max="16384" width="11.42578125" style="1"/>
  </cols>
  <sheetData>
    <row r="1" spans="1:11" x14ac:dyDescent="0.25">
      <c r="A1" s="16" t="s">
        <v>52</v>
      </c>
      <c r="B1" s="16" t="s">
        <v>53</v>
      </c>
      <c r="C1" s="16"/>
      <c r="D1" s="16"/>
      <c r="E1" s="16"/>
      <c r="F1" s="16"/>
      <c r="G1" s="16"/>
      <c r="H1" s="16"/>
    </row>
    <row r="2" spans="1:11" x14ac:dyDescent="0.25">
      <c r="A2" s="15" t="s">
        <v>0</v>
      </c>
      <c r="B2" s="15"/>
      <c r="C2" s="16" t="s">
        <v>12</v>
      </c>
      <c r="D2" s="16"/>
      <c r="E2" s="36" t="s">
        <v>3</v>
      </c>
      <c r="F2" s="37"/>
      <c r="G2" s="34" t="s">
        <v>166</v>
      </c>
      <c r="H2" s="34" t="s">
        <v>7</v>
      </c>
      <c r="I2" s="34" t="s">
        <v>166</v>
      </c>
      <c r="J2" s="34" t="s">
        <v>7</v>
      </c>
      <c r="K2" s="1">
        <f>15*12</f>
        <v>180</v>
      </c>
    </row>
    <row r="3" spans="1:11" x14ac:dyDescent="0.25">
      <c r="A3" s="16" t="s">
        <v>1</v>
      </c>
      <c r="B3" s="16"/>
      <c r="C3" s="17">
        <f>G3*60/G4</f>
        <v>208.03532959931064</v>
      </c>
      <c r="D3" s="16" t="s">
        <v>85</v>
      </c>
      <c r="E3" s="12" t="s">
        <v>4</v>
      </c>
      <c r="F3" s="12" t="s">
        <v>5</v>
      </c>
      <c r="G3" s="13">
        <v>2.9</v>
      </c>
      <c r="H3" s="12" t="s">
        <v>6</v>
      </c>
      <c r="I3" s="12"/>
      <c r="J3" s="12"/>
      <c r="K3" s="1">
        <f>C3/12</f>
        <v>17.336277466609221</v>
      </c>
    </row>
    <row r="4" spans="1:11" x14ac:dyDescent="0.25">
      <c r="A4" s="16"/>
      <c r="B4" s="16"/>
      <c r="C4" s="16"/>
      <c r="D4" s="16"/>
      <c r="E4" s="12" t="s">
        <v>24</v>
      </c>
      <c r="F4" s="12" t="s">
        <v>11</v>
      </c>
      <c r="G4" s="13">
        <f>C6</f>
        <v>0.8363963963963964</v>
      </c>
      <c r="H4" s="12" t="s">
        <v>25</v>
      </c>
      <c r="I4" s="12"/>
      <c r="J4" s="12"/>
    </row>
    <row r="5" spans="1:11" x14ac:dyDescent="0.25">
      <c r="A5" s="16" t="s">
        <v>26</v>
      </c>
      <c r="B5" s="16" t="s">
        <v>11</v>
      </c>
      <c r="C5" s="16" t="s">
        <v>25</v>
      </c>
      <c r="D5" s="16"/>
      <c r="E5" s="12" t="s">
        <v>28</v>
      </c>
      <c r="F5" s="12" t="s">
        <v>29</v>
      </c>
      <c r="G5" s="14">
        <v>8</v>
      </c>
      <c r="H5" s="12" t="s">
        <v>30</v>
      </c>
      <c r="I5" s="12"/>
      <c r="J5" s="12"/>
    </row>
    <row r="6" spans="1:11" x14ac:dyDescent="0.25">
      <c r="A6" s="16" t="s">
        <v>54</v>
      </c>
      <c r="B6" s="16"/>
      <c r="C6" s="20">
        <f>(G5/G6)+(G5/G7)+G8</f>
        <v>0.8363963963963964</v>
      </c>
      <c r="D6" s="16"/>
      <c r="E6" s="12" t="s">
        <v>55</v>
      </c>
      <c r="F6" s="12" t="s">
        <v>32</v>
      </c>
      <c r="G6" s="13">
        <f>I6*1000/60</f>
        <v>61.666666666666664</v>
      </c>
      <c r="H6" s="12" t="s">
        <v>33</v>
      </c>
      <c r="I6" s="35">
        <v>3.7</v>
      </c>
      <c r="J6" s="12" t="s">
        <v>169</v>
      </c>
    </row>
    <row r="7" spans="1:11" x14ac:dyDescent="0.25">
      <c r="A7" s="16"/>
      <c r="B7" s="16"/>
      <c r="C7" s="16"/>
      <c r="D7" s="16"/>
      <c r="E7" s="12" t="s">
        <v>34</v>
      </c>
      <c r="F7" s="12" t="s">
        <v>35</v>
      </c>
      <c r="G7" s="13">
        <f>I7*1000/60</f>
        <v>75</v>
      </c>
      <c r="H7" s="12" t="s">
        <v>33</v>
      </c>
      <c r="I7" s="35">
        <v>4.5</v>
      </c>
      <c r="J7" s="12" t="s">
        <v>169</v>
      </c>
    </row>
    <row r="8" spans="1:11" x14ac:dyDescent="0.25">
      <c r="A8" s="16"/>
      <c r="B8" s="16"/>
      <c r="C8" s="16"/>
      <c r="D8" s="16"/>
      <c r="E8" s="12" t="s">
        <v>38</v>
      </c>
      <c r="F8" s="12" t="s">
        <v>39</v>
      </c>
      <c r="G8" s="13">
        <f>C11</f>
        <v>0.6</v>
      </c>
      <c r="H8" s="12" t="s">
        <v>25</v>
      </c>
      <c r="I8" s="35"/>
      <c r="J8" s="12"/>
    </row>
    <row r="9" spans="1:11" x14ac:dyDescent="0.25">
      <c r="A9" s="16"/>
      <c r="B9" s="16"/>
      <c r="C9" s="16"/>
      <c r="D9" s="16"/>
      <c r="E9" s="38"/>
      <c r="F9" s="38"/>
      <c r="G9" s="39"/>
      <c r="H9" s="38"/>
    </row>
    <row r="10" spans="1:11" x14ac:dyDescent="0.25">
      <c r="A10" s="16" t="s">
        <v>40</v>
      </c>
      <c r="B10" s="16" t="s">
        <v>41</v>
      </c>
      <c r="C10" s="16" t="s">
        <v>25</v>
      </c>
      <c r="D10" s="16"/>
      <c r="E10" s="16"/>
      <c r="F10" s="16"/>
      <c r="G10" s="17"/>
      <c r="H10" s="16"/>
    </row>
    <row r="11" spans="1:11" x14ac:dyDescent="0.25">
      <c r="A11" s="16" t="s">
        <v>56</v>
      </c>
      <c r="B11" s="16"/>
      <c r="C11" s="20">
        <v>0.6</v>
      </c>
      <c r="D11" s="16"/>
      <c r="E11" s="16"/>
      <c r="F11" s="16"/>
      <c r="G11" s="17"/>
      <c r="H11" s="16"/>
    </row>
    <row r="12" spans="1:11" x14ac:dyDescent="0.25">
      <c r="A12" s="16"/>
      <c r="B12" s="16"/>
      <c r="C12" s="20"/>
      <c r="D12" s="16"/>
      <c r="E12" s="16"/>
      <c r="F12" s="16"/>
      <c r="G12" s="17"/>
      <c r="H12" s="16"/>
    </row>
    <row r="13" spans="1:11" x14ac:dyDescent="0.25">
      <c r="A13" s="16"/>
      <c r="B13" s="16"/>
      <c r="C13" s="16"/>
      <c r="D13" s="16"/>
      <c r="E13" s="16"/>
      <c r="F13" s="16"/>
      <c r="G13" s="17"/>
      <c r="H13" s="16"/>
    </row>
    <row r="14" spans="1:11" x14ac:dyDescent="0.25">
      <c r="A14" s="16" t="s">
        <v>13</v>
      </c>
      <c r="B14" s="16"/>
      <c r="C14" s="16" t="s">
        <v>12</v>
      </c>
      <c r="D14" s="16"/>
      <c r="E14" s="16" t="s">
        <v>17</v>
      </c>
      <c r="F14" s="16" t="s">
        <v>16</v>
      </c>
      <c r="G14" s="17">
        <f>G4</f>
        <v>0.8363963963963964</v>
      </c>
      <c r="H14" s="16"/>
    </row>
    <row r="15" spans="1:11" x14ac:dyDescent="0.25">
      <c r="A15" s="16" t="s">
        <v>136</v>
      </c>
      <c r="B15" s="16"/>
      <c r="C15" s="17">
        <f>G3*60*G16*G17*G18/G14</f>
        <v>177.87020680741057</v>
      </c>
      <c r="D15" s="16"/>
      <c r="E15" s="16" t="s">
        <v>18</v>
      </c>
      <c r="F15" s="16" t="s">
        <v>19</v>
      </c>
      <c r="G15" s="17">
        <v>0</v>
      </c>
      <c r="H15" s="16"/>
    </row>
    <row r="16" spans="1:11" x14ac:dyDescent="0.25">
      <c r="A16" s="16"/>
      <c r="B16" s="16"/>
      <c r="C16" s="16"/>
      <c r="D16" s="16"/>
      <c r="E16" s="16" t="s">
        <v>134</v>
      </c>
      <c r="F16" s="16" t="s">
        <v>70</v>
      </c>
      <c r="G16" s="17">
        <v>0.95</v>
      </c>
      <c r="H16" s="16"/>
    </row>
    <row r="17" spans="1:8" x14ac:dyDescent="0.25">
      <c r="A17" s="16"/>
      <c r="B17" s="16"/>
      <c r="C17" s="16"/>
      <c r="D17" s="16"/>
      <c r="E17" s="16" t="s">
        <v>98</v>
      </c>
      <c r="F17" s="16" t="s">
        <v>97</v>
      </c>
      <c r="G17" s="17">
        <v>1</v>
      </c>
      <c r="H17" s="16"/>
    </row>
    <row r="18" spans="1:8" x14ac:dyDescent="0.25">
      <c r="A18" s="16"/>
      <c r="B18" s="16"/>
      <c r="C18" s="16"/>
      <c r="D18" s="16"/>
      <c r="E18" s="16" t="s">
        <v>135</v>
      </c>
      <c r="F18" s="16" t="s">
        <v>84</v>
      </c>
      <c r="G18" s="17">
        <v>0.9</v>
      </c>
      <c r="H18" s="16"/>
    </row>
  </sheetData>
  <mergeCells count="2">
    <mergeCell ref="A2:B2"/>
    <mergeCell ref="E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41" workbookViewId="0">
      <selection activeCell="B52" sqref="B52"/>
    </sheetView>
  </sheetViews>
  <sheetFormatPr baseColWidth="10" defaultRowHeight="15.75" x14ac:dyDescent="0.25"/>
  <cols>
    <col min="1" max="1" width="36.140625" style="1" customWidth="1"/>
    <col min="2" max="4" width="11.42578125" style="1"/>
    <col min="5" max="5" width="28" style="1" customWidth="1"/>
    <col min="6" max="6" width="5.140625" style="1" customWidth="1"/>
    <col min="7" max="7" width="8.28515625" style="1" customWidth="1"/>
    <col min="8" max="8" width="8" style="1" customWidth="1"/>
    <col min="9" max="10" width="11.42578125" style="1"/>
    <col min="11" max="12" width="15" style="1" customWidth="1"/>
    <col min="13" max="16384" width="11.42578125" style="1"/>
  </cols>
  <sheetData>
    <row r="1" spans="1:12" x14ac:dyDescent="0.25">
      <c r="A1" s="41" t="s">
        <v>57</v>
      </c>
      <c r="B1" s="41" t="s">
        <v>58</v>
      </c>
      <c r="C1" s="42" t="s">
        <v>100</v>
      </c>
      <c r="D1" s="42"/>
    </row>
    <row r="2" spans="1:12" x14ac:dyDescent="0.25">
      <c r="A2" s="15" t="s">
        <v>0</v>
      </c>
      <c r="B2" s="15"/>
      <c r="C2" s="16" t="s">
        <v>12</v>
      </c>
      <c r="E2" s="36" t="s">
        <v>3</v>
      </c>
      <c r="F2" s="37"/>
      <c r="G2" s="34" t="s">
        <v>166</v>
      </c>
      <c r="H2" s="34" t="s">
        <v>7</v>
      </c>
      <c r="K2" s="1" t="s">
        <v>102</v>
      </c>
      <c r="L2" s="1" t="s">
        <v>103</v>
      </c>
    </row>
    <row r="3" spans="1:12" x14ac:dyDescent="0.25">
      <c r="A3" s="18" t="s">
        <v>59</v>
      </c>
      <c r="B3" s="19"/>
      <c r="C3" s="20">
        <f>G3*60/G4</f>
        <v>47.43193994803039</v>
      </c>
      <c r="E3" s="34" t="s">
        <v>4</v>
      </c>
      <c r="F3" s="34" t="s">
        <v>62</v>
      </c>
      <c r="G3" s="47">
        <f>C6</f>
        <v>7.8947368421052637</v>
      </c>
      <c r="H3" s="34" t="s">
        <v>22</v>
      </c>
    </row>
    <row r="4" spans="1:12" x14ac:dyDescent="0.25">
      <c r="E4" s="34" t="s">
        <v>63</v>
      </c>
      <c r="F4" s="34" t="s">
        <v>64</v>
      </c>
      <c r="G4" s="47">
        <f>C12</f>
        <v>9.9866084129242019</v>
      </c>
      <c r="H4" s="34" t="s">
        <v>25</v>
      </c>
    </row>
    <row r="5" spans="1:12" x14ac:dyDescent="0.25">
      <c r="A5" s="31" t="s">
        <v>46</v>
      </c>
      <c r="B5" s="31" t="s">
        <v>60</v>
      </c>
      <c r="C5" s="31" t="s">
        <v>22</v>
      </c>
      <c r="E5" s="48" t="s">
        <v>65</v>
      </c>
      <c r="F5" s="40" t="s">
        <v>66</v>
      </c>
      <c r="G5" s="49">
        <f>C10</f>
        <v>2.255639097744361</v>
      </c>
      <c r="H5" s="50"/>
    </row>
    <row r="6" spans="1:12" x14ac:dyDescent="0.25">
      <c r="A6" s="16" t="s">
        <v>61</v>
      </c>
      <c r="B6" s="16"/>
      <c r="C6" s="20">
        <f>G5*G7</f>
        <v>7.8947368421052637</v>
      </c>
      <c r="E6" s="48"/>
      <c r="F6" s="40"/>
      <c r="G6" s="49"/>
      <c r="H6" s="51"/>
    </row>
    <row r="7" spans="1:12" x14ac:dyDescent="0.25">
      <c r="E7" s="34" t="s">
        <v>67</v>
      </c>
      <c r="F7" s="34" t="s">
        <v>68</v>
      </c>
      <c r="G7" s="47">
        <v>3.5</v>
      </c>
      <c r="H7" s="34" t="s">
        <v>6</v>
      </c>
    </row>
    <row r="8" spans="1:12" x14ac:dyDescent="0.25">
      <c r="E8" s="34" t="s">
        <v>69</v>
      </c>
      <c r="F8" s="34" t="s">
        <v>70</v>
      </c>
      <c r="G8" s="52">
        <v>0.95</v>
      </c>
      <c r="H8" s="34"/>
    </row>
    <row r="9" spans="1:12" x14ac:dyDescent="0.25">
      <c r="A9" s="31" t="s">
        <v>71</v>
      </c>
      <c r="B9" s="31" t="s">
        <v>66</v>
      </c>
      <c r="C9" s="31"/>
      <c r="E9" s="34" t="s">
        <v>72</v>
      </c>
      <c r="F9" s="34"/>
      <c r="G9" s="47">
        <v>12</v>
      </c>
      <c r="H9" s="34" t="s">
        <v>73</v>
      </c>
    </row>
    <row r="10" spans="1:12" x14ac:dyDescent="0.25">
      <c r="A10" s="16" t="s">
        <v>170</v>
      </c>
      <c r="B10" s="16"/>
      <c r="C10" s="16">
        <f>G9/(G7*G8*G10)</f>
        <v>2.255639097744361</v>
      </c>
      <c r="E10" s="34" t="s">
        <v>74</v>
      </c>
      <c r="F10" s="34"/>
      <c r="G10" s="34">
        <v>1.6</v>
      </c>
      <c r="H10" s="34" t="s">
        <v>76</v>
      </c>
      <c r="I10" s="1">
        <v>1.6</v>
      </c>
      <c r="J10" s="1" t="s">
        <v>75</v>
      </c>
    </row>
    <row r="11" spans="1:12" x14ac:dyDescent="0.25">
      <c r="A11" s="31" t="s">
        <v>10</v>
      </c>
      <c r="B11" s="31" t="s">
        <v>64</v>
      </c>
      <c r="C11" s="54" t="s">
        <v>25</v>
      </c>
      <c r="E11" s="34" t="s">
        <v>78</v>
      </c>
      <c r="F11" s="34" t="s">
        <v>79</v>
      </c>
      <c r="G11" s="53">
        <f>'cargador frontal'!C6</f>
        <v>0.8363963963963964</v>
      </c>
      <c r="H11" s="34" t="s">
        <v>25</v>
      </c>
    </row>
    <row r="12" spans="1:12" x14ac:dyDescent="0.25">
      <c r="A12" s="16" t="s">
        <v>77</v>
      </c>
      <c r="B12" s="16"/>
      <c r="C12" s="20">
        <f>(G5*G11)+G15+(G12/G13)+(G12/G14)</f>
        <v>9.9866084129242019</v>
      </c>
      <c r="E12" s="34" t="s">
        <v>28</v>
      </c>
      <c r="F12" s="34" t="s">
        <v>29</v>
      </c>
      <c r="G12" s="52">
        <v>1500</v>
      </c>
      <c r="H12" s="34" t="s">
        <v>30</v>
      </c>
    </row>
    <row r="13" spans="1:12" x14ac:dyDescent="0.25">
      <c r="C13" s="43"/>
      <c r="E13" s="34" t="s">
        <v>80</v>
      </c>
      <c r="F13" s="34" t="s">
        <v>81</v>
      </c>
      <c r="G13" s="47">
        <f>I13*1000/60</f>
        <v>416.66666666666669</v>
      </c>
      <c r="H13" s="34" t="s">
        <v>33</v>
      </c>
      <c r="I13" s="1">
        <v>25</v>
      </c>
      <c r="J13" s="1" t="s">
        <v>93</v>
      </c>
    </row>
    <row r="14" spans="1:12" x14ac:dyDescent="0.25">
      <c r="C14" s="43"/>
      <c r="E14" s="34" t="s">
        <v>82</v>
      </c>
      <c r="F14" s="34" t="s">
        <v>83</v>
      </c>
      <c r="G14" s="34">
        <f>I14*1000/60</f>
        <v>500</v>
      </c>
      <c r="H14" s="34" t="s">
        <v>33</v>
      </c>
      <c r="I14" s="1">
        <v>30</v>
      </c>
      <c r="J14" s="1" t="s">
        <v>93</v>
      </c>
    </row>
    <row r="15" spans="1:12" x14ac:dyDescent="0.25">
      <c r="C15" s="43"/>
      <c r="E15" s="34" t="s">
        <v>92</v>
      </c>
      <c r="F15" s="34" t="s">
        <v>86</v>
      </c>
      <c r="G15" s="34">
        <f>G16+G17</f>
        <v>1.5</v>
      </c>
      <c r="H15" s="34" t="s">
        <v>25</v>
      </c>
    </row>
    <row r="16" spans="1:12" x14ac:dyDescent="0.25">
      <c r="C16" s="43"/>
      <c r="E16" s="34" t="s">
        <v>88</v>
      </c>
      <c r="F16" s="34" t="s">
        <v>90</v>
      </c>
      <c r="G16" s="34">
        <v>1.2</v>
      </c>
      <c r="H16" s="34" t="s">
        <v>25</v>
      </c>
    </row>
    <row r="17" spans="1:8" x14ac:dyDescent="0.25">
      <c r="C17" s="43"/>
      <c r="E17" s="34" t="s">
        <v>89</v>
      </c>
      <c r="F17" s="34" t="s">
        <v>91</v>
      </c>
      <c r="G17" s="34">
        <v>0.3</v>
      </c>
      <c r="H17" s="34" t="s">
        <v>25</v>
      </c>
    </row>
    <row r="19" spans="1:8" x14ac:dyDescent="0.25">
      <c r="A19" s="31" t="s">
        <v>13</v>
      </c>
      <c r="B19" s="31"/>
      <c r="C19" s="31" t="s">
        <v>12</v>
      </c>
      <c r="E19" s="16" t="s">
        <v>17</v>
      </c>
      <c r="F19" s="16" t="s">
        <v>16</v>
      </c>
      <c r="G19" s="20">
        <f>G4</f>
        <v>9.9866084129242019</v>
      </c>
    </row>
    <row r="20" spans="1:8" x14ac:dyDescent="0.25">
      <c r="A20" s="16" t="s">
        <v>96</v>
      </c>
      <c r="B20" s="16"/>
      <c r="C20" s="20">
        <f>C6*60*G22*G21*G23/G19</f>
        <v>38.419871357904618</v>
      </c>
      <c r="E20" s="16" t="s">
        <v>18</v>
      </c>
      <c r="F20" s="16" t="s">
        <v>19</v>
      </c>
      <c r="G20" s="16">
        <v>0</v>
      </c>
    </row>
    <row r="21" spans="1:8" x14ac:dyDescent="0.25">
      <c r="E21" s="16" t="s">
        <v>94</v>
      </c>
      <c r="F21" s="16" t="s">
        <v>95</v>
      </c>
      <c r="G21" s="16">
        <v>0.9</v>
      </c>
    </row>
    <row r="22" spans="1:8" x14ac:dyDescent="0.25">
      <c r="E22" s="16" t="s">
        <v>98</v>
      </c>
      <c r="F22" s="16" t="s">
        <v>97</v>
      </c>
      <c r="G22" s="16">
        <v>1</v>
      </c>
    </row>
    <row r="23" spans="1:8" x14ac:dyDescent="0.25">
      <c r="E23" s="16" t="s">
        <v>99</v>
      </c>
      <c r="F23" s="16" t="s">
        <v>84</v>
      </c>
      <c r="G23" s="16">
        <v>0.9</v>
      </c>
    </row>
    <row r="26" spans="1:8" x14ac:dyDescent="0.25">
      <c r="A26" s="41" t="s">
        <v>57</v>
      </c>
      <c r="B26" s="41" t="s">
        <v>58</v>
      </c>
      <c r="C26" s="42" t="s">
        <v>101</v>
      </c>
      <c r="D26" s="42"/>
    </row>
    <row r="27" spans="1:8" x14ac:dyDescent="0.25">
      <c r="A27" s="30" t="s">
        <v>0</v>
      </c>
      <c r="B27" s="30"/>
      <c r="C27" s="31" t="s">
        <v>12</v>
      </c>
      <c r="E27" s="40" t="s">
        <v>3</v>
      </c>
      <c r="F27" s="40"/>
      <c r="G27" s="34" t="s">
        <v>166</v>
      </c>
      <c r="H27" s="34" t="s">
        <v>7</v>
      </c>
    </row>
    <row r="28" spans="1:8" x14ac:dyDescent="0.25">
      <c r="A28" s="18" t="s">
        <v>59</v>
      </c>
      <c r="B28" s="19"/>
      <c r="C28" s="20">
        <f>G28*60/G29</f>
        <v>128.02275960170698</v>
      </c>
      <c r="E28" s="12" t="s">
        <v>4</v>
      </c>
      <c r="F28" s="12" t="s">
        <v>62</v>
      </c>
      <c r="G28" s="13">
        <f>C31</f>
        <v>7.8947368421052637</v>
      </c>
      <c r="H28" s="12" t="s">
        <v>22</v>
      </c>
    </row>
    <row r="29" spans="1:8" x14ac:dyDescent="0.25">
      <c r="E29" s="12" t="s">
        <v>63</v>
      </c>
      <c r="F29" s="12" t="s">
        <v>64</v>
      </c>
      <c r="G29" s="13">
        <f>C37</f>
        <v>3.7</v>
      </c>
      <c r="H29" s="12" t="s">
        <v>25</v>
      </c>
    </row>
    <row r="30" spans="1:8" x14ac:dyDescent="0.25">
      <c r="A30" s="31" t="s">
        <v>46</v>
      </c>
      <c r="B30" s="31" t="s">
        <v>60</v>
      </c>
      <c r="C30" s="31" t="s">
        <v>22</v>
      </c>
      <c r="E30" s="46" t="s">
        <v>65</v>
      </c>
      <c r="F30" s="12" t="s">
        <v>66</v>
      </c>
      <c r="G30" s="13">
        <f>B35</f>
        <v>2.255639097744361</v>
      </c>
      <c r="H30" s="12"/>
    </row>
    <row r="31" spans="1:8" x14ac:dyDescent="0.25">
      <c r="A31" s="16" t="s">
        <v>61</v>
      </c>
      <c r="B31" s="16"/>
      <c r="C31" s="20">
        <f>G30*G32</f>
        <v>7.8947368421052637</v>
      </c>
      <c r="E31" s="46"/>
      <c r="F31" s="12"/>
      <c r="G31" s="13"/>
      <c r="H31" s="12"/>
    </row>
    <row r="32" spans="1:8" x14ac:dyDescent="0.25">
      <c r="E32" s="12" t="s">
        <v>67</v>
      </c>
      <c r="F32" s="12" t="s">
        <v>68</v>
      </c>
      <c r="G32" s="13">
        <v>3.5</v>
      </c>
      <c r="H32" s="12" t="s">
        <v>6</v>
      </c>
    </row>
    <row r="33" spans="1:10" x14ac:dyDescent="0.25">
      <c r="E33" s="12" t="s">
        <v>69</v>
      </c>
      <c r="F33" s="12" t="s">
        <v>70</v>
      </c>
      <c r="G33" s="14">
        <v>0.95</v>
      </c>
      <c r="H33" s="12"/>
    </row>
    <row r="34" spans="1:10" x14ac:dyDescent="0.25">
      <c r="A34" s="31" t="s">
        <v>71</v>
      </c>
      <c r="B34" s="31" t="s">
        <v>66</v>
      </c>
      <c r="C34" s="31"/>
      <c r="E34" s="12" t="s">
        <v>72</v>
      </c>
      <c r="F34" s="12"/>
      <c r="G34" s="13">
        <v>12</v>
      </c>
      <c r="H34" s="12" t="s">
        <v>73</v>
      </c>
    </row>
    <row r="35" spans="1:10" x14ac:dyDescent="0.25">
      <c r="A35" s="16" t="s">
        <v>170</v>
      </c>
      <c r="B35" s="20">
        <f>G34/(G32*G33*G35)</f>
        <v>2.255639097744361</v>
      </c>
      <c r="C35" s="20"/>
      <c r="E35" s="12" t="s">
        <v>74</v>
      </c>
      <c r="F35" s="12"/>
      <c r="G35" s="13">
        <v>1.6</v>
      </c>
      <c r="H35" s="12" t="s">
        <v>76</v>
      </c>
      <c r="I35" s="1">
        <v>1.6</v>
      </c>
      <c r="J35" s="1" t="s">
        <v>75</v>
      </c>
    </row>
    <row r="36" spans="1:10" x14ac:dyDescent="0.25">
      <c r="A36" s="31" t="s">
        <v>10</v>
      </c>
      <c r="B36" s="31" t="s">
        <v>64</v>
      </c>
      <c r="C36" s="54" t="s">
        <v>25</v>
      </c>
      <c r="E36" s="12" t="s">
        <v>78</v>
      </c>
      <c r="F36" s="12" t="s">
        <v>79</v>
      </c>
      <c r="G36" s="13">
        <f>'cargador frontal'!C29</f>
        <v>0</v>
      </c>
      <c r="H36" s="12" t="s">
        <v>25</v>
      </c>
    </row>
    <row r="37" spans="1:10" x14ac:dyDescent="0.25">
      <c r="A37" s="16" t="s">
        <v>77</v>
      </c>
      <c r="B37" s="16"/>
      <c r="C37" s="20">
        <f>(G30*G36)+G40+(G37/G38)+(G37/G39)</f>
        <v>3.7</v>
      </c>
      <c r="E37" s="12" t="s">
        <v>28</v>
      </c>
      <c r="F37" s="12" t="s">
        <v>29</v>
      </c>
      <c r="G37" s="14">
        <v>500</v>
      </c>
      <c r="H37" s="12" t="s">
        <v>30</v>
      </c>
    </row>
    <row r="38" spans="1:10" x14ac:dyDescent="0.25">
      <c r="C38" s="43"/>
      <c r="E38" s="12" t="s">
        <v>80</v>
      </c>
      <c r="F38" s="12" t="s">
        <v>81</v>
      </c>
      <c r="G38" s="13">
        <f>I38*1000/60</f>
        <v>416.66666666666669</v>
      </c>
      <c r="H38" s="12" t="s">
        <v>33</v>
      </c>
      <c r="I38" s="1">
        <v>25</v>
      </c>
      <c r="J38" s="1" t="s">
        <v>93</v>
      </c>
    </row>
    <row r="39" spans="1:10" x14ac:dyDescent="0.25">
      <c r="C39" s="43"/>
      <c r="E39" s="12" t="s">
        <v>82</v>
      </c>
      <c r="F39" s="12" t="s">
        <v>83</v>
      </c>
      <c r="G39" s="13">
        <f>I39*1000/60</f>
        <v>500</v>
      </c>
      <c r="H39" s="12" t="s">
        <v>33</v>
      </c>
      <c r="I39" s="1">
        <v>30</v>
      </c>
      <c r="J39" s="1" t="s">
        <v>93</v>
      </c>
    </row>
    <row r="40" spans="1:10" x14ac:dyDescent="0.25">
      <c r="C40" s="43"/>
      <c r="E40" s="12" t="s">
        <v>92</v>
      </c>
      <c r="F40" s="12" t="s">
        <v>86</v>
      </c>
      <c r="G40" s="13">
        <f>G41+G42</f>
        <v>1.5</v>
      </c>
      <c r="H40" s="12" t="s">
        <v>25</v>
      </c>
    </row>
    <row r="41" spans="1:10" x14ac:dyDescent="0.25">
      <c r="C41" s="43"/>
      <c r="E41" s="12" t="s">
        <v>88</v>
      </c>
      <c r="F41" s="12" t="s">
        <v>90</v>
      </c>
      <c r="G41" s="13">
        <v>1.2</v>
      </c>
      <c r="H41" s="12" t="s">
        <v>25</v>
      </c>
    </row>
    <row r="42" spans="1:10" x14ac:dyDescent="0.25">
      <c r="C42" s="43"/>
      <c r="E42" s="12" t="s">
        <v>89</v>
      </c>
      <c r="F42" s="12" t="s">
        <v>91</v>
      </c>
      <c r="G42" s="13">
        <v>0.3</v>
      </c>
      <c r="H42" s="12" t="s">
        <v>25</v>
      </c>
    </row>
    <row r="44" spans="1:10" x14ac:dyDescent="0.25">
      <c r="A44" s="56" t="s">
        <v>13</v>
      </c>
      <c r="B44" s="57"/>
      <c r="C44" s="31" t="s">
        <v>12</v>
      </c>
      <c r="E44" s="16" t="s">
        <v>17</v>
      </c>
      <c r="F44" s="16" t="s">
        <v>16</v>
      </c>
      <c r="G44" s="20">
        <f>G29</f>
        <v>3.7</v>
      </c>
    </row>
    <row r="45" spans="1:10" x14ac:dyDescent="0.25">
      <c r="A45" s="18" t="s">
        <v>96</v>
      </c>
      <c r="B45" s="19"/>
      <c r="C45" s="20">
        <f>C31*60*G47*G46*G48/G44</f>
        <v>103.69843527738266</v>
      </c>
      <c r="E45" s="16" t="s">
        <v>18</v>
      </c>
      <c r="F45" s="16" t="s">
        <v>19</v>
      </c>
      <c r="G45" s="16">
        <v>0</v>
      </c>
    </row>
    <row r="46" spans="1:10" x14ac:dyDescent="0.25">
      <c r="E46" s="16" t="s">
        <v>94</v>
      </c>
      <c r="F46" s="16" t="s">
        <v>95</v>
      </c>
      <c r="G46" s="16">
        <v>0.9</v>
      </c>
    </row>
    <row r="47" spans="1:10" x14ac:dyDescent="0.25">
      <c r="E47" s="16" t="s">
        <v>98</v>
      </c>
      <c r="F47" s="16" t="s">
        <v>97</v>
      </c>
      <c r="G47" s="16">
        <v>1</v>
      </c>
    </row>
    <row r="48" spans="1:10" x14ac:dyDescent="0.25">
      <c r="E48" s="16" t="s">
        <v>99</v>
      </c>
      <c r="F48" s="16" t="s">
        <v>84</v>
      </c>
      <c r="G48" s="16">
        <v>0.9</v>
      </c>
    </row>
    <row r="51" spans="1:2" x14ac:dyDescent="0.25">
      <c r="A51" s="16" t="s">
        <v>161</v>
      </c>
      <c r="B51" s="16" t="s">
        <v>155</v>
      </c>
    </row>
    <row r="52" spans="1:2" x14ac:dyDescent="0.25">
      <c r="A52" s="16"/>
      <c r="B52" s="20">
        <f>AVERAGE(C45,C20)</f>
        <v>71.059153317643634</v>
      </c>
    </row>
  </sheetData>
  <mergeCells count="15">
    <mergeCell ref="A44:B44"/>
    <mergeCell ref="A45:B45"/>
    <mergeCell ref="F5:F6"/>
    <mergeCell ref="G5:G6"/>
    <mergeCell ref="E2:F2"/>
    <mergeCell ref="H5:H6"/>
    <mergeCell ref="A3:B3"/>
    <mergeCell ref="A27:B27"/>
    <mergeCell ref="E30:E31"/>
    <mergeCell ref="A2:B2"/>
    <mergeCell ref="E5:E6"/>
    <mergeCell ref="C1:D1"/>
    <mergeCell ref="C26:D26"/>
    <mergeCell ref="E27:F27"/>
    <mergeCell ref="A28:B28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70" workbookViewId="0">
      <selection activeCell="E57" sqref="E57:H72"/>
    </sheetView>
  </sheetViews>
  <sheetFormatPr baseColWidth="10" defaultRowHeight="15.75" x14ac:dyDescent="0.25"/>
  <cols>
    <col min="1" max="1" width="30" style="1" customWidth="1"/>
    <col min="2" max="4" width="11.42578125" style="1"/>
    <col min="5" max="5" width="31.85546875" style="1" customWidth="1"/>
    <col min="6" max="6" width="4.5703125" style="1" customWidth="1"/>
    <col min="7" max="7" width="8.5703125" style="1" customWidth="1"/>
    <col min="8" max="8" width="7.42578125" style="1" customWidth="1"/>
    <col min="9" max="9" width="9" style="1" customWidth="1"/>
    <col min="10" max="16384" width="11.42578125" style="1"/>
  </cols>
  <sheetData>
    <row r="1" spans="1:10" x14ac:dyDescent="0.25">
      <c r="A1" s="16" t="s">
        <v>104</v>
      </c>
      <c r="B1" s="16" t="s">
        <v>105</v>
      </c>
      <c r="C1" s="16" t="s">
        <v>163</v>
      </c>
      <c r="D1" s="16"/>
      <c r="E1" s="16"/>
      <c r="F1" s="16"/>
      <c r="G1" s="16"/>
      <c r="H1" s="16"/>
    </row>
    <row r="2" spans="1:10" x14ac:dyDescent="0.25">
      <c r="A2" s="15" t="s">
        <v>0</v>
      </c>
      <c r="B2" s="15"/>
      <c r="C2" s="16" t="s">
        <v>109</v>
      </c>
      <c r="D2" s="16"/>
      <c r="E2" s="36" t="s">
        <v>3</v>
      </c>
      <c r="F2" s="37"/>
      <c r="G2" s="34" t="s">
        <v>166</v>
      </c>
      <c r="H2" s="34" t="s">
        <v>7</v>
      </c>
    </row>
    <row r="3" spans="1:10" ht="19.5" thickBot="1" x14ac:dyDescent="0.3">
      <c r="A3" s="18" t="s">
        <v>106</v>
      </c>
      <c r="B3" s="19"/>
      <c r="C3" s="17">
        <f>60*G5*(G7-G8)/(G9*G10)</f>
        <v>1095.7192763076923</v>
      </c>
      <c r="D3" s="16"/>
      <c r="E3" s="61" t="s">
        <v>174</v>
      </c>
      <c r="F3" s="12" t="s">
        <v>107</v>
      </c>
      <c r="G3" s="45"/>
      <c r="H3" s="12" t="s">
        <v>109</v>
      </c>
      <c r="J3" s="1" t="s">
        <v>122</v>
      </c>
    </row>
    <row r="4" spans="1:10" ht="16.5" thickBot="1" x14ac:dyDescent="0.3">
      <c r="A4" s="16"/>
      <c r="B4" s="16"/>
      <c r="C4" s="16"/>
      <c r="D4" s="16"/>
      <c r="E4" s="61" t="s">
        <v>175</v>
      </c>
      <c r="F4" s="12" t="s">
        <v>108</v>
      </c>
      <c r="G4" s="45"/>
      <c r="H4" s="12" t="s">
        <v>12</v>
      </c>
    </row>
    <row r="5" spans="1:10" ht="16.5" thickBot="1" x14ac:dyDescent="0.3">
      <c r="A5" s="15" t="s">
        <v>0</v>
      </c>
      <c r="B5" s="15"/>
      <c r="C5" s="16" t="s">
        <v>12</v>
      </c>
      <c r="D5" s="16"/>
      <c r="E5" s="61" t="s">
        <v>176</v>
      </c>
      <c r="F5" s="12" t="s">
        <v>37</v>
      </c>
      <c r="G5" s="45">
        <v>100</v>
      </c>
      <c r="H5" s="12" t="s">
        <v>30</v>
      </c>
    </row>
    <row r="6" spans="1:10" ht="16.5" thickBot="1" x14ac:dyDescent="0.3">
      <c r="A6" s="65" t="s">
        <v>116</v>
      </c>
      <c r="B6" s="66"/>
      <c r="C6" s="16">
        <f>60*G5*G6*(G7-G8)/(G9*G10)</f>
        <v>219.14385526153845</v>
      </c>
      <c r="D6" s="16"/>
      <c r="E6" s="61" t="s">
        <v>110</v>
      </c>
      <c r="F6" s="12" t="s">
        <v>111</v>
      </c>
      <c r="G6" s="45">
        <v>0.2</v>
      </c>
      <c r="H6" s="12" t="s">
        <v>30</v>
      </c>
    </row>
    <row r="7" spans="1:10" ht="16.5" thickBot="1" x14ac:dyDescent="0.3">
      <c r="A7" s="16" t="s">
        <v>123</v>
      </c>
      <c r="B7" s="16"/>
      <c r="C7" s="16"/>
      <c r="D7" s="16"/>
      <c r="E7" s="61" t="s">
        <v>177</v>
      </c>
      <c r="F7" s="12" t="s">
        <v>113</v>
      </c>
      <c r="G7" s="45">
        <f>C12</f>
        <v>3.1675730400000006</v>
      </c>
      <c r="H7" s="12" t="s">
        <v>30</v>
      </c>
    </row>
    <row r="8" spans="1:10" ht="16.5" thickBot="1" x14ac:dyDescent="0.3">
      <c r="A8" s="16"/>
      <c r="B8" s="16"/>
      <c r="C8" s="16"/>
      <c r="D8" s="16"/>
      <c r="E8" s="61" t="s">
        <v>114</v>
      </c>
      <c r="F8" s="12" t="s">
        <v>115</v>
      </c>
      <c r="G8" s="45">
        <v>0.2</v>
      </c>
      <c r="H8" s="12" t="s">
        <v>30</v>
      </c>
    </row>
    <row r="9" spans="1:10" ht="16.5" thickBot="1" x14ac:dyDescent="0.3">
      <c r="A9" s="16"/>
      <c r="B9" s="16"/>
      <c r="C9" s="16"/>
      <c r="D9" s="16"/>
      <c r="E9" s="61" t="s">
        <v>178</v>
      </c>
      <c r="F9" s="12" t="s">
        <v>23</v>
      </c>
      <c r="G9" s="45">
        <v>5</v>
      </c>
      <c r="H9" s="12"/>
    </row>
    <row r="10" spans="1:10" ht="16.5" thickBot="1" x14ac:dyDescent="0.3">
      <c r="A10" s="16"/>
      <c r="B10" s="16"/>
      <c r="C10" s="16"/>
      <c r="D10" s="16"/>
      <c r="E10" s="61" t="s">
        <v>179</v>
      </c>
      <c r="F10" s="12" t="s">
        <v>11</v>
      </c>
      <c r="G10" s="45">
        <f>C15</f>
        <v>3.2500000000000004</v>
      </c>
      <c r="H10" s="12" t="s">
        <v>30</v>
      </c>
    </row>
    <row r="11" spans="1:10" ht="16.5" thickBot="1" x14ac:dyDescent="0.3">
      <c r="A11" s="16" t="s">
        <v>112</v>
      </c>
      <c r="B11" s="16" t="s">
        <v>113</v>
      </c>
      <c r="C11" s="16" t="s">
        <v>30</v>
      </c>
      <c r="D11" s="16"/>
      <c r="E11" s="61" t="s">
        <v>118</v>
      </c>
      <c r="F11" s="12" t="s">
        <v>51</v>
      </c>
      <c r="G11" s="60">
        <f>I11*0.3048</f>
        <v>3.6576000000000004</v>
      </c>
      <c r="H11" s="12" t="s">
        <v>30</v>
      </c>
      <c r="I11" s="1">
        <v>12</v>
      </c>
      <c r="J11" s="1" t="s">
        <v>120</v>
      </c>
    </row>
    <row r="12" spans="1:10" ht="16.5" thickBot="1" x14ac:dyDescent="0.3">
      <c r="A12" s="16" t="s">
        <v>117</v>
      </c>
      <c r="B12" s="16"/>
      <c r="C12" s="20">
        <f>G11*J12</f>
        <v>3.1675730400000006</v>
      </c>
      <c r="D12" s="16"/>
      <c r="E12" s="61" t="s">
        <v>180</v>
      </c>
      <c r="F12" s="12" t="s">
        <v>119</v>
      </c>
      <c r="G12" s="45">
        <v>30</v>
      </c>
      <c r="H12" s="12"/>
      <c r="I12" s="1" t="s">
        <v>121</v>
      </c>
      <c r="J12" s="1">
        <v>0.86602500000000004</v>
      </c>
    </row>
    <row r="13" spans="1:10" ht="16.5" thickBot="1" x14ac:dyDescent="0.3">
      <c r="A13" s="16"/>
      <c r="B13" s="16"/>
      <c r="C13" s="20"/>
      <c r="D13" s="16"/>
      <c r="E13" s="61" t="s">
        <v>173</v>
      </c>
      <c r="F13" s="12"/>
      <c r="G13" s="45">
        <v>0.86599999999999999</v>
      </c>
      <c r="H13" s="12"/>
    </row>
    <row r="14" spans="1:10" ht="16.5" thickBot="1" x14ac:dyDescent="0.3">
      <c r="A14" s="16" t="s">
        <v>124</v>
      </c>
      <c r="B14" s="16" t="s">
        <v>11</v>
      </c>
      <c r="C14" s="20" t="s">
        <v>25</v>
      </c>
      <c r="D14" s="16"/>
      <c r="E14" s="61" t="s">
        <v>126</v>
      </c>
      <c r="F14" s="12" t="s">
        <v>37</v>
      </c>
      <c r="G14" s="45">
        <v>100</v>
      </c>
      <c r="H14" s="12" t="s">
        <v>30</v>
      </c>
    </row>
    <row r="15" spans="1:10" ht="16.5" thickBot="1" x14ac:dyDescent="0.3">
      <c r="A15" s="16" t="s">
        <v>125</v>
      </c>
      <c r="B15" s="16"/>
      <c r="C15" s="16">
        <f>(G14/G15)+(G14/G16)+G17</f>
        <v>3.2500000000000004</v>
      </c>
      <c r="D15" s="16"/>
      <c r="E15" s="61" t="s">
        <v>42</v>
      </c>
      <c r="F15" s="12" t="s">
        <v>127</v>
      </c>
      <c r="G15" s="45">
        <f>I15*1000/60</f>
        <v>83.333333333333329</v>
      </c>
      <c r="H15" s="12" t="s">
        <v>33</v>
      </c>
      <c r="I15" s="1">
        <v>5</v>
      </c>
      <c r="J15" s="1" t="s">
        <v>45</v>
      </c>
    </row>
    <row r="16" spans="1:10" ht="16.5" thickBot="1" x14ac:dyDescent="0.3">
      <c r="A16" s="16"/>
      <c r="B16" s="16"/>
      <c r="C16" s="16"/>
      <c r="D16" s="16"/>
      <c r="E16" s="61" t="s">
        <v>181</v>
      </c>
      <c r="F16" s="12" t="s">
        <v>128</v>
      </c>
      <c r="G16" s="45">
        <f>I16*1000/60</f>
        <v>83.333333333333329</v>
      </c>
      <c r="H16" s="12" t="s">
        <v>33</v>
      </c>
      <c r="I16" s="1">
        <v>5</v>
      </c>
      <c r="J16" s="1" t="s">
        <v>45</v>
      </c>
    </row>
    <row r="17" spans="1:10" ht="16.5" thickBot="1" x14ac:dyDescent="0.3">
      <c r="A17" s="16"/>
      <c r="B17" s="16"/>
      <c r="C17" s="16"/>
      <c r="D17" s="16"/>
      <c r="E17" s="61" t="s">
        <v>87</v>
      </c>
      <c r="F17" s="12" t="s">
        <v>86</v>
      </c>
      <c r="G17" s="45">
        <v>0.85</v>
      </c>
      <c r="H17" s="12" t="s">
        <v>25</v>
      </c>
    </row>
    <row r="18" spans="1:10" x14ac:dyDescent="0.25">
      <c r="A18" s="16"/>
      <c r="B18" s="16"/>
      <c r="C18" s="16"/>
      <c r="D18" s="16"/>
      <c r="E18" s="16"/>
      <c r="F18" s="16"/>
      <c r="G18" s="20"/>
      <c r="H18" s="16"/>
    </row>
    <row r="19" spans="1:10" x14ac:dyDescent="0.25">
      <c r="A19" s="16"/>
      <c r="B19" s="16"/>
      <c r="C19" s="16"/>
      <c r="D19" s="16"/>
      <c r="E19" s="16"/>
      <c r="F19" s="16"/>
      <c r="G19" s="20"/>
      <c r="H19" s="16"/>
    </row>
    <row r="20" spans="1:10" x14ac:dyDescent="0.25">
      <c r="A20" s="18" t="s">
        <v>13</v>
      </c>
      <c r="B20" s="19"/>
      <c r="C20" s="16" t="s">
        <v>109</v>
      </c>
      <c r="D20" s="16"/>
      <c r="E20" s="16" t="s">
        <v>129</v>
      </c>
      <c r="F20" s="16" t="s">
        <v>131</v>
      </c>
      <c r="G20" s="20">
        <v>0.85</v>
      </c>
      <c r="H20" s="16"/>
    </row>
    <row r="21" spans="1:10" x14ac:dyDescent="0.25">
      <c r="A21" s="18" t="s">
        <v>132</v>
      </c>
      <c r="B21" s="19"/>
      <c r="C21" s="20">
        <f>60*G5*(G7-G8)*G20*G21*G22/(G9*G10)</f>
        <v>838.22524637538459</v>
      </c>
      <c r="D21" s="16"/>
      <c r="E21" s="16" t="s">
        <v>98</v>
      </c>
      <c r="F21" s="16" t="s">
        <v>97</v>
      </c>
      <c r="G21" s="20">
        <v>1</v>
      </c>
      <c r="H21" s="16"/>
    </row>
    <row r="22" spans="1:10" x14ac:dyDescent="0.25">
      <c r="A22" s="16"/>
      <c r="B22" s="16"/>
      <c r="C22" s="16"/>
      <c r="D22" s="16"/>
      <c r="E22" s="16" t="s">
        <v>130</v>
      </c>
      <c r="F22" s="16" t="s">
        <v>84</v>
      </c>
      <c r="G22" s="20">
        <v>0.9</v>
      </c>
      <c r="H22" s="16"/>
    </row>
    <row r="23" spans="1:10" x14ac:dyDescent="0.25">
      <c r="A23" s="18" t="s">
        <v>13</v>
      </c>
      <c r="B23" s="19"/>
      <c r="C23" s="16" t="s">
        <v>12</v>
      </c>
      <c r="D23" s="16"/>
      <c r="E23" s="16"/>
      <c r="F23" s="16"/>
      <c r="G23" s="16"/>
      <c r="H23" s="16"/>
    </row>
    <row r="24" spans="1:10" x14ac:dyDescent="0.25">
      <c r="A24" s="63" t="s">
        <v>133</v>
      </c>
      <c r="B24" s="64"/>
      <c r="C24" s="16">
        <f>60*G5*G6*(G7-G8)*G20*G21*G22/(G9*G10)</f>
        <v>167.6450492750769</v>
      </c>
      <c r="D24" s="16"/>
      <c r="E24" s="16"/>
      <c r="F24" s="16"/>
      <c r="G24" s="16"/>
      <c r="H24" s="16"/>
    </row>
    <row r="25" spans="1:10" x14ac:dyDescent="0.25">
      <c r="A25" s="16" t="s">
        <v>123</v>
      </c>
      <c r="B25" s="16"/>
      <c r="C25" s="16"/>
      <c r="D25" s="16"/>
      <c r="E25" s="16"/>
      <c r="F25" s="16"/>
      <c r="G25" s="16"/>
      <c r="H25" s="16"/>
    </row>
    <row r="29" spans="1:10" x14ac:dyDescent="0.25">
      <c r="A29" s="16" t="s">
        <v>104</v>
      </c>
      <c r="B29" s="16" t="s">
        <v>105</v>
      </c>
      <c r="C29" s="16" t="s">
        <v>162</v>
      </c>
      <c r="D29" s="16"/>
      <c r="E29" s="16"/>
      <c r="F29" s="16"/>
      <c r="G29" s="16"/>
      <c r="H29" s="16"/>
    </row>
    <row r="30" spans="1:10" x14ac:dyDescent="0.25">
      <c r="A30" s="15" t="s">
        <v>0</v>
      </c>
      <c r="B30" s="15"/>
      <c r="C30" s="16" t="s">
        <v>109</v>
      </c>
      <c r="D30" s="16"/>
      <c r="E30" s="56" t="s">
        <v>3</v>
      </c>
      <c r="F30" s="57"/>
      <c r="G30" s="31" t="s">
        <v>166</v>
      </c>
      <c r="H30" s="31" t="s">
        <v>7</v>
      </c>
    </row>
    <row r="31" spans="1:10" ht="19.5" thickBot="1" x14ac:dyDescent="0.3">
      <c r="A31" s="18" t="s">
        <v>106</v>
      </c>
      <c r="B31" s="19"/>
      <c r="C31" s="17">
        <f>60*G33*(G35-G36)/(G37*G38)</f>
        <v>960.68968763076907</v>
      </c>
      <c r="D31" s="16"/>
      <c r="E31" s="61" t="s">
        <v>174</v>
      </c>
      <c r="F31" s="16" t="s">
        <v>107</v>
      </c>
      <c r="G31" s="20"/>
      <c r="H31" s="16" t="s">
        <v>109</v>
      </c>
      <c r="J31" s="1" t="s">
        <v>122</v>
      </c>
    </row>
    <row r="32" spans="1:10" ht="16.5" thickBot="1" x14ac:dyDescent="0.3">
      <c r="A32" s="16"/>
      <c r="B32" s="16"/>
      <c r="C32" s="16"/>
      <c r="D32" s="16"/>
      <c r="E32" s="61" t="s">
        <v>175</v>
      </c>
      <c r="F32" s="16" t="s">
        <v>108</v>
      </c>
      <c r="G32" s="16"/>
      <c r="H32" s="16" t="s">
        <v>12</v>
      </c>
    </row>
    <row r="33" spans="1:10" ht="16.5" thickBot="1" x14ac:dyDescent="0.3">
      <c r="A33" s="15" t="s">
        <v>0</v>
      </c>
      <c r="B33" s="15"/>
      <c r="C33" s="16" t="s">
        <v>12</v>
      </c>
      <c r="D33" s="16"/>
      <c r="E33" s="61" t="s">
        <v>176</v>
      </c>
      <c r="F33" s="16" t="s">
        <v>37</v>
      </c>
      <c r="G33" s="20">
        <v>100</v>
      </c>
      <c r="H33" s="16" t="s">
        <v>30</v>
      </c>
    </row>
    <row r="34" spans="1:10" ht="16.5" thickBot="1" x14ac:dyDescent="0.3">
      <c r="A34" s="63" t="s">
        <v>116</v>
      </c>
      <c r="B34" s="64"/>
      <c r="C34" s="16">
        <f>60*G33*G34*(G35-G36)/(G37*G38)</f>
        <v>192.13793752615382</v>
      </c>
      <c r="D34" s="16"/>
      <c r="E34" s="61" t="s">
        <v>110</v>
      </c>
      <c r="F34" s="16" t="s">
        <v>111</v>
      </c>
      <c r="G34" s="20">
        <v>0.2</v>
      </c>
      <c r="H34" s="16" t="s">
        <v>30</v>
      </c>
    </row>
    <row r="35" spans="1:10" ht="16.5" thickBot="1" x14ac:dyDescent="0.3">
      <c r="A35" s="16" t="s">
        <v>123</v>
      </c>
      <c r="B35" s="16"/>
      <c r="C35" s="16"/>
      <c r="D35" s="16"/>
      <c r="E35" s="61" t="s">
        <v>177</v>
      </c>
      <c r="F35" s="16" t="s">
        <v>113</v>
      </c>
      <c r="G35" s="20">
        <f>C40</f>
        <v>2.8018679040000003</v>
      </c>
      <c r="H35" s="16" t="s">
        <v>30</v>
      </c>
    </row>
    <row r="36" spans="1:10" ht="16.5" thickBot="1" x14ac:dyDescent="0.3">
      <c r="A36" s="16"/>
      <c r="B36" s="16"/>
      <c r="C36" s="16"/>
      <c r="D36" s="16"/>
      <c r="E36" s="61" t="s">
        <v>114</v>
      </c>
      <c r="F36" s="16" t="s">
        <v>115</v>
      </c>
      <c r="G36" s="20">
        <v>0.2</v>
      </c>
      <c r="H36" s="16" t="s">
        <v>30</v>
      </c>
    </row>
    <row r="37" spans="1:10" ht="16.5" thickBot="1" x14ac:dyDescent="0.3">
      <c r="A37" s="16"/>
      <c r="B37" s="16"/>
      <c r="C37" s="16"/>
      <c r="D37" s="16"/>
      <c r="E37" s="61" t="s">
        <v>178</v>
      </c>
      <c r="F37" s="16" t="s">
        <v>23</v>
      </c>
      <c r="G37" s="20">
        <v>5</v>
      </c>
      <c r="H37" s="16"/>
    </row>
    <row r="38" spans="1:10" ht="16.5" thickBot="1" x14ac:dyDescent="0.3">
      <c r="A38" s="16"/>
      <c r="B38" s="16"/>
      <c r="C38" s="16"/>
      <c r="D38" s="16"/>
      <c r="E38" s="61" t="s">
        <v>179</v>
      </c>
      <c r="F38" s="16" t="s">
        <v>11</v>
      </c>
      <c r="G38" s="20">
        <f>C43</f>
        <v>3.2500000000000004</v>
      </c>
      <c r="H38" s="16" t="s">
        <v>30</v>
      </c>
    </row>
    <row r="39" spans="1:10" ht="16.5" thickBot="1" x14ac:dyDescent="0.3">
      <c r="A39" s="16" t="s">
        <v>112</v>
      </c>
      <c r="B39" s="16" t="s">
        <v>113</v>
      </c>
      <c r="C39" s="16" t="s">
        <v>30</v>
      </c>
      <c r="D39" s="16"/>
      <c r="E39" s="61" t="s">
        <v>118</v>
      </c>
      <c r="F39" s="16" t="s">
        <v>51</v>
      </c>
      <c r="G39" s="59">
        <f>I39*0.3048</f>
        <v>3.6576000000000004</v>
      </c>
      <c r="H39" s="16" t="s">
        <v>30</v>
      </c>
      <c r="I39" s="1">
        <v>12</v>
      </c>
      <c r="J39" s="1" t="s">
        <v>120</v>
      </c>
    </row>
    <row r="40" spans="1:10" ht="16.5" thickBot="1" x14ac:dyDescent="0.3">
      <c r="A40" s="16" t="s">
        <v>117</v>
      </c>
      <c r="B40" s="16"/>
      <c r="C40" s="20">
        <f>G39*J40</f>
        <v>2.8018679040000003</v>
      </c>
      <c r="D40" s="16"/>
      <c r="E40" s="61" t="s">
        <v>180</v>
      </c>
      <c r="F40" s="16" t="s">
        <v>119</v>
      </c>
      <c r="G40" s="20">
        <v>40</v>
      </c>
      <c r="H40" s="16"/>
      <c r="I40" s="1" t="s">
        <v>171</v>
      </c>
      <c r="J40" s="1">
        <v>0.76604000000000005</v>
      </c>
    </row>
    <row r="41" spans="1:10" ht="16.5" thickBot="1" x14ac:dyDescent="0.3">
      <c r="A41" s="16"/>
      <c r="B41" s="16"/>
      <c r="C41" s="20"/>
      <c r="D41" s="16"/>
      <c r="E41" s="61" t="s">
        <v>173</v>
      </c>
      <c r="F41" s="16"/>
      <c r="G41" s="20">
        <v>0.76600000000000001</v>
      </c>
      <c r="H41" s="16"/>
    </row>
    <row r="42" spans="1:10" ht="16.5" thickBot="1" x14ac:dyDescent="0.3">
      <c r="A42" s="16" t="s">
        <v>124</v>
      </c>
      <c r="B42" s="16" t="s">
        <v>11</v>
      </c>
      <c r="C42" s="20" t="s">
        <v>25</v>
      </c>
      <c r="D42" s="16"/>
      <c r="E42" s="61" t="s">
        <v>126</v>
      </c>
      <c r="F42" s="16" t="s">
        <v>37</v>
      </c>
      <c r="G42" s="20">
        <v>100</v>
      </c>
      <c r="H42" s="16" t="s">
        <v>30</v>
      </c>
    </row>
    <row r="43" spans="1:10" ht="16.5" thickBot="1" x14ac:dyDescent="0.3">
      <c r="A43" s="16" t="s">
        <v>125</v>
      </c>
      <c r="B43" s="16"/>
      <c r="C43" s="16">
        <f>(G42/G43)+(G42/G44)+G45</f>
        <v>3.2500000000000004</v>
      </c>
      <c r="D43" s="16"/>
      <c r="E43" s="61" t="s">
        <v>42</v>
      </c>
      <c r="F43" s="16" t="s">
        <v>127</v>
      </c>
      <c r="G43" s="20">
        <f>I43*1000/60</f>
        <v>83.333333333333329</v>
      </c>
      <c r="H43" s="16" t="s">
        <v>33</v>
      </c>
      <c r="I43" s="1">
        <v>5</v>
      </c>
      <c r="J43" s="1" t="s">
        <v>45</v>
      </c>
    </row>
    <row r="44" spans="1:10" ht="16.5" thickBot="1" x14ac:dyDescent="0.3">
      <c r="A44" s="16"/>
      <c r="B44" s="16"/>
      <c r="C44" s="16"/>
      <c r="D44" s="16"/>
      <c r="E44" s="61" t="s">
        <v>181</v>
      </c>
      <c r="F44" s="16" t="s">
        <v>128</v>
      </c>
      <c r="G44" s="20">
        <f>I44*1000/60</f>
        <v>83.333333333333329</v>
      </c>
      <c r="H44" s="16" t="s">
        <v>33</v>
      </c>
      <c r="I44" s="1">
        <v>5</v>
      </c>
      <c r="J44" s="1" t="s">
        <v>45</v>
      </c>
    </row>
    <row r="45" spans="1:10" ht="16.5" thickBot="1" x14ac:dyDescent="0.3">
      <c r="A45" s="16"/>
      <c r="B45" s="16"/>
      <c r="C45" s="16"/>
      <c r="D45" s="16"/>
      <c r="E45" s="61" t="s">
        <v>87</v>
      </c>
      <c r="F45" s="16" t="s">
        <v>86</v>
      </c>
      <c r="G45" s="20">
        <v>0.85</v>
      </c>
      <c r="H45" s="16" t="s">
        <v>25</v>
      </c>
    </row>
    <row r="46" spans="1:10" x14ac:dyDescent="0.25">
      <c r="A46" s="16"/>
      <c r="B46" s="16"/>
      <c r="C46" s="16"/>
      <c r="D46" s="16"/>
      <c r="E46" s="16"/>
      <c r="F46" s="16"/>
      <c r="G46" s="20"/>
      <c r="H46" s="16"/>
    </row>
    <row r="47" spans="1:10" x14ac:dyDescent="0.25">
      <c r="A47" s="16"/>
      <c r="B47" s="16"/>
      <c r="C47" s="16"/>
      <c r="D47" s="16"/>
      <c r="E47" s="16"/>
      <c r="F47" s="16"/>
      <c r="G47" s="20"/>
      <c r="H47" s="16"/>
    </row>
    <row r="48" spans="1:10" x14ac:dyDescent="0.25">
      <c r="A48" s="16" t="s">
        <v>13</v>
      </c>
      <c r="B48" s="16"/>
      <c r="C48" s="16" t="s">
        <v>109</v>
      </c>
      <c r="D48" s="16"/>
      <c r="E48" s="16" t="s">
        <v>129</v>
      </c>
      <c r="F48" s="16" t="s">
        <v>131</v>
      </c>
      <c r="G48" s="20">
        <v>0.85</v>
      </c>
      <c r="H48" s="16"/>
    </row>
    <row r="49" spans="1:10" x14ac:dyDescent="0.25">
      <c r="A49" s="16" t="s">
        <v>132</v>
      </c>
      <c r="B49" s="16"/>
      <c r="C49" s="20">
        <f>60*G33*(G35-G36)*G48*G49*G50/(G37*G38)</f>
        <v>734.92761103753833</v>
      </c>
      <c r="D49" s="16"/>
      <c r="E49" s="16" t="s">
        <v>98</v>
      </c>
      <c r="F49" s="16" t="s">
        <v>97</v>
      </c>
      <c r="G49" s="20">
        <v>1</v>
      </c>
      <c r="H49" s="16"/>
    </row>
    <row r="50" spans="1:10" x14ac:dyDescent="0.25">
      <c r="A50" s="16"/>
      <c r="B50" s="16"/>
      <c r="C50" s="16"/>
      <c r="D50" s="16"/>
      <c r="E50" s="16" t="s">
        <v>130</v>
      </c>
      <c r="F50" s="16" t="s">
        <v>84</v>
      </c>
      <c r="G50" s="20">
        <v>0.9</v>
      </c>
      <c r="H50" s="16"/>
    </row>
    <row r="51" spans="1:10" x14ac:dyDescent="0.25">
      <c r="A51" s="16" t="s">
        <v>13</v>
      </c>
      <c r="B51" s="16"/>
      <c r="C51" s="16" t="s">
        <v>12</v>
      </c>
      <c r="D51" s="16"/>
      <c r="E51" s="16"/>
      <c r="F51" s="16"/>
      <c r="G51" s="16"/>
      <c r="H51" s="16"/>
    </row>
    <row r="52" spans="1:10" x14ac:dyDescent="0.25">
      <c r="A52" s="58" t="s">
        <v>133</v>
      </c>
      <c r="B52" s="16"/>
      <c r="C52" s="16">
        <f>60*G33*G34*(G35-G36)*G48*G49*G50/(G37*G38)</f>
        <v>146.9855222075077</v>
      </c>
      <c r="D52" s="16"/>
      <c r="E52" s="16"/>
      <c r="F52" s="16"/>
      <c r="G52" s="16"/>
      <c r="H52" s="16"/>
    </row>
    <row r="53" spans="1:10" x14ac:dyDescent="0.25">
      <c r="A53" s="1" t="s">
        <v>123</v>
      </c>
    </row>
    <row r="56" spans="1:10" x14ac:dyDescent="0.25">
      <c r="A56" s="16" t="s">
        <v>104</v>
      </c>
      <c r="B56" s="16" t="s">
        <v>105</v>
      </c>
      <c r="C56" s="16" t="s">
        <v>164</v>
      </c>
      <c r="D56" s="16"/>
      <c r="E56" s="16"/>
      <c r="F56" s="16"/>
      <c r="G56" s="16"/>
      <c r="H56" s="16"/>
    </row>
    <row r="57" spans="1:10" x14ac:dyDescent="0.25">
      <c r="A57" s="15" t="s">
        <v>0</v>
      </c>
      <c r="B57" s="15"/>
      <c r="C57" s="16" t="s">
        <v>109</v>
      </c>
      <c r="D57" s="16"/>
      <c r="E57" s="56" t="s">
        <v>3</v>
      </c>
      <c r="F57" s="57"/>
      <c r="G57" s="31" t="s">
        <v>166</v>
      </c>
      <c r="H57" s="31" t="s">
        <v>7</v>
      </c>
    </row>
    <row r="58" spans="1:10" ht="19.5" thickBot="1" x14ac:dyDescent="0.3">
      <c r="A58" s="16" t="s">
        <v>106</v>
      </c>
      <c r="B58" s="16"/>
      <c r="C58" s="17">
        <f>60*G60*(G62-G63)/(G64*G65)</f>
        <v>1268.507451470769</v>
      </c>
      <c r="D58" s="16"/>
      <c r="E58" s="61" t="s">
        <v>174</v>
      </c>
      <c r="F58" s="16" t="s">
        <v>107</v>
      </c>
      <c r="G58" s="20"/>
      <c r="H58" s="16" t="s">
        <v>109</v>
      </c>
      <c r="J58" s="1" t="s">
        <v>122</v>
      </c>
    </row>
    <row r="59" spans="1:10" ht="16.5" thickBot="1" x14ac:dyDescent="0.3">
      <c r="A59" s="16"/>
      <c r="B59" s="16"/>
      <c r="C59" s="16"/>
      <c r="D59" s="16"/>
      <c r="E59" s="61" t="s">
        <v>175</v>
      </c>
      <c r="F59" s="16" t="s">
        <v>108</v>
      </c>
      <c r="G59" s="16"/>
      <c r="H59" s="16" t="s">
        <v>12</v>
      </c>
    </row>
    <row r="60" spans="1:10" ht="16.5" thickBot="1" x14ac:dyDescent="0.3">
      <c r="A60" s="15" t="s">
        <v>0</v>
      </c>
      <c r="B60" s="15"/>
      <c r="C60" s="16" t="s">
        <v>12</v>
      </c>
      <c r="D60" s="16"/>
      <c r="E60" s="61" t="s">
        <v>176</v>
      </c>
      <c r="F60" s="16" t="s">
        <v>37</v>
      </c>
      <c r="G60" s="20">
        <v>100</v>
      </c>
      <c r="H60" s="16" t="s">
        <v>30</v>
      </c>
    </row>
    <row r="61" spans="1:10" ht="16.5" thickBot="1" x14ac:dyDescent="0.3">
      <c r="A61" s="58" t="s">
        <v>116</v>
      </c>
      <c r="B61" s="16"/>
      <c r="C61" s="16">
        <f>60*G60*G61*(G62-G63)/(G64*G65)</f>
        <v>253.70149029415379</v>
      </c>
      <c r="D61" s="16"/>
      <c r="E61" s="61" t="s">
        <v>110</v>
      </c>
      <c r="F61" s="16" t="s">
        <v>111</v>
      </c>
      <c r="G61" s="20">
        <v>0.2</v>
      </c>
      <c r="H61" s="16" t="s">
        <v>30</v>
      </c>
    </row>
    <row r="62" spans="1:10" ht="16.5" thickBot="1" x14ac:dyDescent="0.3">
      <c r="A62" s="16" t="s">
        <v>123</v>
      </c>
      <c r="B62" s="16"/>
      <c r="C62" s="16"/>
      <c r="D62" s="16"/>
      <c r="E62" s="61" t="s">
        <v>177</v>
      </c>
      <c r="F62" s="16" t="s">
        <v>113</v>
      </c>
      <c r="G62" s="20">
        <f>C67</f>
        <v>3.6355410144000002</v>
      </c>
      <c r="H62" s="16" t="s">
        <v>30</v>
      </c>
    </row>
    <row r="63" spans="1:10" ht="16.5" thickBot="1" x14ac:dyDescent="0.3">
      <c r="A63" s="16"/>
      <c r="B63" s="16"/>
      <c r="C63" s="16"/>
      <c r="D63" s="16"/>
      <c r="E63" s="61" t="s">
        <v>114</v>
      </c>
      <c r="F63" s="16" t="s">
        <v>115</v>
      </c>
      <c r="G63" s="20">
        <v>0.2</v>
      </c>
      <c r="H63" s="16" t="s">
        <v>30</v>
      </c>
    </row>
    <row r="64" spans="1:10" ht="16.5" thickBot="1" x14ac:dyDescent="0.3">
      <c r="A64" s="16"/>
      <c r="B64" s="16"/>
      <c r="C64" s="16"/>
      <c r="D64" s="16"/>
      <c r="E64" s="61" t="s">
        <v>178</v>
      </c>
      <c r="F64" s="16" t="s">
        <v>23</v>
      </c>
      <c r="G64" s="20">
        <v>5</v>
      </c>
      <c r="H64" s="16"/>
    </row>
    <row r="65" spans="1:10" ht="16.5" thickBot="1" x14ac:dyDescent="0.3">
      <c r="A65" s="16"/>
      <c r="B65" s="16"/>
      <c r="C65" s="16"/>
      <c r="D65" s="16"/>
      <c r="E65" s="61" t="s">
        <v>179</v>
      </c>
      <c r="F65" s="16" t="s">
        <v>11</v>
      </c>
      <c r="G65" s="20">
        <f>C70</f>
        <v>3.2500000000000004</v>
      </c>
      <c r="H65" s="16" t="s">
        <v>30</v>
      </c>
    </row>
    <row r="66" spans="1:10" ht="16.5" thickBot="1" x14ac:dyDescent="0.3">
      <c r="A66" s="16" t="s">
        <v>112</v>
      </c>
      <c r="B66" s="16" t="s">
        <v>113</v>
      </c>
      <c r="C66" s="16" t="s">
        <v>30</v>
      </c>
      <c r="D66" s="16"/>
      <c r="E66" s="61" t="s">
        <v>118</v>
      </c>
      <c r="F66" s="16" t="s">
        <v>51</v>
      </c>
      <c r="G66" s="59">
        <f>I66*0.3048</f>
        <v>3.6576000000000004</v>
      </c>
      <c r="H66" s="16" t="s">
        <v>30</v>
      </c>
      <c r="I66" s="1">
        <v>12</v>
      </c>
      <c r="J66" s="1" t="s">
        <v>120</v>
      </c>
    </row>
    <row r="67" spans="1:10" ht="16.5" thickBot="1" x14ac:dyDescent="0.3">
      <c r="A67" s="16" t="s">
        <v>117</v>
      </c>
      <c r="B67" s="16"/>
      <c r="C67" s="20">
        <f>G66*J67</f>
        <v>3.6355410144000002</v>
      </c>
      <c r="D67" s="16"/>
      <c r="E67" s="61" t="s">
        <v>180</v>
      </c>
      <c r="F67" s="16" t="s">
        <v>119</v>
      </c>
      <c r="G67" s="20">
        <v>20</v>
      </c>
      <c r="H67" s="16"/>
      <c r="I67" s="1" t="s">
        <v>172</v>
      </c>
      <c r="J67" s="1">
        <v>0.99396899999999999</v>
      </c>
    </row>
    <row r="68" spans="1:10" ht="16.5" thickBot="1" x14ac:dyDescent="0.3">
      <c r="A68" s="16"/>
      <c r="B68" s="16"/>
      <c r="C68" s="20"/>
      <c r="D68" s="16"/>
      <c r="E68" s="61" t="s">
        <v>173</v>
      </c>
      <c r="F68" s="16"/>
      <c r="G68" s="20">
        <v>0.99399999999999999</v>
      </c>
      <c r="H68" s="16"/>
    </row>
    <row r="69" spans="1:10" ht="16.5" thickBot="1" x14ac:dyDescent="0.3">
      <c r="A69" s="16" t="s">
        <v>124</v>
      </c>
      <c r="B69" s="16" t="s">
        <v>11</v>
      </c>
      <c r="C69" s="20" t="s">
        <v>25</v>
      </c>
      <c r="D69" s="16"/>
      <c r="E69" s="61" t="s">
        <v>126</v>
      </c>
      <c r="F69" s="16" t="s">
        <v>37</v>
      </c>
      <c r="G69" s="20">
        <v>100</v>
      </c>
      <c r="H69" s="16" t="s">
        <v>30</v>
      </c>
    </row>
    <row r="70" spans="1:10" ht="16.5" thickBot="1" x14ac:dyDescent="0.3">
      <c r="A70" s="16" t="s">
        <v>125</v>
      </c>
      <c r="B70" s="16"/>
      <c r="C70" s="16">
        <f>(G69/G70)+(G69/G71)+G72</f>
        <v>3.2500000000000004</v>
      </c>
      <c r="D70" s="16"/>
      <c r="E70" s="61" t="s">
        <v>42</v>
      </c>
      <c r="F70" s="16" t="s">
        <v>127</v>
      </c>
      <c r="G70" s="20">
        <f>I70*1000/60</f>
        <v>83.333333333333329</v>
      </c>
      <c r="H70" s="16" t="s">
        <v>33</v>
      </c>
      <c r="I70" s="1">
        <v>5</v>
      </c>
      <c r="J70" s="1" t="s">
        <v>45</v>
      </c>
    </row>
    <row r="71" spans="1:10" ht="16.5" thickBot="1" x14ac:dyDescent="0.3">
      <c r="A71" s="16"/>
      <c r="B71" s="16"/>
      <c r="C71" s="16"/>
      <c r="D71" s="16"/>
      <c r="E71" s="61" t="s">
        <v>181</v>
      </c>
      <c r="F71" s="16" t="s">
        <v>128</v>
      </c>
      <c r="G71" s="20">
        <f>I71*1000/60</f>
        <v>83.333333333333329</v>
      </c>
      <c r="H71" s="16" t="s">
        <v>33</v>
      </c>
      <c r="I71" s="1">
        <v>5</v>
      </c>
      <c r="J71" s="1" t="s">
        <v>45</v>
      </c>
    </row>
    <row r="72" spans="1:10" ht="16.5" thickBot="1" x14ac:dyDescent="0.3">
      <c r="A72" s="16"/>
      <c r="B72" s="16"/>
      <c r="C72" s="16"/>
      <c r="D72" s="16"/>
      <c r="E72" s="61" t="s">
        <v>87</v>
      </c>
      <c r="F72" s="16" t="s">
        <v>86</v>
      </c>
      <c r="G72" s="20">
        <v>0.85</v>
      </c>
      <c r="H72" s="16" t="s">
        <v>25</v>
      </c>
    </row>
    <row r="73" spans="1:10" x14ac:dyDescent="0.25">
      <c r="A73" s="16"/>
      <c r="B73" s="16"/>
      <c r="C73" s="16"/>
      <c r="D73" s="16"/>
      <c r="E73" s="16"/>
      <c r="F73" s="16"/>
      <c r="G73" s="20"/>
      <c r="H73" s="16"/>
    </row>
    <row r="74" spans="1:10" x14ac:dyDescent="0.25">
      <c r="A74" s="16"/>
      <c r="B74" s="16"/>
      <c r="C74" s="16"/>
      <c r="D74" s="16"/>
      <c r="E74" s="16"/>
      <c r="F74" s="16"/>
      <c r="G74" s="20"/>
      <c r="H74" s="16"/>
    </row>
    <row r="75" spans="1:10" x14ac:dyDescent="0.25">
      <c r="A75" s="18" t="s">
        <v>13</v>
      </c>
      <c r="B75" s="19"/>
      <c r="C75" s="16" t="s">
        <v>109</v>
      </c>
      <c r="D75" s="16"/>
      <c r="E75" s="16" t="s">
        <v>129</v>
      </c>
      <c r="F75" s="16" t="s">
        <v>131</v>
      </c>
      <c r="G75" s="20">
        <v>0.85</v>
      </c>
      <c r="H75" s="16"/>
    </row>
    <row r="76" spans="1:10" x14ac:dyDescent="0.25">
      <c r="A76" s="16" t="s">
        <v>132</v>
      </c>
      <c r="B76" s="16"/>
      <c r="C76" s="20">
        <f>60*G60*(G62-G63)*G75*G76*G77/(G64*G65)</f>
        <v>970.40820037513811</v>
      </c>
      <c r="D76" s="16"/>
      <c r="E76" s="16" t="s">
        <v>98</v>
      </c>
      <c r="F76" s="16" t="s">
        <v>97</v>
      </c>
      <c r="G76" s="20">
        <v>1</v>
      </c>
      <c r="H76" s="16"/>
    </row>
    <row r="77" spans="1:10" x14ac:dyDescent="0.25">
      <c r="A77" s="16"/>
      <c r="B77" s="16"/>
      <c r="C77" s="16"/>
      <c r="D77" s="16"/>
      <c r="E77" s="16" t="s">
        <v>130</v>
      </c>
      <c r="F77" s="16" t="s">
        <v>84</v>
      </c>
      <c r="G77" s="20">
        <v>0.9</v>
      </c>
      <c r="H77" s="16"/>
    </row>
    <row r="78" spans="1:10" x14ac:dyDescent="0.25">
      <c r="A78" s="16" t="s">
        <v>13</v>
      </c>
      <c r="B78" s="16"/>
      <c r="C78" s="16" t="s">
        <v>12</v>
      </c>
      <c r="D78" s="16"/>
      <c r="E78" s="16"/>
      <c r="F78" s="16"/>
      <c r="G78" s="16"/>
      <c r="H78" s="16"/>
    </row>
    <row r="79" spans="1:10" x14ac:dyDescent="0.25">
      <c r="A79" s="58" t="s">
        <v>133</v>
      </c>
      <c r="B79" s="16"/>
      <c r="C79" s="16">
        <f>60*G60*G61*(G62-G63)*G75*G76*G77/(G64*G65)</f>
        <v>194.08164007502765</v>
      </c>
      <c r="D79" s="16"/>
      <c r="E79" s="16"/>
      <c r="F79" s="16"/>
      <c r="G79" s="16"/>
      <c r="H79" s="16"/>
    </row>
    <row r="80" spans="1:10" x14ac:dyDescent="0.25">
      <c r="A80" s="1" t="s">
        <v>123</v>
      </c>
    </row>
  </sheetData>
  <mergeCells count="18">
    <mergeCell ref="E2:F2"/>
    <mergeCell ref="E30:F30"/>
    <mergeCell ref="E57:F57"/>
    <mergeCell ref="A31:B31"/>
    <mergeCell ref="A34:B34"/>
    <mergeCell ref="A3:B3"/>
    <mergeCell ref="A6:B6"/>
    <mergeCell ref="A20:B20"/>
    <mergeCell ref="A23:B23"/>
    <mergeCell ref="A24:B24"/>
    <mergeCell ref="A21:B21"/>
    <mergeCell ref="A2:B2"/>
    <mergeCell ref="A30:B30"/>
    <mergeCell ref="A57:B57"/>
    <mergeCell ref="A75:B75"/>
    <mergeCell ref="A5:B5"/>
    <mergeCell ref="A33:B33"/>
    <mergeCell ref="A60:B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7" workbookViewId="0">
      <selection activeCell="A13" sqref="A13:C14"/>
    </sheetView>
  </sheetViews>
  <sheetFormatPr baseColWidth="10" defaultRowHeight="15.75" x14ac:dyDescent="0.25"/>
  <cols>
    <col min="1" max="1" width="30.42578125" style="1" customWidth="1"/>
    <col min="2" max="4" width="11.42578125" style="1"/>
    <col min="5" max="5" width="32.140625" style="1" customWidth="1"/>
    <col min="6" max="6" width="5.28515625" style="1" customWidth="1"/>
    <col min="7" max="7" width="8.5703125" style="1" customWidth="1"/>
    <col min="8" max="8" width="8.42578125" style="1" customWidth="1"/>
    <col min="9" max="16384" width="11.42578125" style="1"/>
  </cols>
  <sheetData>
    <row r="1" spans="1:10" x14ac:dyDescent="0.25">
      <c r="A1" s="16" t="s">
        <v>137</v>
      </c>
      <c r="B1" s="16" t="s">
        <v>138</v>
      </c>
      <c r="C1" s="16"/>
      <c r="D1" s="16"/>
      <c r="E1" s="16"/>
      <c r="F1" s="16"/>
      <c r="G1" s="16"/>
      <c r="H1" s="16"/>
    </row>
    <row r="2" spans="1:10" x14ac:dyDescent="0.25">
      <c r="A2" s="15" t="s">
        <v>0</v>
      </c>
      <c r="B2" s="15"/>
      <c r="C2" s="16" t="s">
        <v>109</v>
      </c>
      <c r="D2" s="16"/>
      <c r="E2" s="56" t="s">
        <v>3</v>
      </c>
      <c r="F2" s="57"/>
      <c r="G2" s="31" t="s">
        <v>166</v>
      </c>
      <c r="H2" s="31" t="s">
        <v>7</v>
      </c>
    </row>
    <row r="3" spans="1:10" x14ac:dyDescent="0.25">
      <c r="A3" s="18" t="s">
        <v>139</v>
      </c>
      <c r="B3" s="19"/>
      <c r="C3" s="17">
        <f>G5*G4*60/G6</f>
        <v>750</v>
      </c>
      <c r="D3" s="16"/>
      <c r="E3" s="16" t="s">
        <v>140</v>
      </c>
      <c r="F3" s="16" t="s">
        <v>107</v>
      </c>
      <c r="G3" s="20">
        <v>3</v>
      </c>
      <c r="H3" s="16" t="s">
        <v>141</v>
      </c>
    </row>
    <row r="4" spans="1:10" x14ac:dyDescent="0.25">
      <c r="A4" s="16"/>
      <c r="B4" s="16"/>
      <c r="C4" s="16"/>
      <c r="D4" s="16"/>
      <c r="E4" s="16" t="s">
        <v>143</v>
      </c>
      <c r="F4" s="16" t="s">
        <v>142</v>
      </c>
      <c r="G4" s="20">
        <f>I4*1000/60</f>
        <v>50</v>
      </c>
      <c r="H4" s="16" t="s">
        <v>33</v>
      </c>
      <c r="I4" s="55">
        <v>3</v>
      </c>
      <c r="J4" s="1" t="s">
        <v>45</v>
      </c>
    </row>
    <row r="5" spans="1:10" x14ac:dyDescent="0.25">
      <c r="A5" s="16"/>
      <c r="B5" s="16"/>
      <c r="C5" s="16"/>
      <c r="D5" s="16"/>
      <c r="E5" s="16" t="s">
        <v>145</v>
      </c>
      <c r="F5" s="16" t="s">
        <v>144</v>
      </c>
      <c r="G5" s="20">
        <v>2</v>
      </c>
      <c r="H5" s="16" t="s">
        <v>30</v>
      </c>
      <c r="I5" s="1">
        <v>2134</v>
      </c>
      <c r="J5" s="1" t="s">
        <v>147</v>
      </c>
    </row>
    <row r="6" spans="1:10" x14ac:dyDescent="0.25">
      <c r="A6" s="16"/>
      <c r="B6" s="16"/>
      <c r="C6" s="16"/>
      <c r="D6" s="16"/>
      <c r="E6" s="16" t="s">
        <v>146</v>
      </c>
      <c r="F6" s="16" t="s">
        <v>23</v>
      </c>
      <c r="G6" s="20">
        <v>8</v>
      </c>
      <c r="H6" s="16"/>
    </row>
    <row r="7" spans="1:10" x14ac:dyDescent="0.25">
      <c r="A7" s="16"/>
      <c r="B7" s="16"/>
      <c r="C7" s="16"/>
      <c r="D7" s="16"/>
      <c r="E7" s="16" t="s">
        <v>148</v>
      </c>
      <c r="F7" s="16" t="s">
        <v>111</v>
      </c>
      <c r="G7" s="29">
        <v>0.25</v>
      </c>
      <c r="H7" s="16" t="s">
        <v>30</v>
      </c>
    </row>
    <row r="8" spans="1:10" x14ac:dyDescent="0.25">
      <c r="A8" s="16"/>
      <c r="B8" s="16"/>
      <c r="C8" s="16"/>
      <c r="D8" s="16"/>
      <c r="E8" s="16"/>
      <c r="F8" s="16"/>
      <c r="G8" s="16"/>
      <c r="H8" s="16"/>
    </row>
    <row r="9" spans="1:10" x14ac:dyDescent="0.25">
      <c r="A9" s="16"/>
      <c r="B9" s="16"/>
      <c r="C9" s="16"/>
      <c r="D9" s="16"/>
      <c r="E9" s="16"/>
      <c r="F9" s="16"/>
      <c r="G9" s="16"/>
      <c r="H9" s="16"/>
    </row>
    <row r="10" spans="1:10" x14ac:dyDescent="0.25">
      <c r="A10" s="16"/>
      <c r="B10" s="16"/>
      <c r="C10" s="16"/>
      <c r="D10" s="16"/>
      <c r="E10" s="16"/>
      <c r="F10" s="16"/>
      <c r="G10" s="16"/>
      <c r="H10" s="16"/>
    </row>
    <row r="11" spans="1:10" x14ac:dyDescent="0.25">
      <c r="A11" s="16" t="s">
        <v>13</v>
      </c>
      <c r="B11" s="16"/>
      <c r="C11" s="16" t="s">
        <v>109</v>
      </c>
      <c r="D11" s="16"/>
      <c r="E11" s="16" t="s">
        <v>149</v>
      </c>
      <c r="F11" s="16" t="s">
        <v>150</v>
      </c>
      <c r="G11" s="16">
        <v>0.2</v>
      </c>
      <c r="H11" s="16"/>
    </row>
    <row r="12" spans="1:10" x14ac:dyDescent="0.25">
      <c r="A12" s="16" t="s">
        <v>152</v>
      </c>
      <c r="B12" s="16"/>
      <c r="C12" s="16">
        <f>G5*G4*G12*60/G6</f>
        <v>622.5</v>
      </c>
      <c r="D12" s="16"/>
      <c r="E12" s="16" t="s">
        <v>151</v>
      </c>
      <c r="F12" s="16" t="s">
        <v>84</v>
      </c>
      <c r="G12" s="16">
        <v>0.83</v>
      </c>
      <c r="H12" s="16"/>
    </row>
    <row r="13" spans="1:10" x14ac:dyDescent="0.25">
      <c r="A13" s="16" t="s">
        <v>13</v>
      </c>
      <c r="B13" s="16"/>
      <c r="C13" s="16" t="s">
        <v>155</v>
      </c>
      <c r="D13" s="16"/>
      <c r="E13" s="16"/>
      <c r="F13" s="16"/>
      <c r="G13" s="16"/>
      <c r="H13" s="16"/>
    </row>
    <row r="14" spans="1:10" x14ac:dyDescent="0.25">
      <c r="A14" s="16" t="s">
        <v>153</v>
      </c>
      <c r="B14" s="16"/>
      <c r="C14" s="16">
        <f>G5*G4*G12*G11*60/G6</f>
        <v>124.50000000000001</v>
      </c>
      <c r="D14" s="16"/>
      <c r="E14" s="16"/>
      <c r="F14" s="16"/>
      <c r="G14" s="16"/>
      <c r="H14" s="16"/>
    </row>
    <row r="17" spans="1:10" x14ac:dyDescent="0.25">
      <c r="A17" s="16" t="s">
        <v>154</v>
      </c>
      <c r="B17" s="16" t="s">
        <v>138</v>
      </c>
      <c r="C17" s="16"/>
      <c r="D17" s="16"/>
      <c r="E17" s="16"/>
      <c r="F17" s="16"/>
      <c r="G17" s="16"/>
      <c r="H17" s="16"/>
    </row>
    <row r="18" spans="1:10" x14ac:dyDescent="0.25">
      <c r="A18" s="15" t="s">
        <v>0</v>
      </c>
      <c r="B18" s="15"/>
      <c r="C18" s="16" t="s">
        <v>109</v>
      </c>
      <c r="D18" s="16"/>
      <c r="E18" s="56" t="s">
        <v>3</v>
      </c>
      <c r="F18" s="57"/>
      <c r="G18" s="31" t="s">
        <v>166</v>
      </c>
      <c r="H18" s="31" t="s">
        <v>7</v>
      </c>
    </row>
    <row r="19" spans="1:10" x14ac:dyDescent="0.25">
      <c r="A19" s="18" t="s">
        <v>139</v>
      </c>
      <c r="B19" s="19"/>
      <c r="C19" s="17">
        <f>G21*G20*60/G22</f>
        <v>875</v>
      </c>
      <c r="D19" s="16"/>
      <c r="E19" s="16" t="s">
        <v>140</v>
      </c>
      <c r="F19" s="16" t="s">
        <v>107</v>
      </c>
      <c r="G19" s="20">
        <v>3</v>
      </c>
      <c r="H19" s="16" t="s">
        <v>141</v>
      </c>
    </row>
    <row r="20" spans="1:10" x14ac:dyDescent="0.25">
      <c r="A20" s="16"/>
      <c r="B20" s="16"/>
      <c r="C20" s="16"/>
      <c r="D20" s="16"/>
      <c r="E20" s="16" t="s">
        <v>143</v>
      </c>
      <c r="F20" s="16" t="s">
        <v>142</v>
      </c>
      <c r="G20" s="20">
        <f>I20*1000/60</f>
        <v>58.333333333333336</v>
      </c>
      <c r="H20" s="16" t="s">
        <v>33</v>
      </c>
      <c r="I20" s="55">
        <v>3.5</v>
      </c>
      <c r="J20" s="1" t="s">
        <v>45</v>
      </c>
    </row>
    <row r="21" spans="1:10" x14ac:dyDescent="0.25">
      <c r="A21" s="16"/>
      <c r="B21" s="16"/>
      <c r="C21" s="16"/>
      <c r="D21" s="16"/>
      <c r="E21" s="16" t="s">
        <v>145</v>
      </c>
      <c r="F21" s="16" t="s">
        <v>144</v>
      </c>
      <c r="G21" s="59">
        <v>2</v>
      </c>
      <c r="H21" s="29" t="s">
        <v>30</v>
      </c>
      <c r="I21" s="44">
        <v>2130</v>
      </c>
      <c r="J21" s="1" t="s">
        <v>147</v>
      </c>
    </row>
    <row r="22" spans="1:10" x14ac:dyDescent="0.25">
      <c r="A22" s="16"/>
      <c r="B22" s="16"/>
      <c r="C22" s="16"/>
      <c r="D22" s="16"/>
      <c r="E22" s="16" t="s">
        <v>146</v>
      </c>
      <c r="F22" s="16" t="s">
        <v>23</v>
      </c>
      <c r="G22" s="20">
        <v>8</v>
      </c>
      <c r="H22" s="16"/>
    </row>
    <row r="23" spans="1:10" x14ac:dyDescent="0.25">
      <c r="A23" s="16"/>
      <c r="B23" s="16"/>
      <c r="C23" s="16"/>
      <c r="D23" s="16"/>
      <c r="E23" s="16" t="s">
        <v>148</v>
      </c>
      <c r="F23" s="16" t="s">
        <v>111</v>
      </c>
      <c r="G23" s="62">
        <v>0.2</v>
      </c>
      <c r="H23" s="16" t="s">
        <v>30</v>
      </c>
    </row>
    <row r="24" spans="1:10" x14ac:dyDescent="0.25">
      <c r="A24" s="16"/>
      <c r="B24" s="16"/>
      <c r="C24" s="16"/>
      <c r="D24" s="16"/>
      <c r="E24" s="16"/>
      <c r="F24" s="16"/>
      <c r="G24" s="16"/>
      <c r="H24" s="16"/>
    </row>
    <row r="25" spans="1:10" x14ac:dyDescent="0.25">
      <c r="A25" s="16"/>
      <c r="B25" s="16"/>
      <c r="C25" s="16"/>
      <c r="D25" s="16"/>
      <c r="E25" s="16"/>
      <c r="F25" s="16"/>
      <c r="G25" s="16"/>
      <c r="H25" s="16"/>
    </row>
    <row r="26" spans="1:10" x14ac:dyDescent="0.25">
      <c r="A26" s="16"/>
      <c r="B26" s="16"/>
      <c r="C26" s="16"/>
      <c r="D26" s="16"/>
      <c r="E26" s="16"/>
      <c r="F26" s="16"/>
      <c r="G26" s="16"/>
      <c r="H26" s="16"/>
    </row>
    <row r="27" spans="1:10" x14ac:dyDescent="0.25">
      <c r="A27" s="16" t="s">
        <v>13</v>
      </c>
      <c r="B27" s="16"/>
      <c r="C27" s="16" t="s">
        <v>109</v>
      </c>
      <c r="D27" s="16"/>
      <c r="E27" s="16" t="s">
        <v>149</v>
      </c>
      <c r="F27" s="16" t="s">
        <v>150</v>
      </c>
      <c r="G27" s="29">
        <v>0.2</v>
      </c>
      <c r="H27" s="16"/>
    </row>
    <row r="28" spans="1:10" x14ac:dyDescent="0.25">
      <c r="A28" s="16" t="s">
        <v>152</v>
      </c>
      <c r="B28" s="16"/>
      <c r="C28" s="16">
        <f>G21*G20*G28*60/G22</f>
        <v>726.25</v>
      </c>
      <c r="D28" s="16"/>
      <c r="E28" s="16" t="s">
        <v>151</v>
      </c>
      <c r="F28" s="16" t="s">
        <v>84</v>
      </c>
      <c r="G28" s="16">
        <v>0.83</v>
      </c>
      <c r="H28" s="16"/>
    </row>
    <row r="29" spans="1:10" x14ac:dyDescent="0.25">
      <c r="A29" s="16"/>
      <c r="B29" s="16"/>
      <c r="C29" s="16" t="s">
        <v>155</v>
      </c>
      <c r="D29" s="16"/>
      <c r="E29" s="16"/>
      <c r="F29" s="16"/>
      <c r="G29" s="16"/>
      <c r="H29" s="16"/>
    </row>
    <row r="30" spans="1:10" x14ac:dyDescent="0.25">
      <c r="A30" s="16" t="s">
        <v>153</v>
      </c>
      <c r="B30" s="16"/>
      <c r="C30" s="16">
        <f>G21*G20*G28*G27*60/G22</f>
        <v>145.25</v>
      </c>
      <c r="D30" s="16"/>
      <c r="E30" s="16"/>
      <c r="F30" s="16"/>
      <c r="G30" s="16"/>
      <c r="H30" s="16"/>
    </row>
  </sheetData>
  <mergeCells count="6">
    <mergeCell ref="A19:B19"/>
    <mergeCell ref="A2:B2"/>
    <mergeCell ref="A18:B18"/>
    <mergeCell ref="E2:F2"/>
    <mergeCell ref="E18:F18"/>
    <mergeCell ref="A3:B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excavadoras</vt:lpstr>
      <vt:lpstr>tractor topadora</vt:lpstr>
      <vt:lpstr>cargador frontal</vt:lpstr>
      <vt:lpstr>volqueta</vt:lpstr>
      <vt:lpstr>motoniveladora</vt:lpstr>
      <vt:lpstr>compactadora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</dc:creator>
  <cp:lastModifiedBy>Lore</cp:lastModifiedBy>
  <dcterms:created xsi:type="dcterms:W3CDTF">2016-10-19T15:28:52Z</dcterms:created>
  <dcterms:modified xsi:type="dcterms:W3CDTF">2016-11-17T06:23:54Z</dcterms:modified>
</cp:coreProperties>
</file>