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935" activeTab="2"/>
  </bookViews>
  <sheets>
    <sheet name="excavadoras" sheetId="1" r:id="rId1"/>
    <sheet name="tractor topadora" sheetId="2" r:id="rId2"/>
    <sheet name="cargador frontal" sheetId="3" r:id="rId3"/>
    <sheet name="volqueta" sheetId="4" r:id="rId4"/>
    <sheet name="motoniveladora" sheetId="5" r:id="rId5"/>
    <sheet name="compactadora" sheetId="6" r:id="rId6"/>
  </sheets>
  <calcPr calcId="145621"/>
</workbook>
</file>

<file path=xl/calcChain.xml><?xml version="1.0" encoding="utf-8"?>
<calcChain xmlns="http://schemas.openxmlformats.org/spreadsheetml/2006/main">
  <c r="C6" i="5" l="1"/>
  <c r="G77" i="5" l="1"/>
  <c r="C76" i="5" s="1"/>
  <c r="G69" i="5" s="1"/>
  <c r="G76" i="5"/>
  <c r="G72" i="5"/>
  <c r="C73" i="5" s="1"/>
  <c r="G66" i="5" s="1"/>
  <c r="G48" i="5"/>
  <c r="C47" i="5" s="1"/>
  <c r="G40" i="5" s="1"/>
  <c r="G47" i="5"/>
  <c r="G43" i="5"/>
  <c r="C44" i="5" s="1"/>
  <c r="G37" i="5" s="1"/>
  <c r="G7" i="5"/>
  <c r="C26" i="5"/>
  <c r="C82" i="5" l="1"/>
  <c r="C65" i="5"/>
  <c r="C62" i="5"/>
  <c r="C85" i="5"/>
  <c r="C56" i="5"/>
  <c r="C53" i="5"/>
  <c r="C36" i="5"/>
  <c r="C33" i="5"/>
  <c r="B60" i="4" l="1"/>
  <c r="H25" i="1"/>
  <c r="C23" i="1"/>
  <c r="C17" i="1"/>
  <c r="G20" i="6" l="1"/>
  <c r="C14" i="6"/>
  <c r="C12" i="6"/>
  <c r="C3" i="6"/>
  <c r="G4" i="6"/>
  <c r="G7" i="3"/>
  <c r="G9" i="3"/>
  <c r="K2" i="3"/>
  <c r="C23" i="5"/>
  <c r="C17" i="5"/>
  <c r="G10" i="5" s="1"/>
  <c r="G18" i="5"/>
  <c r="G13" i="5"/>
  <c r="C14" i="5" s="1"/>
  <c r="G17" i="5"/>
  <c r="G48" i="4"/>
  <c r="G47" i="4"/>
  <c r="G46" i="4"/>
  <c r="G44" i="4"/>
  <c r="B42" i="4"/>
  <c r="G36" i="4"/>
  <c r="G18" i="4"/>
  <c r="G17" i="4"/>
  <c r="G19" i="4"/>
  <c r="C9" i="1"/>
  <c r="C28" i="6" l="1"/>
  <c r="C30" i="6"/>
  <c r="C19" i="6"/>
  <c r="C45" i="4"/>
  <c r="G33" i="4" s="1"/>
  <c r="G52" i="4" s="1"/>
  <c r="C37" i="4"/>
  <c r="C17" i="2"/>
  <c r="I13" i="2"/>
  <c r="G8" i="2"/>
  <c r="H11" i="1"/>
  <c r="C3" i="5" l="1"/>
  <c r="G32" i="4"/>
  <c r="C32" i="4" s="1"/>
  <c r="C53" i="4"/>
  <c r="B13" i="4"/>
  <c r="G7" i="4" s="1"/>
  <c r="C8" i="4" l="1"/>
  <c r="G8" i="3"/>
  <c r="C7" i="3" s="1"/>
  <c r="G3" i="2"/>
  <c r="G9" i="2"/>
  <c r="G13" i="2"/>
  <c r="C14" i="2" s="1"/>
  <c r="G11" i="2" s="1"/>
  <c r="C3" i="1"/>
  <c r="G3" i="4" l="1"/>
  <c r="C8" i="2"/>
  <c r="G5" i="2" s="1"/>
  <c r="G15" i="4"/>
  <c r="C16" i="4" s="1"/>
  <c r="G4" i="4" s="1"/>
  <c r="G23" i="4" s="1"/>
  <c r="C24" i="4" s="1"/>
  <c r="C3" i="4" l="1"/>
  <c r="G4" i="3"/>
  <c r="C3" i="2"/>
  <c r="G23" i="2"/>
  <c r="C24" i="2" s="1"/>
  <c r="C3" i="3" l="1"/>
  <c r="K3" i="3" s="1"/>
  <c r="G15" i="3"/>
  <c r="C16" i="3" s="1"/>
</calcChain>
</file>

<file path=xl/sharedStrings.xml><?xml version="1.0" encoding="utf-8"?>
<sst xmlns="http://schemas.openxmlformats.org/spreadsheetml/2006/main" count="606" uniqueCount="176">
  <si>
    <t>PRODUCTIVIDAD</t>
  </si>
  <si>
    <t>Qt = q *60/T</t>
  </si>
  <si>
    <t>CAT 320 DL</t>
  </si>
  <si>
    <t>DATOS</t>
  </si>
  <si>
    <t>produccion de ciclo</t>
  </si>
  <si>
    <t>q</t>
  </si>
  <si>
    <t>m3</t>
  </si>
  <si>
    <t>unidad</t>
  </si>
  <si>
    <t>angulo de giron</t>
  </si>
  <si>
    <t xml:space="preserve">tamano del cucharron </t>
  </si>
  <si>
    <t>duracion del ciclo</t>
  </si>
  <si>
    <t>T</t>
  </si>
  <si>
    <t>m3/hra</t>
  </si>
  <si>
    <t>PRODUCTIVIDAD REAL</t>
  </si>
  <si>
    <t xml:space="preserve">EXCAVADORA </t>
  </si>
  <si>
    <t>Qt=q*60*m*k*E/Tcorregido</t>
  </si>
  <si>
    <t>Tc</t>
  </si>
  <si>
    <t>Tcorregido = T*(1+h)</t>
  </si>
  <si>
    <t>increm del ciclo p altur</t>
  </si>
  <si>
    <t>h</t>
  </si>
  <si>
    <t>Tractor con topadora</t>
  </si>
  <si>
    <t>CAT D7G</t>
  </si>
  <si>
    <t>m3/ciclo</t>
  </si>
  <si>
    <t>numero de ciclos p hora</t>
  </si>
  <si>
    <t>N</t>
  </si>
  <si>
    <t>tiempo duracion ciclo</t>
  </si>
  <si>
    <t>min</t>
  </si>
  <si>
    <t xml:space="preserve">tiempo de duracion </t>
  </si>
  <si>
    <t>T= D/A + (D+d)/R + Z</t>
  </si>
  <si>
    <t>distancia de acarreo</t>
  </si>
  <si>
    <t>D</t>
  </si>
  <si>
    <t>m</t>
  </si>
  <si>
    <t>velocidad de acarreo</t>
  </si>
  <si>
    <t>A</t>
  </si>
  <si>
    <t>m/min</t>
  </si>
  <si>
    <t>velociad de retroceso</t>
  </si>
  <si>
    <t>R</t>
  </si>
  <si>
    <t>distacia de corte</t>
  </si>
  <si>
    <t>d</t>
  </si>
  <si>
    <t>tiempo duracion el corte</t>
  </si>
  <si>
    <t>Z</t>
  </si>
  <si>
    <t xml:space="preserve">tiempo de corte </t>
  </si>
  <si>
    <t xml:space="preserve">Z </t>
  </si>
  <si>
    <t>velocidad de avance</t>
  </si>
  <si>
    <t>distancia de corte</t>
  </si>
  <si>
    <t>Z = 2d/A</t>
  </si>
  <si>
    <t>km/hora</t>
  </si>
  <si>
    <t>produccion por ciclo</t>
  </si>
  <si>
    <t>q = 0.48*a2*L</t>
  </si>
  <si>
    <t xml:space="preserve">alto de la hoja </t>
  </si>
  <si>
    <t>a</t>
  </si>
  <si>
    <t xml:space="preserve">ancho de la hoja </t>
  </si>
  <si>
    <t>L</t>
  </si>
  <si>
    <t>cargador frontal</t>
  </si>
  <si>
    <t>CAT 950</t>
  </si>
  <si>
    <t>T= D/Vc + D/Vr+ Z</t>
  </si>
  <si>
    <t>velocidad cn carga</t>
  </si>
  <si>
    <t>z=t1+t2+t3</t>
  </si>
  <si>
    <t xml:space="preserve">CAMION VOQUETA </t>
  </si>
  <si>
    <t>12 M3</t>
  </si>
  <si>
    <t>Qt = C*60/Tv</t>
  </si>
  <si>
    <t xml:space="preserve">C  </t>
  </si>
  <si>
    <t>C = n * qc</t>
  </si>
  <si>
    <t>C</t>
  </si>
  <si>
    <t xml:space="preserve">duracion d ciclo volqueta </t>
  </si>
  <si>
    <t>Tv</t>
  </si>
  <si>
    <t>num de ciclos necesariose pa llenar volqueta cn cargador</t>
  </si>
  <si>
    <t>n</t>
  </si>
  <si>
    <t>capacidad del cucharon</t>
  </si>
  <si>
    <t>qc</t>
  </si>
  <si>
    <t>factor del cucharon</t>
  </si>
  <si>
    <t>k</t>
  </si>
  <si>
    <t>num ciclos</t>
  </si>
  <si>
    <r>
      <t>n=cap nom volq (ton)/qc*k*</t>
    </r>
    <r>
      <rPr>
        <sz val="11"/>
        <color theme="1"/>
        <rFont val="Calibri"/>
        <family val="2"/>
      </rPr>
      <t xml:space="preserve"> ʃmat suelto</t>
    </r>
  </si>
  <si>
    <t>capacidad nominal volqueta</t>
  </si>
  <si>
    <t>ton</t>
  </si>
  <si>
    <t>ʃmat suelto</t>
  </si>
  <si>
    <t>g/cm3</t>
  </si>
  <si>
    <t>ton/m3</t>
  </si>
  <si>
    <t>Tv= (n*Te)+ tf+(D/Vc) +(D/Vr)</t>
  </si>
  <si>
    <t>ciclo del equipo que carga</t>
  </si>
  <si>
    <t>Te</t>
  </si>
  <si>
    <t>velocidad de carga</t>
  </si>
  <si>
    <t>Vc</t>
  </si>
  <si>
    <t>velocidad volqueta vacia</t>
  </si>
  <si>
    <t>Vr</t>
  </si>
  <si>
    <t>E</t>
  </si>
  <si>
    <t>Qt=29*a2*L/Tcorregido</t>
  </si>
  <si>
    <t>15*12</t>
  </si>
  <si>
    <t>tf</t>
  </si>
  <si>
    <t>tiempo fijo</t>
  </si>
  <si>
    <t>tiempo 2</t>
  </si>
  <si>
    <t>tiempo 3</t>
  </si>
  <si>
    <t>t2</t>
  </si>
  <si>
    <t>t3</t>
  </si>
  <si>
    <t>tiempo fijo= t2+t3</t>
  </si>
  <si>
    <t>km/hr</t>
  </si>
  <si>
    <t>resistencia a la rodadura</t>
  </si>
  <si>
    <t xml:space="preserve"> r</t>
  </si>
  <si>
    <t>Qt=C*60*p*r*E/Tcorregido</t>
  </si>
  <si>
    <t>p</t>
  </si>
  <si>
    <t>factor pendiente</t>
  </si>
  <si>
    <t>factor trabajo</t>
  </si>
  <si>
    <t>distancia 1.5 km</t>
  </si>
  <si>
    <t>distancia 0.5km</t>
  </si>
  <si>
    <t>Qvolqueta *M</t>
  </si>
  <si>
    <t>Qcarg*N</t>
  </si>
  <si>
    <t>motoniveladora</t>
  </si>
  <si>
    <t>CAT 140H</t>
  </si>
  <si>
    <t>Qat = 60*d*(Le-Lo)/N*T</t>
  </si>
  <si>
    <t>productividad teorica en area</t>
  </si>
  <si>
    <t>Qat</t>
  </si>
  <si>
    <t>productividad teorica en volumen</t>
  </si>
  <si>
    <t>Qt</t>
  </si>
  <si>
    <t>m2/hra</t>
  </si>
  <si>
    <t>dist de trabaj recorrida p equipo</t>
  </si>
  <si>
    <t>espesor de capa</t>
  </si>
  <si>
    <t>e</t>
  </si>
  <si>
    <t>ancho util en c/pasada</t>
  </si>
  <si>
    <t>Le</t>
  </si>
  <si>
    <t>ancho de traslape</t>
  </si>
  <si>
    <t>Lo</t>
  </si>
  <si>
    <t>num de pasadas necesarias</t>
  </si>
  <si>
    <t>tiempo duracion del ciclo p/pasada</t>
  </si>
  <si>
    <t>Qt = 60*d*e*(Le-Lo)/N*T</t>
  </si>
  <si>
    <t>Le=L cos &amp;</t>
  </si>
  <si>
    <t>longitud de hoja</t>
  </si>
  <si>
    <t>angulo &amp;</t>
  </si>
  <si>
    <t>&amp;</t>
  </si>
  <si>
    <t>pies</t>
  </si>
  <si>
    <t>cos 30</t>
  </si>
  <si>
    <r>
      <t>En los trabajos de nivelación, escarificado, perfilado, reparación de caminos, limpieza de maleza, conformación de subrasantes y reparación de caminos, la productividad de la motoniveladora se calculará en superficie [m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/hra].   </t>
    </r>
  </si>
  <si>
    <t>no usar el espesor</t>
  </si>
  <si>
    <t>tiempo duracion del ciclo</t>
  </si>
  <si>
    <t>T=d/Va + d/Vc + tf</t>
  </si>
  <si>
    <t>distancia de trabajo</t>
  </si>
  <si>
    <t>velociad de avance</t>
  </si>
  <si>
    <t>Va</t>
  </si>
  <si>
    <t>velocidade de retroceso</t>
  </si>
  <si>
    <t>Vt</t>
  </si>
  <si>
    <t>factor de hoja</t>
  </si>
  <si>
    <t>factor eficiencia del trabajo</t>
  </si>
  <si>
    <t>Fh</t>
  </si>
  <si>
    <t>Qt = 60*d*(Le-Lo)*Fh*E*p/N*T</t>
  </si>
  <si>
    <t>Qt = 60*d*e*(Le-Lo)*Fh*E*p/N*T</t>
  </si>
  <si>
    <t>factor de cucharon</t>
  </si>
  <si>
    <t>factor de trabaji</t>
  </si>
  <si>
    <t>Qt=q*60*p*k*E/Tcorregido</t>
  </si>
  <si>
    <t>compactadora rodillo liso</t>
  </si>
  <si>
    <t>12 tn</t>
  </si>
  <si>
    <t>Qat = W*V/N</t>
  </si>
  <si>
    <t>produccion por hora</t>
  </si>
  <si>
    <t>m2/hora</t>
  </si>
  <si>
    <t>V</t>
  </si>
  <si>
    <t>veloc de operacion</t>
  </si>
  <si>
    <t>W</t>
  </si>
  <si>
    <t>ancho efectivo de compact</t>
  </si>
  <si>
    <t>num de pasadas del compac p capa</t>
  </si>
  <si>
    <t>mm</t>
  </si>
  <si>
    <t>espesor compact por capa</t>
  </si>
  <si>
    <t>espesor por capa</t>
  </si>
  <si>
    <t>H</t>
  </si>
  <si>
    <t>factor eficiencia de trabajp</t>
  </si>
  <si>
    <t>Qa= W*V*E/N</t>
  </si>
  <si>
    <t>Q= W*V*E*H/N</t>
  </si>
  <si>
    <t>compactadora pata de cabra</t>
  </si>
  <si>
    <t>m3/hora</t>
  </si>
  <si>
    <t xml:space="preserve">RETROEXCAVADORA </t>
  </si>
  <si>
    <t>CAT 428 F</t>
  </si>
  <si>
    <t>factor cucharon</t>
  </si>
  <si>
    <t>factor material</t>
  </si>
  <si>
    <t>eficiencia de trabajo</t>
  </si>
  <si>
    <t xml:space="preserve">productividad real promedio </t>
  </si>
  <si>
    <t>sub base</t>
  </si>
  <si>
    <t>terraplen</t>
  </si>
  <si>
    <t>desbroce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</si>
</sst>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/>
    <xf numFmtId="164" fontId="0" fillId="0" borderId="9" xfId="0" applyNumberFormat="1" applyBorder="1"/>
    <xf numFmtId="0" fontId="0" fillId="2" borderId="9" xfId="0" applyFill="1" applyBorder="1"/>
    <xf numFmtId="1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6" workbookViewId="0">
      <selection activeCell="K28" sqref="K28"/>
    </sheetView>
  </sheetViews>
  <sheetFormatPr baseColWidth="10" defaultRowHeight="15" x14ac:dyDescent="0.25"/>
  <cols>
    <col min="1" max="1" width="19" customWidth="1"/>
    <col min="5" max="5" width="21.42578125" customWidth="1"/>
    <col min="6" max="6" width="3.85546875" customWidth="1"/>
  </cols>
  <sheetData>
    <row r="1" spans="1:8" x14ac:dyDescent="0.25">
      <c r="A1" s="6" t="s">
        <v>14</v>
      </c>
      <c r="B1" s="7" t="s">
        <v>2</v>
      </c>
      <c r="C1" s="7"/>
      <c r="D1" s="7"/>
      <c r="E1" s="7"/>
      <c r="F1" s="7"/>
      <c r="G1" s="7"/>
      <c r="H1" s="8"/>
    </row>
    <row r="2" spans="1:8" x14ac:dyDescent="0.25">
      <c r="A2" s="18" t="s">
        <v>0</v>
      </c>
      <c r="B2" s="19"/>
      <c r="C2" s="9" t="s">
        <v>12</v>
      </c>
      <c r="D2" s="9"/>
      <c r="E2" s="9" t="s">
        <v>3</v>
      </c>
      <c r="F2" s="9"/>
      <c r="G2" s="9"/>
      <c r="H2" s="10" t="s">
        <v>7</v>
      </c>
    </row>
    <row r="3" spans="1:8" x14ac:dyDescent="0.25">
      <c r="A3" s="11" t="s">
        <v>1</v>
      </c>
      <c r="B3" s="9"/>
      <c r="C3" s="12">
        <f>G3*60/G6</f>
        <v>142.85714285714286</v>
      </c>
      <c r="D3" s="9"/>
      <c r="E3" s="9" t="s">
        <v>4</v>
      </c>
      <c r="F3" s="9" t="s">
        <v>5</v>
      </c>
      <c r="G3" s="9">
        <v>1</v>
      </c>
      <c r="H3" s="10" t="s">
        <v>6</v>
      </c>
    </row>
    <row r="4" spans="1:8" x14ac:dyDescent="0.25">
      <c r="A4" s="11"/>
      <c r="B4" s="9"/>
      <c r="C4" s="9"/>
      <c r="D4" s="9"/>
      <c r="E4" s="9" t="s">
        <v>8</v>
      </c>
      <c r="F4" s="9"/>
      <c r="G4" s="9">
        <v>90</v>
      </c>
      <c r="H4" s="10"/>
    </row>
    <row r="5" spans="1:8" x14ac:dyDescent="0.25">
      <c r="A5" s="11"/>
      <c r="B5" s="9"/>
      <c r="C5" s="9"/>
      <c r="D5" s="9"/>
      <c r="E5" s="9" t="s">
        <v>9</v>
      </c>
      <c r="F5" s="9"/>
      <c r="G5" s="9">
        <v>1</v>
      </c>
      <c r="H5" s="10" t="s">
        <v>6</v>
      </c>
    </row>
    <row r="6" spans="1:8" x14ac:dyDescent="0.25">
      <c r="A6" s="11"/>
      <c r="B6" s="9"/>
      <c r="C6" s="9"/>
      <c r="D6" s="9"/>
      <c r="E6" s="9" t="s">
        <v>10</v>
      </c>
      <c r="F6" s="9" t="s">
        <v>11</v>
      </c>
      <c r="G6" s="9">
        <v>0.42</v>
      </c>
      <c r="H6" s="10"/>
    </row>
    <row r="7" spans="1:8" x14ac:dyDescent="0.25">
      <c r="A7" s="11"/>
      <c r="B7" s="9"/>
      <c r="C7" s="9"/>
      <c r="D7" s="9"/>
      <c r="E7" s="9"/>
      <c r="F7" s="9"/>
      <c r="G7" s="9"/>
      <c r="H7" s="10"/>
    </row>
    <row r="8" spans="1:8" x14ac:dyDescent="0.25">
      <c r="A8" s="18" t="s">
        <v>13</v>
      </c>
      <c r="B8" s="19"/>
      <c r="C8" s="9" t="s">
        <v>12</v>
      </c>
      <c r="D8" s="9"/>
      <c r="E8" s="9" t="s">
        <v>17</v>
      </c>
      <c r="F8" s="9" t="s">
        <v>16</v>
      </c>
      <c r="G8" s="9">
        <v>0.42</v>
      </c>
      <c r="H8" s="10"/>
    </row>
    <row r="9" spans="1:8" x14ac:dyDescent="0.25">
      <c r="A9" s="11" t="s">
        <v>15</v>
      </c>
      <c r="B9" s="9"/>
      <c r="C9" s="9">
        <f>G3*60*H11*G12*G10/G8</f>
        <v>85.714285714285722</v>
      </c>
      <c r="D9" s="9"/>
      <c r="E9" s="9" t="s">
        <v>18</v>
      </c>
      <c r="F9" s="9" t="s">
        <v>19</v>
      </c>
      <c r="G9" s="9">
        <v>0</v>
      </c>
      <c r="H9" s="10"/>
    </row>
    <row r="10" spans="1:8" x14ac:dyDescent="0.25">
      <c r="A10" s="11"/>
      <c r="B10" s="9"/>
      <c r="C10" s="9"/>
      <c r="D10" s="9"/>
      <c r="E10" s="16" t="s">
        <v>169</v>
      </c>
      <c r="F10" s="9" t="s">
        <v>71</v>
      </c>
      <c r="G10" s="9">
        <v>1</v>
      </c>
      <c r="H10" s="10"/>
    </row>
    <row r="11" spans="1:8" x14ac:dyDescent="0.25">
      <c r="A11" s="11"/>
      <c r="B11" s="9"/>
      <c r="C11" s="9"/>
      <c r="D11" s="9"/>
      <c r="E11" s="16" t="s">
        <v>170</v>
      </c>
      <c r="F11" s="9" t="s">
        <v>31</v>
      </c>
      <c r="G11" s="9">
        <v>1.5</v>
      </c>
      <c r="H11" s="10">
        <f>1/1.5</f>
        <v>0.66666666666666663</v>
      </c>
    </row>
    <row r="12" spans="1:8" x14ac:dyDescent="0.25">
      <c r="A12" s="13"/>
      <c r="B12" s="14"/>
      <c r="C12" s="14"/>
      <c r="D12" s="14"/>
      <c r="E12" s="14" t="s">
        <v>171</v>
      </c>
      <c r="F12" s="14" t="s">
        <v>86</v>
      </c>
      <c r="G12" s="14">
        <v>0.9</v>
      </c>
      <c r="H12" s="15"/>
    </row>
    <row r="15" spans="1:8" x14ac:dyDescent="0.25">
      <c r="A15" s="6" t="s">
        <v>167</v>
      </c>
      <c r="B15" s="7" t="s">
        <v>168</v>
      </c>
      <c r="C15" s="7"/>
      <c r="D15" s="7"/>
      <c r="E15" s="7"/>
      <c r="F15" s="7"/>
      <c r="G15" s="7"/>
      <c r="H15" s="8"/>
    </row>
    <row r="16" spans="1:8" x14ac:dyDescent="0.25">
      <c r="A16" s="18" t="s">
        <v>0</v>
      </c>
      <c r="B16" s="19"/>
      <c r="C16" s="9" t="s">
        <v>12</v>
      </c>
      <c r="D16" s="9"/>
      <c r="E16" s="9" t="s">
        <v>3</v>
      </c>
      <c r="F16" s="9"/>
      <c r="G16" s="9"/>
      <c r="H16" s="10" t="s">
        <v>7</v>
      </c>
    </row>
    <row r="17" spans="1:8" x14ac:dyDescent="0.25">
      <c r="A17" s="11" t="s">
        <v>1</v>
      </c>
      <c r="B17" s="9"/>
      <c r="C17" s="12">
        <f>G17*60/G20</f>
        <v>142.85714285714286</v>
      </c>
      <c r="D17" s="9"/>
      <c r="E17" s="9" t="s">
        <v>4</v>
      </c>
      <c r="F17" s="9" t="s">
        <v>5</v>
      </c>
      <c r="G17" s="9">
        <v>1</v>
      </c>
      <c r="H17" s="10" t="s">
        <v>6</v>
      </c>
    </row>
    <row r="18" spans="1:8" x14ac:dyDescent="0.25">
      <c r="A18" s="11"/>
      <c r="B18" s="9"/>
      <c r="C18" s="9"/>
      <c r="D18" s="9"/>
      <c r="E18" s="9" t="s">
        <v>8</v>
      </c>
      <c r="F18" s="9"/>
      <c r="G18" s="9">
        <v>90</v>
      </c>
      <c r="H18" s="10"/>
    </row>
    <row r="19" spans="1:8" x14ac:dyDescent="0.25">
      <c r="A19" s="11"/>
      <c r="B19" s="9"/>
      <c r="C19" s="9"/>
      <c r="D19" s="9"/>
      <c r="E19" s="9" t="s">
        <v>9</v>
      </c>
      <c r="F19" s="9"/>
      <c r="G19" s="9">
        <v>0.3</v>
      </c>
      <c r="H19" s="10" t="s">
        <v>6</v>
      </c>
    </row>
    <row r="20" spans="1:8" x14ac:dyDescent="0.25">
      <c r="A20" s="11"/>
      <c r="B20" s="9"/>
      <c r="C20" s="9"/>
      <c r="D20" s="9"/>
      <c r="E20" s="9" t="s">
        <v>10</v>
      </c>
      <c r="F20" s="9" t="s">
        <v>11</v>
      </c>
      <c r="G20" s="9">
        <v>0.42</v>
      </c>
      <c r="H20" s="10"/>
    </row>
    <row r="21" spans="1:8" x14ac:dyDescent="0.25">
      <c r="A21" s="11"/>
      <c r="B21" s="9"/>
      <c r="C21" s="9"/>
      <c r="D21" s="9"/>
      <c r="E21" s="9"/>
      <c r="F21" s="9"/>
      <c r="G21" s="9"/>
      <c r="H21" s="10"/>
    </row>
    <row r="22" spans="1:8" x14ac:dyDescent="0.25">
      <c r="A22" s="18" t="s">
        <v>13</v>
      </c>
      <c r="B22" s="19"/>
      <c r="C22" s="9" t="s">
        <v>12</v>
      </c>
      <c r="D22" s="9"/>
      <c r="E22" s="9" t="s">
        <v>17</v>
      </c>
      <c r="F22" s="9" t="s">
        <v>16</v>
      </c>
      <c r="G22" s="9">
        <v>0.42</v>
      </c>
      <c r="H22" s="10"/>
    </row>
    <row r="23" spans="1:8" x14ac:dyDescent="0.25">
      <c r="A23" s="11" t="s">
        <v>15</v>
      </c>
      <c r="B23" s="9"/>
      <c r="C23" s="9">
        <f>G17*60*H25*G26*G24/G22</f>
        <v>85.714285714285722</v>
      </c>
      <c r="D23" s="9"/>
      <c r="E23" s="9" t="s">
        <v>18</v>
      </c>
      <c r="F23" s="9" t="s">
        <v>19</v>
      </c>
      <c r="G23" s="9">
        <v>0</v>
      </c>
      <c r="H23" s="10"/>
    </row>
    <row r="24" spans="1:8" x14ac:dyDescent="0.25">
      <c r="A24" s="11"/>
      <c r="B24" s="9"/>
      <c r="C24" s="9"/>
      <c r="D24" s="9"/>
      <c r="E24" s="16" t="s">
        <v>169</v>
      </c>
      <c r="F24" s="9" t="s">
        <v>71</v>
      </c>
      <c r="G24" s="9">
        <v>1</v>
      </c>
      <c r="H24" s="10"/>
    </row>
    <row r="25" spans="1:8" x14ac:dyDescent="0.25">
      <c r="A25" s="11"/>
      <c r="B25" s="9"/>
      <c r="C25" s="9"/>
      <c r="D25" s="9"/>
      <c r="E25" s="16" t="s">
        <v>170</v>
      </c>
      <c r="F25" s="9" t="s">
        <v>31</v>
      </c>
      <c r="G25" s="9">
        <v>1.5</v>
      </c>
      <c r="H25" s="10">
        <f>1/1.5</f>
        <v>0.66666666666666663</v>
      </c>
    </row>
    <row r="26" spans="1:8" x14ac:dyDescent="0.25">
      <c r="A26" s="13"/>
      <c r="B26" s="14"/>
      <c r="C26" s="14"/>
      <c r="D26" s="14"/>
      <c r="E26" s="14" t="s">
        <v>171</v>
      </c>
      <c r="F26" s="14" t="s">
        <v>86</v>
      </c>
      <c r="G26" s="14">
        <v>0.9</v>
      </c>
      <c r="H26" s="15"/>
    </row>
  </sheetData>
  <mergeCells count="4">
    <mergeCell ref="A2:B2"/>
    <mergeCell ref="A16:B16"/>
    <mergeCell ref="A8:B8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H24"/>
    </sheetView>
  </sheetViews>
  <sheetFormatPr baseColWidth="10" defaultRowHeight="15" x14ac:dyDescent="0.25"/>
  <cols>
    <col min="1" max="1" width="19.140625" customWidth="1"/>
    <col min="5" max="5" width="26" customWidth="1"/>
  </cols>
  <sheetData>
    <row r="1" spans="1:10" x14ac:dyDescent="0.25">
      <c r="A1" s="23" t="s">
        <v>20</v>
      </c>
      <c r="B1" s="23" t="s">
        <v>21</v>
      </c>
      <c r="C1" s="23"/>
      <c r="D1" s="23"/>
      <c r="E1" s="23"/>
      <c r="F1" s="23"/>
      <c r="G1" s="23"/>
      <c r="H1" s="23"/>
    </row>
    <row r="2" spans="1:10" x14ac:dyDescent="0.25">
      <c r="A2" s="24" t="s">
        <v>0</v>
      </c>
      <c r="B2" s="24"/>
      <c r="C2" s="23" t="s">
        <v>12</v>
      </c>
      <c r="D2" s="23"/>
      <c r="E2" s="23" t="s">
        <v>3</v>
      </c>
      <c r="F2" s="23"/>
      <c r="G2" s="23"/>
      <c r="H2" s="23" t="s">
        <v>7</v>
      </c>
    </row>
    <row r="3" spans="1:10" x14ac:dyDescent="0.25">
      <c r="A3" s="23" t="s">
        <v>1</v>
      </c>
      <c r="B3" s="23"/>
      <c r="C3" s="25">
        <f>G3*60/G5</f>
        <v>67.768293460043196</v>
      </c>
      <c r="D3" s="23"/>
      <c r="E3" s="23" t="s">
        <v>4</v>
      </c>
      <c r="F3" s="23" t="s">
        <v>5</v>
      </c>
      <c r="G3" s="26">
        <f>C17</f>
        <v>1.8844876799999999</v>
      </c>
      <c r="H3" s="23" t="s">
        <v>22</v>
      </c>
    </row>
    <row r="4" spans="1:10" x14ac:dyDescent="0.25">
      <c r="A4" s="23"/>
      <c r="B4" s="23"/>
      <c r="C4" s="23"/>
      <c r="D4" s="23"/>
      <c r="E4" s="23" t="s">
        <v>23</v>
      </c>
      <c r="F4" s="23" t="s">
        <v>24</v>
      </c>
      <c r="G4" s="23"/>
      <c r="H4" s="23"/>
    </row>
    <row r="5" spans="1:10" x14ac:dyDescent="0.25">
      <c r="A5" s="23"/>
      <c r="B5" s="23"/>
      <c r="C5" s="23"/>
      <c r="D5" s="23"/>
      <c r="E5" s="23" t="s">
        <v>25</v>
      </c>
      <c r="F5" s="23" t="s">
        <v>11</v>
      </c>
      <c r="G5" s="26">
        <f>C8</f>
        <v>1.6684684684684685</v>
      </c>
      <c r="H5" s="23" t="s">
        <v>26</v>
      </c>
    </row>
    <row r="6" spans="1:10" x14ac:dyDescent="0.25">
      <c r="A6" s="23"/>
      <c r="B6" s="23"/>
      <c r="C6" s="23"/>
      <c r="D6" s="23"/>
      <c r="E6" s="23"/>
      <c r="F6" s="23"/>
      <c r="G6" s="23"/>
      <c r="H6" s="23"/>
    </row>
    <row r="7" spans="1:10" x14ac:dyDescent="0.25">
      <c r="A7" s="23" t="s">
        <v>27</v>
      </c>
      <c r="B7" s="23" t="s">
        <v>11</v>
      </c>
      <c r="C7" s="23" t="s">
        <v>26</v>
      </c>
      <c r="D7" s="23"/>
      <c r="E7" s="23" t="s">
        <v>29</v>
      </c>
      <c r="F7" s="23" t="s">
        <v>30</v>
      </c>
      <c r="G7" s="27">
        <v>30</v>
      </c>
      <c r="H7" s="23" t="s">
        <v>31</v>
      </c>
    </row>
    <row r="8" spans="1:10" x14ac:dyDescent="0.25">
      <c r="A8" s="23" t="s">
        <v>28</v>
      </c>
      <c r="B8" s="23"/>
      <c r="C8" s="26">
        <f>(G7/G8)+((G7+G10)/G9)+G11</f>
        <v>1.6684684684684685</v>
      </c>
      <c r="D8" s="23"/>
      <c r="E8" s="23" t="s">
        <v>32</v>
      </c>
      <c r="F8" s="23" t="s">
        <v>33</v>
      </c>
      <c r="G8" s="26">
        <f>I8*1000/60</f>
        <v>61.666666666666664</v>
      </c>
      <c r="H8" s="23" t="s">
        <v>34</v>
      </c>
      <c r="I8">
        <v>3.7</v>
      </c>
    </row>
    <row r="9" spans="1:10" x14ac:dyDescent="0.25">
      <c r="A9" s="23"/>
      <c r="B9" s="23"/>
      <c r="C9" s="23"/>
      <c r="D9" s="23"/>
      <c r="E9" s="23" t="s">
        <v>35</v>
      </c>
      <c r="F9" s="23" t="s">
        <v>36</v>
      </c>
      <c r="G9" s="23">
        <f>I9*1000/60</f>
        <v>75</v>
      </c>
      <c r="H9" s="23" t="s">
        <v>34</v>
      </c>
      <c r="I9">
        <v>4.5</v>
      </c>
      <c r="J9" t="s">
        <v>46</v>
      </c>
    </row>
    <row r="10" spans="1:10" x14ac:dyDescent="0.25">
      <c r="A10" s="23"/>
      <c r="B10" s="23"/>
      <c r="C10" s="23"/>
      <c r="D10" s="23"/>
      <c r="E10" s="23" t="s">
        <v>37</v>
      </c>
      <c r="F10" s="23" t="s">
        <v>38</v>
      </c>
      <c r="G10" s="23">
        <v>10</v>
      </c>
      <c r="H10" s="23" t="s">
        <v>31</v>
      </c>
    </row>
    <row r="11" spans="1:10" x14ac:dyDescent="0.25">
      <c r="A11" s="23"/>
      <c r="B11" s="23"/>
      <c r="C11" s="23"/>
      <c r="D11" s="23"/>
      <c r="E11" s="23" t="s">
        <v>39</v>
      </c>
      <c r="F11" s="23" t="s">
        <v>40</v>
      </c>
      <c r="G11" s="26">
        <f>C14</f>
        <v>0.64864864864864868</v>
      </c>
      <c r="H11" s="23" t="s">
        <v>26</v>
      </c>
    </row>
    <row r="12" spans="1:10" x14ac:dyDescent="0.25">
      <c r="A12" s="23"/>
      <c r="B12" s="23"/>
      <c r="C12" s="23"/>
      <c r="D12" s="23"/>
      <c r="E12" s="23"/>
      <c r="F12" s="23"/>
      <c r="G12" s="23"/>
      <c r="H12" s="23"/>
    </row>
    <row r="13" spans="1:10" x14ac:dyDescent="0.25">
      <c r="A13" s="23" t="s">
        <v>41</v>
      </c>
      <c r="B13" s="23" t="s">
        <v>42</v>
      </c>
      <c r="C13" s="23" t="s">
        <v>26</v>
      </c>
      <c r="D13" s="23"/>
      <c r="E13" s="23" t="s">
        <v>43</v>
      </c>
      <c r="F13" s="23" t="s">
        <v>33</v>
      </c>
      <c r="G13" s="26">
        <f>I13*1000/60</f>
        <v>30.833333333333332</v>
      </c>
      <c r="H13" s="23" t="s">
        <v>34</v>
      </c>
      <c r="I13">
        <f>3.7/2</f>
        <v>1.85</v>
      </c>
      <c r="J13" t="s">
        <v>46</v>
      </c>
    </row>
    <row r="14" spans="1:10" x14ac:dyDescent="0.25">
      <c r="A14" s="23" t="s">
        <v>45</v>
      </c>
      <c r="B14" s="23"/>
      <c r="C14" s="26">
        <f>2*G14/G13</f>
        <v>0.64864864864864868</v>
      </c>
      <c r="D14" s="23"/>
      <c r="E14" s="23" t="s">
        <v>44</v>
      </c>
      <c r="F14" s="23" t="s">
        <v>38</v>
      </c>
      <c r="G14" s="23">
        <v>10</v>
      </c>
      <c r="H14" s="23" t="s">
        <v>31</v>
      </c>
    </row>
    <row r="15" spans="1:10" x14ac:dyDescent="0.25">
      <c r="A15" s="23"/>
      <c r="B15" s="23"/>
      <c r="C15" s="26"/>
      <c r="D15" s="23"/>
      <c r="E15" s="23"/>
      <c r="F15" s="23"/>
      <c r="G15" s="23"/>
      <c r="H15" s="23"/>
    </row>
    <row r="16" spans="1:10" x14ac:dyDescent="0.25">
      <c r="A16" s="23" t="s">
        <v>47</v>
      </c>
      <c r="B16" s="23" t="s">
        <v>5</v>
      </c>
      <c r="C16" s="26" t="s">
        <v>22</v>
      </c>
      <c r="D16" s="23"/>
      <c r="E16" s="23" t="s">
        <v>49</v>
      </c>
      <c r="F16" s="23" t="s">
        <v>50</v>
      </c>
      <c r="G16" s="23">
        <v>0.96</v>
      </c>
      <c r="H16" s="23" t="s">
        <v>31</v>
      </c>
    </row>
    <row r="17" spans="1:8" x14ac:dyDescent="0.25">
      <c r="A17" s="23" t="s">
        <v>48</v>
      </c>
      <c r="B17" s="23"/>
      <c r="C17" s="26">
        <f>0.48*G16*G16*G17</f>
        <v>1.8844876799999999</v>
      </c>
      <c r="D17" s="23"/>
      <c r="E17" s="23" t="s">
        <v>51</v>
      </c>
      <c r="F17" s="23" t="s">
        <v>52</v>
      </c>
      <c r="G17" s="23">
        <v>4.26</v>
      </c>
      <c r="H17" s="23" t="s">
        <v>31</v>
      </c>
    </row>
    <row r="18" spans="1:8" x14ac:dyDescent="0.25">
      <c r="A18" s="23"/>
      <c r="B18" s="23"/>
      <c r="C18" s="26"/>
      <c r="D18" s="23"/>
      <c r="E18" s="23"/>
      <c r="F18" s="23"/>
      <c r="G18" s="23"/>
      <c r="H18" s="23"/>
    </row>
    <row r="19" spans="1:8" x14ac:dyDescent="0.25">
      <c r="A19" s="23"/>
      <c r="B19" s="23"/>
      <c r="C19" s="26"/>
      <c r="D19" s="23"/>
      <c r="E19" s="23"/>
      <c r="F19" s="23"/>
      <c r="G19" s="23"/>
      <c r="H19" s="23"/>
    </row>
    <row r="20" spans="1:8" x14ac:dyDescent="0.25">
      <c r="A20" s="23"/>
      <c r="B20" s="23"/>
      <c r="C20" s="26"/>
      <c r="D20" s="23"/>
      <c r="E20" s="23"/>
      <c r="F20" s="23"/>
      <c r="G20" s="23"/>
      <c r="H20" s="23"/>
    </row>
    <row r="21" spans="1:8" x14ac:dyDescent="0.25">
      <c r="A21" s="23"/>
      <c r="B21" s="23"/>
      <c r="C21" s="23"/>
      <c r="D21" s="23"/>
      <c r="E21" s="23"/>
      <c r="F21" s="23"/>
      <c r="G21" s="23"/>
      <c r="H21" s="23"/>
    </row>
    <row r="22" spans="1:8" x14ac:dyDescent="0.25">
      <c r="A22" s="23"/>
      <c r="B22" s="23"/>
      <c r="C22" s="23"/>
      <c r="D22" s="23"/>
      <c r="E22" s="23"/>
      <c r="F22" s="23"/>
      <c r="G22" s="23"/>
      <c r="H22" s="23"/>
    </row>
    <row r="23" spans="1:8" x14ac:dyDescent="0.25">
      <c r="A23" s="23" t="s">
        <v>13</v>
      </c>
      <c r="B23" s="23"/>
      <c r="C23" s="23" t="s">
        <v>12</v>
      </c>
      <c r="D23" s="23"/>
      <c r="E23" s="23" t="s">
        <v>17</v>
      </c>
      <c r="F23" s="23" t="s">
        <v>16</v>
      </c>
      <c r="G23" s="23">
        <f>G5*(1+G24)</f>
        <v>1.6684684684684685</v>
      </c>
      <c r="H23" s="23"/>
    </row>
    <row r="24" spans="1:8" x14ac:dyDescent="0.25">
      <c r="A24" s="23" t="s">
        <v>87</v>
      </c>
      <c r="B24" s="23"/>
      <c r="C24" s="23">
        <f>29*G16*G16*G17/G23</f>
        <v>68.238906609071265</v>
      </c>
      <c r="D24" s="23"/>
      <c r="E24" s="23" t="s">
        <v>18</v>
      </c>
      <c r="F24" s="23" t="s">
        <v>19</v>
      </c>
      <c r="G24" s="23">
        <v>0</v>
      </c>
      <c r="H24" s="23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19" sqref="A1:H19"/>
    </sheetView>
  </sheetViews>
  <sheetFormatPr baseColWidth="10" defaultRowHeight="15" x14ac:dyDescent="0.25"/>
  <cols>
    <col min="1" max="1" width="25.5703125" customWidth="1"/>
    <col min="5" max="5" width="25" customWidth="1"/>
  </cols>
  <sheetData>
    <row r="1" spans="1:11" x14ac:dyDescent="0.25">
      <c r="A1" s="23" t="s">
        <v>53</v>
      </c>
      <c r="B1" s="23" t="s">
        <v>54</v>
      </c>
      <c r="C1" s="23"/>
      <c r="D1" s="23"/>
      <c r="E1" s="23"/>
      <c r="F1" s="23"/>
      <c r="G1" s="23"/>
      <c r="H1" s="23"/>
    </row>
    <row r="2" spans="1:11" x14ac:dyDescent="0.25">
      <c r="A2" s="24" t="s">
        <v>0</v>
      </c>
      <c r="B2" s="24"/>
      <c r="C2" s="23" t="s">
        <v>12</v>
      </c>
      <c r="D2" s="23"/>
      <c r="E2" s="23" t="s">
        <v>3</v>
      </c>
      <c r="F2" s="23"/>
      <c r="G2" s="23"/>
      <c r="H2" s="23" t="s">
        <v>7</v>
      </c>
      <c r="K2">
        <f>15*12</f>
        <v>180</v>
      </c>
    </row>
    <row r="3" spans="1:11" x14ac:dyDescent="0.25">
      <c r="A3" s="23" t="s">
        <v>1</v>
      </c>
      <c r="B3" s="23"/>
      <c r="C3" s="25">
        <f>G3*60/G4</f>
        <v>208.03532959931064</v>
      </c>
      <c r="D3" s="23" t="s">
        <v>88</v>
      </c>
      <c r="E3" s="23" t="s">
        <v>4</v>
      </c>
      <c r="F3" s="23" t="s">
        <v>5</v>
      </c>
      <c r="G3" s="26">
        <v>2.9</v>
      </c>
      <c r="H3" s="23" t="s">
        <v>6</v>
      </c>
      <c r="K3">
        <f>C3/12</f>
        <v>17.336277466609221</v>
      </c>
    </row>
    <row r="4" spans="1:11" x14ac:dyDescent="0.25">
      <c r="A4" s="23"/>
      <c r="B4" s="23"/>
      <c r="C4" s="23"/>
      <c r="D4" s="23"/>
      <c r="E4" s="23" t="s">
        <v>25</v>
      </c>
      <c r="F4" s="23" t="s">
        <v>11</v>
      </c>
      <c r="G4" s="26">
        <f>C7</f>
        <v>0.8363963963963964</v>
      </c>
      <c r="H4" s="23" t="s">
        <v>26</v>
      </c>
    </row>
    <row r="5" spans="1:11" x14ac:dyDescent="0.25">
      <c r="A5" s="23"/>
      <c r="B5" s="23"/>
      <c r="C5" s="23"/>
      <c r="D5" s="23"/>
      <c r="E5" s="23"/>
      <c r="F5" s="23"/>
      <c r="G5" s="23"/>
      <c r="H5" s="23"/>
    </row>
    <row r="6" spans="1:11" x14ac:dyDescent="0.25">
      <c r="A6" s="23" t="s">
        <v>27</v>
      </c>
      <c r="B6" s="23" t="s">
        <v>11</v>
      </c>
      <c r="C6" s="23" t="s">
        <v>26</v>
      </c>
      <c r="D6" s="23"/>
      <c r="E6" s="23" t="s">
        <v>29</v>
      </c>
      <c r="F6" s="23" t="s">
        <v>30</v>
      </c>
      <c r="G6" s="27">
        <v>8</v>
      </c>
      <c r="H6" s="23" t="s">
        <v>31</v>
      </c>
    </row>
    <row r="7" spans="1:11" x14ac:dyDescent="0.25">
      <c r="A7" s="23" t="s">
        <v>55</v>
      </c>
      <c r="B7" s="23"/>
      <c r="C7" s="26">
        <f>(G6/G7)+(G6/G8)+G9</f>
        <v>0.8363963963963964</v>
      </c>
      <c r="D7" s="23"/>
      <c r="E7" s="23" t="s">
        <v>56</v>
      </c>
      <c r="F7" s="23" t="s">
        <v>33</v>
      </c>
      <c r="G7" s="26">
        <f>I7*1000/60</f>
        <v>61.666666666666664</v>
      </c>
      <c r="H7" s="23" t="s">
        <v>34</v>
      </c>
      <c r="I7" s="17">
        <v>3.7</v>
      </c>
      <c r="J7" t="s">
        <v>46</v>
      </c>
    </row>
    <row r="8" spans="1:11" x14ac:dyDescent="0.25">
      <c r="A8" s="23"/>
      <c r="B8" s="23"/>
      <c r="C8" s="23"/>
      <c r="D8" s="23"/>
      <c r="E8" s="23" t="s">
        <v>35</v>
      </c>
      <c r="F8" s="23" t="s">
        <v>36</v>
      </c>
      <c r="G8" s="26">
        <f>I8*1000/60</f>
        <v>75</v>
      </c>
      <c r="H8" s="23" t="s">
        <v>34</v>
      </c>
      <c r="I8" s="17">
        <v>4.5</v>
      </c>
      <c r="J8" t="s">
        <v>46</v>
      </c>
    </row>
    <row r="9" spans="1:11" x14ac:dyDescent="0.25">
      <c r="A9" s="23"/>
      <c r="B9" s="23"/>
      <c r="C9" s="23"/>
      <c r="D9" s="23"/>
      <c r="E9" s="23" t="s">
        <v>39</v>
      </c>
      <c r="F9" s="23" t="s">
        <v>40</v>
      </c>
      <c r="G9" s="26">
        <f>C12</f>
        <v>0.6</v>
      </c>
      <c r="H9" s="23" t="s">
        <v>26</v>
      </c>
      <c r="I9" s="17"/>
    </row>
    <row r="10" spans="1:11" x14ac:dyDescent="0.25">
      <c r="A10" s="23"/>
      <c r="B10" s="23"/>
      <c r="C10" s="23"/>
      <c r="D10" s="23"/>
      <c r="E10" s="23"/>
      <c r="F10" s="23"/>
      <c r="G10" s="23"/>
      <c r="H10" s="23"/>
    </row>
    <row r="11" spans="1:11" x14ac:dyDescent="0.25">
      <c r="A11" s="23" t="s">
        <v>41</v>
      </c>
      <c r="B11" s="23" t="s">
        <v>42</v>
      </c>
      <c r="C11" s="23" t="s">
        <v>26</v>
      </c>
      <c r="D11" s="23"/>
      <c r="E11" s="23"/>
      <c r="F11" s="23"/>
      <c r="G11" s="26"/>
      <c r="H11" s="23"/>
    </row>
    <row r="12" spans="1:11" x14ac:dyDescent="0.25">
      <c r="A12" s="23" t="s">
        <v>57</v>
      </c>
      <c r="B12" s="23"/>
      <c r="C12" s="26">
        <v>0.6</v>
      </c>
      <c r="D12" s="23"/>
      <c r="E12" s="23"/>
      <c r="F12" s="23"/>
      <c r="G12" s="23"/>
      <c r="H12" s="23"/>
    </row>
    <row r="13" spans="1:11" x14ac:dyDescent="0.25">
      <c r="A13" s="23"/>
      <c r="B13" s="23"/>
      <c r="C13" s="26"/>
      <c r="D13" s="23"/>
      <c r="E13" s="23"/>
      <c r="F13" s="23"/>
      <c r="G13" s="23"/>
      <c r="H13" s="23"/>
    </row>
    <row r="14" spans="1:11" x14ac:dyDescent="0.25">
      <c r="A14" s="23"/>
      <c r="B14" s="23"/>
      <c r="C14" s="23"/>
      <c r="D14" s="23"/>
      <c r="E14" s="23"/>
      <c r="F14" s="23"/>
      <c r="G14" s="23"/>
      <c r="H14" s="23"/>
    </row>
    <row r="15" spans="1:11" x14ac:dyDescent="0.25">
      <c r="A15" s="23" t="s">
        <v>13</v>
      </c>
      <c r="B15" s="23"/>
      <c r="C15" s="23" t="s">
        <v>12</v>
      </c>
      <c r="D15" s="23"/>
      <c r="E15" s="23" t="s">
        <v>17</v>
      </c>
      <c r="F15" s="23" t="s">
        <v>16</v>
      </c>
      <c r="G15" s="26">
        <f>G4</f>
        <v>0.8363963963963964</v>
      </c>
      <c r="H15" s="23"/>
    </row>
    <row r="16" spans="1:11" x14ac:dyDescent="0.25">
      <c r="A16" s="23" t="s">
        <v>147</v>
      </c>
      <c r="B16" s="23"/>
      <c r="C16" s="23">
        <f>G3*60*G17*G18*G19/G15</f>
        <v>177.87020680741057</v>
      </c>
      <c r="D16" s="23"/>
      <c r="E16" s="23" t="s">
        <v>18</v>
      </c>
      <c r="F16" s="23" t="s">
        <v>19</v>
      </c>
      <c r="G16" s="23">
        <v>0</v>
      </c>
      <c r="H16" s="23"/>
    </row>
    <row r="17" spans="1:8" x14ac:dyDescent="0.25">
      <c r="A17" s="23"/>
      <c r="B17" s="23"/>
      <c r="C17" s="23"/>
      <c r="D17" s="23"/>
      <c r="E17" s="23" t="s">
        <v>145</v>
      </c>
      <c r="F17" s="23" t="s">
        <v>71</v>
      </c>
      <c r="G17" s="23">
        <v>0.95</v>
      </c>
      <c r="H17" s="23"/>
    </row>
    <row r="18" spans="1:8" x14ac:dyDescent="0.25">
      <c r="A18" s="23"/>
      <c r="B18" s="23"/>
      <c r="C18" s="23"/>
      <c r="D18" s="23"/>
      <c r="E18" s="23" t="s">
        <v>101</v>
      </c>
      <c r="F18" s="23" t="s">
        <v>100</v>
      </c>
      <c r="G18" s="23">
        <v>1</v>
      </c>
      <c r="H18" s="23"/>
    </row>
    <row r="19" spans="1:8" x14ac:dyDescent="0.25">
      <c r="A19" s="23"/>
      <c r="B19" s="23"/>
      <c r="C19" s="23"/>
      <c r="D19" s="23"/>
      <c r="E19" s="23" t="s">
        <v>146</v>
      </c>
      <c r="F19" s="23" t="s">
        <v>86</v>
      </c>
      <c r="G19" s="23">
        <v>0.9</v>
      </c>
      <c r="H19" s="23"/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0" workbookViewId="0">
      <selection activeCell="A59" sqref="A59:B60"/>
    </sheetView>
  </sheetViews>
  <sheetFormatPr baseColWidth="10" defaultRowHeight="15" x14ac:dyDescent="0.25"/>
  <cols>
    <col min="1" max="1" width="36.140625" customWidth="1"/>
    <col min="5" max="5" width="28" customWidth="1"/>
    <col min="6" max="6" width="5.140625" customWidth="1"/>
    <col min="11" max="12" width="15" customWidth="1"/>
  </cols>
  <sheetData>
    <row r="1" spans="1:12" x14ac:dyDescent="0.25">
      <c r="A1" s="4" t="s">
        <v>58</v>
      </c>
      <c r="B1" s="4" t="s">
        <v>59</v>
      </c>
      <c r="C1" s="22" t="s">
        <v>103</v>
      </c>
      <c r="D1" s="22"/>
    </row>
    <row r="2" spans="1:12" x14ac:dyDescent="0.25">
      <c r="A2" s="20" t="s">
        <v>0</v>
      </c>
      <c r="B2" s="20"/>
      <c r="C2" t="s">
        <v>12</v>
      </c>
      <c r="E2" t="s">
        <v>3</v>
      </c>
      <c r="H2" t="s">
        <v>7</v>
      </c>
      <c r="K2" t="s">
        <v>105</v>
      </c>
      <c r="L2" t="s">
        <v>106</v>
      </c>
    </row>
    <row r="3" spans="1:12" x14ac:dyDescent="0.25">
      <c r="A3" t="s">
        <v>60</v>
      </c>
      <c r="C3" s="1">
        <f>G3*60/G4</f>
        <v>47.43193994803039</v>
      </c>
      <c r="E3" t="s">
        <v>4</v>
      </c>
      <c r="F3" t="s">
        <v>63</v>
      </c>
      <c r="G3" s="1">
        <f>C8</f>
        <v>7.8947368421052637</v>
      </c>
      <c r="H3" t="s">
        <v>22</v>
      </c>
    </row>
    <row r="4" spans="1:12" x14ac:dyDescent="0.25">
      <c r="E4" t="s">
        <v>64</v>
      </c>
      <c r="F4" t="s">
        <v>65</v>
      </c>
      <c r="G4" s="1">
        <f>C16</f>
        <v>9.9866084129242019</v>
      </c>
      <c r="H4" t="s">
        <v>26</v>
      </c>
    </row>
    <row r="5" spans="1:12" x14ac:dyDescent="0.25">
      <c r="G5" s="1"/>
    </row>
    <row r="7" spans="1:12" x14ac:dyDescent="0.25">
      <c r="A7" t="s">
        <v>47</v>
      </c>
      <c r="B7" t="s">
        <v>61</v>
      </c>
      <c r="C7" t="s">
        <v>22</v>
      </c>
      <c r="E7" s="21" t="s">
        <v>66</v>
      </c>
      <c r="F7" t="s">
        <v>67</v>
      </c>
      <c r="G7" s="1">
        <f>B13</f>
        <v>2.255639097744361</v>
      </c>
    </row>
    <row r="8" spans="1:12" x14ac:dyDescent="0.25">
      <c r="A8" t="s">
        <v>62</v>
      </c>
      <c r="C8" s="1">
        <f>G7*G9</f>
        <v>7.8947368421052637</v>
      </c>
      <c r="E8" s="21"/>
    </row>
    <row r="9" spans="1:12" x14ac:dyDescent="0.25">
      <c r="E9" t="s">
        <v>68</v>
      </c>
      <c r="F9" t="s">
        <v>69</v>
      </c>
      <c r="G9" s="1">
        <v>3.5</v>
      </c>
      <c r="H9" t="s">
        <v>6</v>
      </c>
    </row>
    <row r="10" spans="1:12" x14ac:dyDescent="0.25">
      <c r="E10" t="s">
        <v>70</v>
      </c>
      <c r="F10" t="s">
        <v>71</v>
      </c>
      <c r="G10" s="3">
        <v>0.95</v>
      </c>
    </row>
    <row r="12" spans="1:12" x14ac:dyDescent="0.25">
      <c r="A12" t="s">
        <v>72</v>
      </c>
      <c r="B12" t="s">
        <v>67</v>
      </c>
      <c r="E12" t="s">
        <v>74</v>
      </c>
      <c r="G12" s="1">
        <v>12</v>
      </c>
      <c r="H12" t="s">
        <v>75</v>
      </c>
    </row>
    <row r="13" spans="1:12" x14ac:dyDescent="0.25">
      <c r="A13" t="s">
        <v>73</v>
      </c>
      <c r="B13">
        <f>G12/(G9*G10*G13)</f>
        <v>2.255639097744361</v>
      </c>
      <c r="C13" s="1"/>
      <c r="E13" t="s">
        <v>76</v>
      </c>
      <c r="G13">
        <v>1.6</v>
      </c>
      <c r="H13" t="s">
        <v>78</v>
      </c>
      <c r="I13">
        <v>1.6</v>
      </c>
      <c r="J13" t="s">
        <v>77</v>
      </c>
    </row>
    <row r="14" spans="1:12" x14ac:dyDescent="0.25">
      <c r="C14" s="1"/>
    </row>
    <row r="15" spans="1:12" x14ac:dyDescent="0.25">
      <c r="A15" t="s">
        <v>10</v>
      </c>
      <c r="B15" t="s">
        <v>65</v>
      </c>
      <c r="C15" s="1" t="s">
        <v>26</v>
      </c>
      <c r="E15" t="s">
        <v>80</v>
      </c>
      <c r="F15" t="s">
        <v>81</v>
      </c>
      <c r="G15" s="2">
        <f>'cargador frontal'!C7</f>
        <v>0.8363963963963964</v>
      </c>
      <c r="H15" t="s">
        <v>26</v>
      </c>
    </row>
    <row r="16" spans="1:12" x14ac:dyDescent="0.25">
      <c r="A16" t="s">
        <v>79</v>
      </c>
      <c r="C16" s="1">
        <f>(G7*G15)+G19+(G16/G17)+(G16/G18)</f>
        <v>9.9866084129242019</v>
      </c>
      <c r="E16" t="s">
        <v>29</v>
      </c>
      <c r="F16" t="s">
        <v>30</v>
      </c>
      <c r="G16" s="3">
        <v>1500</v>
      </c>
      <c r="H16" t="s">
        <v>31</v>
      </c>
    </row>
    <row r="17" spans="1:10" x14ac:dyDescent="0.25">
      <c r="C17" s="1"/>
      <c r="E17" t="s">
        <v>82</v>
      </c>
      <c r="F17" t="s">
        <v>83</v>
      </c>
      <c r="G17" s="1">
        <f>I17*1000/60</f>
        <v>416.66666666666669</v>
      </c>
      <c r="H17" t="s">
        <v>34</v>
      </c>
      <c r="I17">
        <v>25</v>
      </c>
      <c r="J17" t="s">
        <v>96</v>
      </c>
    </row>
    <row r="18" spans="1:10" x14ac:dyDescent="0.25">
      <c r="C18" s="1"/>
      <c r="E18" t="s">
        <v>84</v>
      </c>
      <c r="F18" t="s">
        <v>85</v>
      </c>
      <c r="G18">
        <f>I18*1000/60</f>
        <v>500</v>
      </c>
      <c r="H18" t="s">
        <v>34</v>
      </c>
      <c r="I18">
        <v>30</v>
      </c>
      <c r="J18" t="s">
        <v>96</v>
      </c>
    </row>
    <row r="19" spans="1:10" x14ac:dyDescent="0.25">
      <c r="C19" s="1"/>
      <c r="E19" t="s">
        <v>95</v>
      </c>
      <c r="F19" t="s">
        <v>89</v>
      </c>
      <c r="G19">
        <f>G20+G21</f>
        <v>1.5</v>
      </c>
      <c r="H19" t="s">
        <v>26</v>
      </c>
    </row>
    <row r="20" spans="1:10" x14ac:dyDescent="0.25">
      <c r="C20" s="1"/>
      <c r="E20" t="s">
        <v>91</v>
      </c>
      <c r="F20" t="s">
        <v>93</v>
      </c>
      <c r="G20">
        <v>1.2</v>
      </c>
      <c r="H20" t="s">
        <v>26</v>
      </c>
    </row>
    <row r="21" spans="1:10" x14ac:dyDescent="0.25">
      <c r="C21" s="1"/>
      <c r="E21" t="s">
        <v>92</v>
      </c>
      <c r="F21" t="s">
        <v>94</v>
      </c>
      <c r="G21">
        <v>0.3</v>
      </c>
      <c r="H21" t="s">
        <v>26</v>
      </c>
    </row>
    <row r="23" spans="1:10" x14ac:dyDescent="0.25">
      <c r="A23" t="s">
        <v>13</v>
      </c>
      <c r="C23" t="s">
        <v>12</v>
      </c>
      <c r="E23" t="s">
        <v>17</v>
      </c>
      <c r="F23" t="s">
        <v>16</v>
      </c>
      <c r="G23" s="1">
        <f>G4</f>
        <v>9.9866084129242019</v>
      </c>
    </row>
    <row r="24" spans="1:10" x14ac:dyDescent="0.25">
      <c r="A24" t="s">
        <v>99</v>
      </c>
      <c r="C24" s="1">
        <f>C8*60*G26*G25*G27/G23</f>
        <v>38.419871357904618</v>
      </c>
      <c r="E24" t="s">
        <v>18</v>
      </c>
      <c r="F24" t="s">
        <v>19</v>
      </c>
      <c r="G24">
        <v>0</v>
      </c>
    </row>
    <row r="25" spans="1:10" x14ac:dyDescent="0.25">
      <c r="E25" t="s">
        <v>97</v>
      </c>
      <c r="F25" t="s">
        <v>98</v>
      </c>
      <c r="G25">
        <v>0.9</v>
      </c>
    </row>
    <row r="26" spans="1:10" x14ac:dyDescent="0.25">
      <c r="E26" t="s">
        <v>101</v>
      </c>
      <c r="F26" t="s">
        <v>100</v>
      </c>
      <c r="G26">
        <v>1</v>
      </c>
    </row>
    <row r="27" spans="1:10" x14ac:dyDescent="0.25">
      <c r="E27" t="s">
        <v>102</v>
      </c>
      <c r="F27" t="s">
        <v>86</v>
      </c>
      <c r="G27">
        <v>0.9</v>
      </c>
    </row>
    <row r="30" spans="1:10" x14ac:dyDescent="0.25">
      <c r="A30" s="4" t="s">
        <v>58</v>
      </c>
      <c r="B30" s="4" t="s">
        <v>59</v>
      </c>
      <c r="C30" s="22" t="s">
        <v>104</v>
      </c>
      <c r="D30" s="22"/>
    </row>
    <row r="31" spans="1:10" x14ac:dyDescent="0.25">
      <c r="A31" s="20" t="s">
        <v>0</v>
      </c>
      <c r="B31" s="20"/>
      <c r="C31" t="s">
        <v>12</v>
      </c>
      <c r="E31" t="s">
        <v>3</v>
      </c>
      <c r="H31" t="s">
        <v>7</v>
      </c>
    </row>
    <row r="32" spans="1:10" x14ac:dyDescent="0.25">
      <c r="A32" t="s">
        <v>60</v>
      </c>
      <c r="C32" s="1">
        <f>G32*60/G33</f>
        <v>128.02275960170698</v>
      </c>
      <c r="E32" t="s">
        <v>4</v>
      </c>
      <c r="F32" t="s">
        <v>63</v>
      </c>
      <c r="G32" s="1">
        <f>C37</f>
        <v>7.8947368421052637</v>
      </c>
      <c r="H32" t="s">
        <v>22</v>
      </c>
    </row>
    <row r="33" spans="1:10" x14ac:dyDescent="0.25">
      <c r="E33" t="s">
        <v>64</v>
      </c>
      <c r="F33" t="s">
        <v>65</v>
      </c>
      <c r="G33" s="1">
        <f>C45</f>
        <v>3.7</v>
      </c>
      <c r="H33" t="s">
        <v>26</v>
      </c>
    </row>
    <row r="34" spans="1:10" x14ac:dyDescent="0.25">
      <c r="G34" s="1"/>
    </row>
    <row r="36" spans="1:10" x14ac:dyDescent="0.25">
      <c r="A36" t="s">
        <v>47</v>
      </c>
      <c r="B36" t="s">
        <v>61</v>
      </c>
      <c r="C36" t="s">
        <v>22</v>
      </c>
      <c r="E36" s="21" t="s">
        <v>66</v>
      </c>
      <c r="F36" t="s">
        <v>67</v>
      </c>
      <c r="G36" s="1">
        <f>B42</f>
        <v>2.255639097744361</v>
      </c>
    </row>
    <row r="37" spans="1:10" x14ac:dyDescent="0.25">
      <c r="A37" t="s">
        <v>62</v>
      </c>
      <c r="C37" s="1">
        <f>G36*G38</f>
        <v>7.8947368421052637</v>
      </c>
      <c r="E37" s="21"/>
    </row>
    <row r="38" spans="1:10" x14ac:dyDescent="0.25">
      <c r="E38" t="s">
        <v>68</v>
      </c>
      <c r="F38" t="s">
        <v>69</v>
      </c>
      <c r="G38" s="1">
        <v>3.5</v>
      </c>
      <c r="H38" t="s">
        <v>6</v>
      </c>
    </row>
    <row r="39" spans="1:10" x14ac:dyDescent="0.25">
      <c r="E39" t="s">
        <v>70</v>
      </c>
      <c r="F39" t="s">
        <v>71</v>
      </c>
      <c r="G39" s="3">
        <v>0.95</v>
      </c>
    </row>
    <row r="41" spans="1:10" x14ac:dyDescent="0.25">
      <c r="A41" t="s">
        <v>72</v>
      </c>
      <c r="B41" t="s">
        <v>67</v>
      </c>
      <c r="E41" t="s">
        <v>74</v>
      </c>
      <c r="G41" s="1">
        <v>12</v>
      </c>
      <c r="H41" t="s">
        <v>75</v>
      </c>
    </row>
    <row r="42" spans="1:10" x14ac:dyDescent="0.25">
      <c r="A42" t="s">
        <v>73</v>
      </c>
      <c r="B42">
        <f>G41/(G38*G39*G42)</f>
        <v>2.255639097744361</v>
      </c>
      <c r="C42" s="1"/>
      <c r="E42" t="s">
        <v>76</v>
      </c>
      <c r="G42">
        <v>1.6</v>
      </c>
      <c r="H42" t="s">
        <v>78</v>
      </c>
      <c r="I42">
        <v>1.6</v>
      </c>
      <c r="J42" t="s">
        <v>77</v>
      </c>
    </row>
    <row r="43" spans="1:10" x14ac:dyDescent="0.25">
      <c r="C43" s="1"/>
    </row>
    <row r="44" spans="1:10" x14ac:dyDescent="0.25">
      <c r="A44" t="s">
        <v>10</v>
      </c>
      <c r="B44" t="s">
        <v>65</v>
      </c>
      <c r="C44" s="1" t="s">
        <v>26</v>
      </c>
      <c r="E44" t="s">
        <v>80</v>
      </c>
      <c r="F44" t="s">
        <v>81</v>
      </c>
      <c r="G44" s="2">
        <f>'cargador frontal'!C30</f>
        <v>0</v>
      </c>
      <c r="H44" t="s">
        <v>26</v>
      </c>
    </row>
    <row r="45" spans="1:10" x14ac:dyDescent="0.25">
      <c r="A45" t="s">
        <v>79</v>
      </c>
      <c r="C45" s="1">
        <f>(G36*G44)+G48+(G45/G46)+(G45/G47)</f>
        <v>3.7</v>
      </c>
      <c r="E45" t="s">
        <v>29</v>
      </c>
      <c r="F45" t="s">
        <v>30</v>
      </c>
      <c r="G45" s="3">
        <v>500</v>
      </c>
      <c r="H45" t="s">
        <v>31</v>
      </c>
    </row>
    <row r="46" spans="1:10" x14ac:dyDescent="0.25">
      <c r="C46" s="1"/>
      <c r="E46" t="s">
        <v>82</v>
      </c>
      <c r="F46" t="s">
        <v>83</v>
      </c>
      <c r="G46" s="1">
        <f>I46*1000/60</f>
        <v>416.66666666666669</v>
      </c>
      <c r="H46" t="s">
        <v>34</v>
      </c>
      <c r="I46">
        <v>25</v>
      </c>
      <c r="J46" t="s">
        <v>96</v>
      </c>
    </row>
    <row r="47" spans="1:10" x14ac:dyDescent="0.25">
      <c r="C47" s="1"/>
      <c r="E47" t="s">
        <v>84</v>
      </c>
      <c r="F47" t="s">
        <v>85</v>
      </c>
      <c r="G47">
        <f>I47*1000/60</f>
        <v>500</v>
      </c>
      <c r="H47" t="s">
        <v>34</v>
      </c>
      <c r="I47">
        <v>30</v>
      </c>
      <c r="J47" t="s">
        <v>96</v>
      </c>
    </row>
    <row r="48" spans="1:10" x14ac:dyDescent="0.25">
      <c r="C48" s="1"/>
      <c r="E48" t="s">
        <v>95</v>
      </c>
      <c r="F48" t="s">
        <v>89</v>
      </c>
      <c r="G48">
        <f>G49+G50</f>
        <v>1.5</v>
      </c>
      <c r="H48" t="s">
        <v>26</v>
      </c>
    </row>
    <row r="49" spans="1:8" x14ac:dyDescent="0.25">
      <c r="C49" s="1"/>
      <c r="E49" t="s">
        <v>91</v>
      </c>
      <c r="F49" t="s">
        <v>93</v>
      </c>
      <c r="G49">
        <v>1.2</v>
      </c>
      <c r="H49" t="s">
        <v>26</v>
      </c>
    </row>
    <row r="50" spans="1:8" x14ac:dyDescent="0.25">
      <c r="C50" s="1"/>
      <c r="E50" t="s">
        <v>92</v>
      </c>
      <c r="F50" t="s">
        <v>94</v>
      </c>
      <c r="G50">
        <v>0.3</v>
      </c>
      <c r="H50" t="s">
        <v>26</v>
      </c>
    </row>
    <row r="52" spans="1:8" x14ac:dyDescent="0.25">
      <c r="A52" t="s">
        <v>13</v>
      </c>
      <c r="C52" t="s">
        <v>12</v>
      </c>
      <c r="E52" t="s">
        <v>17</v>
      </c>
      <c r="F52" t="s">
        <v>16</v>
      </c>
      <c r="G52" s="1">
        <f>G33</f>
        <v>3.7</v>
      </c>
    </row>
    <row r="53" spans="1:8" x14ac:dyDescent="0.25">
      <c r="A53" t="s">
        <v>99</v>
      </c>
      <c r="C53" s="1">
        <f>C37*60*G55*G54*G56/G52</f>
        <v>103.69843527738266</v>
      </c>
      <c r="E53" t="s">
        <v>18</v>
      </c>
      <c r="F53" t="s">
        <v>19</v>
      </c>
      <c r="G53">
        <v>0</v>
      </c>
    </row>
    <row r="54" spans="1:8" x14ac:dyDescent="0.25">
      <c r="E54" t="s">
        <v>97</v>
      </c>
      <c r="F54" t="s">
        <v>98</v>
      </c>
      <c r="G54">
        <v>0.9</v>
      </c>
    </row>
    <row r="55" spans="1:8" x14ac:dyDescent="0.25">
      <c r="E55" t="s">
        <v>101</v>
      </c>
      <c r="F55" t="s">
        <v>100</v>
      </c>
      <c r="G55">
        <v>1</v>
      </c>
    </row>
    <row r="56" spans="1:8" x14ac:dyDescent="0.25">
      <c r="E56" t="s">
        <v>102</v>
      </c>
      <c r="F56" t="s">
        <v>86</v>
      </c>
      <c r="G56">
        <v>0.9</v>
      </c>
    </row>
    <row r="59" spans="1:8" x14ac:dyDescent="0.25">
      <c r="A59" s="23" t="s">
        <v>172</v>
      </c>
      <c r="B59" s="23" t="s">
        <v>166</v>
      </c>
    </row>
    <row r="60" spans="1:8" x14ac:dyDescent="0.25">
      <c r="A60" s="23"/>
      <c r="B60" s="26">
        <f>AVERAGE(C53,C24)</f>
        <v>71.059153317643634</v>
      </c>
    </row>
  </sheetData>
  <mergeCells count="6">
    <mergeCell ref="A31:B31"/>
    <mergeCell ref="E36:E37"/>
    <mergeCell ref="A2:B2"/>
    <mergeCell ref="E7:E8"/>
    <mergeCell ref="C1:D1"/>
    <mergeCell ref="C30:D3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4" workbookViewId="0">
      <selection activeCell="C33" sqref="C33"/>
    </sheetView>
  </sheetViews>
  <sheetFormatPr baseColWidth="10" defaultRowHeight="15" x14ac:dyDescent="0.25"/>
  <cols>
    <col min="1" max="1" width="30" customWidth="1"/>
    <col min="5" max="5" width="31.85546875" customWidth="1"/>
    <col min="6" max="6" width="4.5703125" customWidth="1"/>
    <col min="7" max="7" width="9.28515625" customWidth="1"/>
    <col min="9" max="9" width="9" customWidth="1"/>
  </cols>
  <sheetData>
    <row r="1" spans="1:10" x14ac:dyDescent="0.25">
      <c r="A1" s="23" t="s">
        <v>107</v>
      </c>
      <c r="B1" s="23" t="s">
        <v>108</v>
      </c>
      <c r="C1" s="23" t="s">
        <v>174</v>
      </c>
      <c r="D1" s="23"/>
      <c r="E1" s="23"/>
      <c r="F1" s="23"/>
      <c r="G1" s="23"/>
      <c r="H1" s="23"/>
    </row>
    <row r="2" spans="1:10" x14ac:dyDescent="0.25">
      <c r="A2" s="24" t="s">
        <v>0</v>
      </c>
      <c r="B2" s="24"/>
      <c r="C2" s="23" t="s">
        <v>114</v>
      </c>
      <c r="D2" s="23"/>
      <c r="E2" s="23" t="s">
        <v>3</v>
      </c>
      <c r="F2" s="23"/>
      <c r="G2" s="23"/>
      <c r="H2" s="23" t="s">
        <v>7</v>
      </c>
    </row>
    <row r="3" spans="1:10" ht="18.75" x14ac:dyDescent="0.25">
      <c r="A3" s="23" t="s">
        <v>109</v>
      </c>
      <c r="B3" s="23"/>
      <c r="C3" s="25">
        <f>60*G5*(G7-G8)/(G9*G10)</f>
        <v>1095.7192763076923</v>
      </c>
      <c r="D3" s="23"/>
      <c r="E3" s="23" t="s">
        <v>110</v>
      </c>
      <c r="F3" s="23" t="s">
        <v>111</v>
      </c>
      <c r="G3" s="26"/>
      <c r="H3" s="23" t="s">
        <v>114</v>
      </c>
      <c r="J3" s="5" t="s">
        <v>131</v>
      </c>
    </row>
    <row r="4" spans="1:10" x14ac:dyDescent="0.25">
      <c r="A4" s="23"/>
      <c r="B4" s="23"/>
      <c r="C4" s="23"/>
      <c r="D4" s="23"/>
      <c r="E4" s="23" t="s">
        <v>112</v>
      </c>
      <c r="F4" s="23" t="s">
        <v>113</v>
      </c>
      <c r="G4" s="23"/>
      <c r="H4" s="23" t="s">
        <v>12</v>
      </c>
    </row>
    <row r="5" spans="1:10" x14ac:dyDescent="0.25">
      <c r="A5" s="23"/>
      <c r="B5" s="23"/>
      <c r="C5" s="23"/>
      <c r="D5" s="23"/>
      <c r="E5" s="23" t="s">
        <v>115</v>
      </c>
      <c r="F5" s="23" t="s">
        <v>38</v>
      </c>
      <c r="G5" s="26">
        <v>100</v>
      </c>
      <c r="H5" s="23" t="s">
        <v>31</v>
      </c>
    </row>
    <row r="6" spans="1:10" x14ac:dyDescent="0.25">
      <c r="A6" s="27" t="s">
        <v>124</v>
      </c>
      <c r="B6" s="23"/>
      <c r="C6" s="23">
        <f>60*G5*G6*(G7-G8)/(G9*G10)</f>
        <v>219.14385526153845</v>
      </c>
      <c r="D6" s="23"/>
      <c r="E6" s="23" t="s">
        <v>116</v>
      </c>
      <c r="F6" s="23" t="s">
        <v>117</v>
      </c>
      <c r="G6" s="26">
        <v>0.2</v>
      </c>
      <c r="H6" s="23" t="s">
        <v>31</v>
      </c>
    </row>
    <row r="7" spans="1:10" x14ac:dyDescent="0.25">
      <c r="A7" s="23" t="s">
        <v>132</v>
      </c>
      <c r="B7" s="23"/>
      <c r="C7" s="23"/>
      <c r="D7" s="23"/>
      <c r="E7" s="23" t="s">
        <v>118</v>
      </c>
      <c r="F7" s="23" t="s">
        <v>119</v>
      </c>
      <c r="G7" s="26">
        <f>C14</f>
        <v>3.1675730400000006</v>
      </c>
      <c r="H7" s="23" t="s">
        <v>31</v>
      </c>
    </row>
    <row r="8" spans="1:10" x14ac:dyDescent="0.25">
      <c r="A8" s="23"/>
      <c r="B8" s="23"/>
      <c r="C8" s="23"/>
      <c r="D8" s="23"/>
      <c r="E8" s="23" t="s">
        <v>120</v>
      </c>
      <c r="F8" s="23" t="s">
        <v>121</v>
      </c>
      <c r="G8" s="25">
        <v>0.2</v>
      </c>
      <c r="H8" s="23" t="s">
        <v>31</v>
      </c>
    </row>
    <row r="9" spans="1:10" x14ac:dyDescent="0.25">
      <c r="A9" s="23"/>
      <c r="B9" s="23"/>
      <c r="C9" s="23"/>
      <c r="D9" s="23"/>
      <c r="E9" s="23" t="s">
        <v>122</v>
      </c>
      <c r="F9" s="23" t="s">
        <v>24</v>
      </c>
      <c r="G9" s="26">
        <v>5</v>
      </c>
      <c r="H9" s="23"/>
    </row>
    <row r="10" spans="1:10" x14ac:dyDescent="0.25">
      <c r="A10" s="23"/>
      <c r="B10" s="23"/>
      <c r="C10" s="23"/>
      <c r="D10" s="23"/>
      <c r="E10" s="23" t="s">
        <v>123</v>
      </c>
      <c r="F10" s="23" t="s">
        <v>11</v>
      </c>
      <c r="G10" s="26">
        <f>C17</f>
        <v>3.2500000000000004</v>
      </c>
      <c r="H10" s="23" t="s">
        <v>31</v>
      </c>
    </row>
    <row r="11" spans="1:10" x14ac:dyDescent="0.25">
      <c r="A11" s="23"/>
      <c r="B11" s="23"/>
      <c r="C11" s="23"/>
      <c r="D11" s="23"/>
      <c r="E11" s="23"/>
      <c r="F11" s="23"/>
      <c r="G11" s="26"/>
      <c r="H11" s="23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</row>
    <row r="13" spans="1:10" x14ac:dyDescent="0.25">
      <c r="A13" s="23" t="s">
        <v>118</v>
      </c>
      <c r="B13" s="23" t="s">
        <v>119</v>
      </c>
      <c r="C13" s="23" t="s">
        <v>31</v>
      </c>
      <c r="D13" s="23"/>
      <c r="E13" s="23" t="s">
        <v>126</v>
      </c>
      <c r="F13" s="23" t="s">
        <v>52</v>
      </c>
      <c r="G13" s="27">
        <f>I13*0.3048</f>
        <v>3.6576000000000004</v>
      </c>
      <c r="H13" s="23" t="s">
        <v>31</v>
      </c>
      <c r="I13">
        <v>12</v>
      </c>
      <c r="J13" t="s">
        <v>129</v>
      </c>
    </row>
    <row r="14" spans="1:10" x14ac:dyDescent="0.25">
      <c r="A14" s="23" t="s">
        <v>125</v>
      </c>
      <c r="B14" s="23"/>
      <c r="C14" s="26">
        <f>G13*J14</f>
        <v>3.1675730400000006</v>
      </c>
      <c r="D14" s="23"/>
      <c r="E14" s="23" t="s">
        <v>127</v>
      </c>
      <c r="F14" s="23" t="s">
        <v>128</v>
      </c>
      <c r="G14" s="28">
        <v>30</v>
      </c>
      <c r="H14" s="23"/>
      <c r="I14" t="s">
        <v>130</v>
      </c>
      <c r="J14">
        <v>0.86602500000000004</v>
      </c>
    </row>
    <row r="15" spans="1:10" x14ac:dyDescent="0.25">
      <c r="A15" s="23"/>
      <c r="B15" s="23"/>
      <c r="C15" s="26"/>
      <c r="D15" s="23"/>
      <c r="E15" s="23"/>
      <c r="F15" s="23"/>
      <c r="G15" s="28"/>
      <c r="H15" s="23"/>
    </row>
    <row r="16" spans="1:10" x14ac:dyDescent="0.25">
      <c r="A16" s="23" t="s">
        <v>133</v>
      </c>
      <c r="B16" s="23" t="s">
        <v>11</v>
      </c>
      <c r="C16" s="26" t="s">
        <v>26</v>
      </c>
      <c r="D16" s="23"/>
      <c r="E16" s="23" t="s">
        <v>135</v>
      </c>
      <c r="F16" s="23" t="s">
        <v>38</v>
      </c>
      <c r="G16" s="28">
        <v>100</v>
      </c>
      <c r="H16" s="23" t="s">
        <v>31</v>
      </c>
    </row>
    <row r="17" spans="1:10" x14ac:dyDescent="0.25">
      <c r="A17" s="23" t="s">
        <v>134</v>
      </c>
      <c r="B17" s="23"/>
      <c r="C17" s="23">
        <f>(G16/G17)+(G16/G18)+G19</f>
        <v>3.2500000000000004</v>
      </c>
      <c r="D17" s="23"/>
      <c r="E17" s="23" t="s">
        <v>136</v>
      </c>
      <c r="F17" s="23" t="s">
        <v>137</v>
      </c>
      <c r="G17" s="26">
        <f>I17*1000/60</f>
        <v>83.333333333333329</v>
      </c>
      <c r="H17" s="23" t="s">
        <v>34</v>
      </c>
      <c r="I17">
        <v>5</v>
      </c>
      <c r="J17" t="s">
        <v>46</v>
      </c>
    </row>
    <row r="18" spans="1:10" x14ac:dyDescent="0.25">
      <c r="A18" s="23"/>
      <c r="B18" s="23"/>
      <c r="C18" s="23"/>
      <c r="D18" s="23"/>
      <c r="E18" s="23" t="s">
        <v>138</v>
      </c>
      <c r="F18" s="23" t="s">
        <v>139</v>
      </c>
      <c r="G18" s="26">
        <f>I18*1000/60</f>
        <v>83.333333333333329</v>
      </c>
      <c r="H18" s="23" t="s">
        <v>34</v>
      </c>
      <c r="I18">
        <v>5</v>
      </c>
      <c r="J18" t="s">
        <v>46</v>
      </c>
    </row>
    <row r="19" spans="1:10" x14ac:dyDescent="0.25">
      <c r="A19" s="23"/>
      <c r="B19" s="23"/>
      <c r="C19" s="23"/>
      <c r="D19" s="23"/>
      <c r="E19" s="23" t="s">
        <v>90</v>
      </c>
      <c r="F19" s="23" t="s">
        <v>89</v>
      </c>
      <c r="G19" s="26">
        <v>0.85</v>
      </c>
      <c r="H19" s="23" t="s">
        <v>26</v>
      </c>
    </row>
    <row r="20" spans="1:10" x14ac:dyDescent="0.25">
      <c r="A20" s="23"/>
      <c r="B20" s="23"/>
      <c r="C20" s="23"/>
      <c r="D20" s="23"/>
      <c r="E20" s="23"/>
      <c r="F20" s="23"/>
      <c r="G20" s="23"/>
      <c r="H20" s="23"/>
    </row>
    <row r="21" spans="1:10" x14ac:dyDescent="0.25">
      <c r="A21" s="23"/>
      <c r="B21" s="23"/>
      <c r="C21" s="23"/>
      <c r="D21" s="23"/>
      <c r="E21" s="23"/>
      <c r="F21" s="23"/>
      <c r="G21" s="23"/>
      <c r="H21" s="23"/>
    </row>
    <row r="22" spans="1:10" x14ac:dyDescent="0.25">
      <c r="A22" s="23" t="s">
        <v>13</v>
      </c>
      <c r="B22" s="23"/>
      <c r="C22" s="23" t="s">
        <v>114</v>
      </c>
      <c r="D22" s="23"/>
      <c r="E22" s="23" t="s">
        <v>140</v>
      </c>
      <c r="F22" s="23" t="s">
        <v>142</v>
      </c>
      <c r="G22" s="23">
        <v>0.85</v>
      </c>
      <c r="H22" s="23"/>
    </row>
    <row r="23" spans="1:10" x14ac:dyDescent="0.25">
      <c r="A23" s="23" t="s">
        <v>143</v>
      </c>
      <c r="B23" s="23"/>
      <c r="C23" s="26">
        <f>60*G5*(G7-G8)*G22*G23*G24/(G9*G10)</f>
        <v>838.22524637538459</v>
      </c>
      <c r="D23" s="23"/>
      <c r="E23" s="23" t="s">
        <v>101</v>
      </c>
      <c r="F23" s="23" t="s">
        <v>100</v>
      </c>
      <c r="G23" s="23">
        <v>1</v>
      </c>
      <c r="H23" s="23"/>
    </row>
    <row r="24" spans="1:10" x14ac:dyDescent="0.25">
      <c r="A24" s="23"/>
      <c r="B24" s="23"/>
      <c r="C24" s="23"/>
      <c r="D24" s="23"/>
      <c r="E24" s="23" t="s">
        <v>141</v>
      </c>
      <c r="F24" s="23" t="s">
        <v>86</v>
      </c>
      <c r="G24" s="23">
        <v>0.9</v>
      </c>
      <c r="H24" s="23"/>
    </row>
    <row r="25" spans="1:10" x14ac:dyDescent="0.25">
      <c r="A25" s="23"/>
      <c r="B25" s="23"/>
      <c r="C25" s="23" t="s">
        <v>12</v>
      </c>
      <c r="D25" s="23"/>
      <c r="E25" s="23"/>
      <c r="F25" s="23"/>
      <c r="G25" s="23"/>
      <c r="H25" s="23"/>
    </row>
    <row r="26" spans="1:10" x14ac:dyDescent="0.25">
      <c r="A26" s="27" t="s">
        <v>144</v>
      </c>
      <c r="B26" s="23"/>
      <c r="C26" s="23">
        <f>60*G5*G6*(G7-G8)*G22*G23*G24/(G9*G10)</f>
        <v>167.6450492750769</v>
      </c>
      <c r="D26" s="23"/>
      <c r="E26" s="23"/>
      <c r="F26" s="23"/>
      <c r="G26" s="23"/>
      <c r="H26" s="23"/>
    </row>
    <row r="27" spans="1:10" x14ac:dyDescent="0.25">
      <c r="A27" s="23" t="s">
        <v>132</v>
      </c>
      <c r="B27" s="23"/>
      <c r="C27" s="23"/>
      <c r="D27" s="23"/>
      <c r="E27" s="23"/>
      <c r="F27" s="23"/>
      <c r="G27" s="23"/>
      <c r="H27" s="23"/>
    </row>
    <row r="31" spans="1:10" x14ac:dyDescent="0.25">
      <c r="A31" s="23" t="s">
        <v>107</v>
      </c>
      <c r="B31" s="23" t="s">
        <v>108</v>
      </c>
      <c r="C31" s="23" t="s">
        <v>173</v>
      </c>
      <c r="D31" s="23"/>
      <c r="E31" s="23"/>
      <c r="F31" s="23"/>
      <c r="G31" s="23"/>
      <c r="H31" s="23"/>
    </row>
    <row r="32" spans="1:10" x14ac:dyDescent="0.25">
      <c r="A32" s="24" t="s">
        <v>0</v>
      </c>
      <c r="B32" s="24"/>
      <c r="C32" s="23" t="s">
        <v>114</v>
      </c>
      <c r="D32" s="23"/>
      <c r="E32" s="23" t="s">
        <v>3</v>
      </c>
      <c r="F32" s="23"/>
      <c r="G32" s="23"/>
      <c r="H32" s="23" t="s">
        <v>7</v>
      </c>
    </row>
    <row r="33" spans="1:10" ht="18.75" x14ac:dyDescent="0.25">
      <c r="A33" s="23" t="s">
        <v>109</v>
      </c>
      <c r="B33" s="23"/>
      <c r="C33" s="25">
        <f>60*G35*(G37-G38)/(G39*G40)</f>
        <v>960.68968763076907</v>
      </c>
      <c r="D33" s="23"/>
      <c r="E33" s="23" t="s">
        <v>110</v>
      </c>
      <c r="F33" s="23" t="s">
        <v>111</v>
      </c>
      <c r="G33" s="26"/>
      <c r="H33" s="23" t="s">
        <v>114</v>
      </c>
      <c r="J33" s="5" t="s">
        <v>131</v>
      </c>
    </row>
    <row r="34" spans="1:10" x14ac:dyDescent="0.25">
      <c r="A34" s="23"/>
      <c r="B34" s="23"/>
      <c r="C34" s="23"/>
      <c r="D34" s="23"/>
      <c r="E34" s="23" t="s">
        <v>112</v>
      </c>
      <c r="F34" s="23" t="s">
        <v>113</v>
      </c>
      <c r="G34" s="23"/>
      <c r="H34" s="23" t="s">
        <v>12</v>
      </c>
    </row>
    <row r="35" spans="1:10" x14ac:dyDescent="0.25">
      <c r="A35" s="23"/>
      <c r="B35" s="23"/>
      <c r="C35" s="23"/>
      <c r="D35" s="23"/>
      <c r="E35" s="23" t="s">
        <v>115</v>
      </c>
      <c r="F35" s="23" t="s">
        <v>38</v>
      </c>
      <c r="G35" s="26">
        <v>100</v>
      </c>
      <c r="H35" s="23" t="s">
        <v>31</v>
      </c>
    </row>
    <row r="36" spans="1:10" x14ac:dyDescent="0.25">
      <c r="A36" s="27" t="s">
        <v>124</v>
      </c>
      <c r="B36" s="23"/>
      <c r="C36" s="23">
        <f>60*G35*G36*(G37-G38)/(G39*G40)</f>
        <v>192.13793752615382</v>
      </c>
      <c r="D36" s="23"/>
      <c r="E36" s="23" t="s">
        <v>116</v>
      </c>
      <c r="F36" s="23" t="s">
        <v>117</v>
      </c>
      <c r="G36" s="26">
        <v>0.2</v>
      </c>
      <c r="H36" s="23" t="s">
        <v>31</v>
      </c>
    </row>
    <row r="37" spans="1:10" x14ac:dyDescent="0.25">
      <c r="A37" s="23" t="s">
        <v>132</v>
      </c>
      <c r="B37" s="23"/>
      <c r="C37" s="23"/>
      <c r="D37" s="23"/>
      <c r="E37" s="23" t="s">
        <v>118</v>
      </c>
      <c r="F37" s="23" t="s">
        <v>119</v>
      </c>
      <c r="G37" s="26">
        <f>C44</f>
        <v>2.8018679040000003</v>
      </c>
      <c r="H37" s="23" t="s">
        <v>31</v>
      </c>
    </row>
    <row r="38" spans="1:10" x14ac:dyDescent="0.25">
      <c r="A38" s="23"/>
      <c r="B38" s="23"/>
      <c r="C38" s="23"/>
      <c r="D38" s="23"/>
      <c r="E38" s="23" t="s">
        <v>120</v>
      </c>
      <c r="F38" s="23" t="s">
        <v>121</v>
      </c>
      <c r="G38" s="25">
        <v>0.2</v>
      </c>
      <c r="H38" s="23" t="s">
        <v>31</v>
      </c>
    </row>
    <row r="39" spans="1:10" x14ac:dyDescent="0.25">
      <c r="A39" s="23"/>
      <c r="B39" s="23"/>
      <c r="C39" s="23"/>
      <c r="D39" s="23"/>
      <c r="E39" s="23" t="s">
        <v>122</v>
      </c>
      <c r="F39" s="23" t="s">
        <v>24</v>
      </c>
      <c r="G39" s="26">
        <v>5</v>
      </c>
      <c r="H39" s="23"/>
    </row>
    <row r="40" spans="1:10" x14ac:dyDescent="0.25">
      <c r="A40" s="23"/>
      <c r="B40" s="23"/>
      <c r="C40" s="23"/>
      <c r="D40" s="23"/>
      <c r="E40" s="23" t="s">
        <v>123</v>
      </c>
      <c r="F40" s="23" t="s">
        <v>11</v>
      </c>
      <c r="G40" s="26">
        <f>C47</f>
        <v>3.2500000000000004</v>
      </c>
      <c r="H40" s="23" t="s">
        <v>31</v>
      </c>
    </row>
    <row r="41" spans="1:10" x14ac:dyDescent="0.25">
      <c r="A41" s="23"/>
      <c r="B41" s="23"/>
      <c r="C41" s="23"/>
      <c r="D41" s="23"/>
      <c r="E41" s="23"/>
      <c r="F41" s="23"/>
      <c r="G41" s="26"/>
      <c r="H41" s="23"/>
    </row>
    <row r="42" spans="1:10" x14ac:dyDescent="0.25">
      <c r="A42" s="23"/>
      <c r="B42" s="23"/>
      <c r="C42" s="23"/>
      <c r="D42" s="23"/>
      <c r="E42" s="23"/>
      <c r="F42" s="23"/>
      <c r="G42" s="23"/>
      <c r="H42" s="23"/>
    </row>
    <row r="43" spans="1:10" x14ac:dyDescent="0.25">
      <c r="A43" s="23" t="s">
        <v>118</v>
      </c>
      <c r="B43" s="23" t="s">
        <v>119</v>
      </c>
      <c r="C43" s="23" t="s">
        <v>31</v>
      </c>
      <c r="D43" s="23"/>
      <c r="E43" s="23" t="s">
        <v>126</v>
      </c>
      <c r="F43" s="23" t="s">
        <v>52</v>
      </c>
      <c r="G43" s="27">
        <f>I43*0.3048</f>
        <v>3.6576000000000004</v>
      </c>
      <c r="H43" s="23" t="s">
        <v>31</v>
      </c>
      <c r="I43">
        <v>12</v>
      </c>
      <c r="J43" t="s">
        <v>129</v>
      </c>
    </row>
    <row r="44" spans="1:10" x14ac:dyDescent="0.25">
      <c r="A44" s="23" t="s">
        <v>125</v>
      </c>
      <c r="B44" s="23"/>
      <c r="C44" s="26">
        <f>G43*J44</f>
        <v>2.8018679040000003</v>
      </c>
      <c r="D44" s="23"/>
      <c r="E44" s="23" t="s">
        <v>127</v>
      </c>
      <c r="F44" s="23" t="s">
        <v>128</v>
      </c>
      <c r="G44" s="28">
        <v>40</v>
      </c>
      <c r="H44" s="23"/>
      <c r="I44" t="s">
        <v>130</v>
      </c>
      <c r="J44">
        <v>0.76604000000000005</v>
      </c>
    </row>
    <row r="45" spans="1:10" x14ac:dyDescent="0.25">
      <c r="A45" s="23"/>
      <c r="B45" s="23"/>
      <c r="C45" s="26"/>
      <c r="D45" s="23"/>
      <c r="E45" s="23"/>
      <c r="F45" s="23"/>
      <c r="G45" s="28"/>
      <c r="H45" s="23"/>
    </row>
    <row r="46" spans="1:10" x14ac:dyDescent="0.25">
      <c r="A46" s="23" t="s">
        <v>133</v>
      </c>
      <c r="B46" s="23" t="s">
        <v>11</v>
      </c>
      <c r="C46" s="26" t="s">
        <v>26</v>
      </c>
      <c r="D46" s="23"/>
      <c r="E46" s="23" t="s">
        <v>135</v>
      </c>
      <c r="F46" s="23" t="s">
        <v>38</v>
      </c>
      <c r="G46" s="28">
        <v>100</v>
      </c>
      <c r="H46" s="23" t="s">
        <v>31</v>
      </c>
    </row>
    <row r="47" spans="1:10" x14ac:dyDescent="0.25">
      <c r="A47" s="23" t="s">
        <v>134</v>
      </c>
      <c r="B47" s="23"/>
      <c r="C47" s="23">
        <f>(G46/G47)+(G46/G48)+G49</f>
        <v>3.2500000000000004</v>
      </c>
      <c r="D47" s="23"/>
      <c r="E47" s="23" t="s">
        <v>136</v>
      </c>
      <c r="F47" s="23" t="s">
        <v>137</v>
      </c>
      <c r="G47" s="26">
        <f>I47*1000/60</f>
        <v>83.333333333333329</v>
      </c>
      <c r="H47" s="23" t="s">
        <v>34</v>
      </c>
      <c r="I47">
        <v>5</v>
      </c>
      <c r="J47" t="s">
        <v>46</v>
      </c>
    </row>
    <row r="48" spans="1:10" x14ac:dyDescent="0.25">
      <c r="A48" s="23"/>
      <c r="B48" s="23"/>
      <c r="C48" s="23"/>
      <c r="D48" s="23"/>
      <c r="E48" s="23" t="s">
        <v>138</v>
      </c>
      <c r="F48" s="23" t="s">
        <v>139</v>
      </c>
      <c r="G48" s="26">
        <f>I48*1000/60</f>
        <v>83.333333333333329</v>
      </c>
      <c r="H48" s="23" t="s">
        <v>34</v>
      </c>
      <c r="I48">
        <v>5</v>
      </c>
      <c r="J48" t="s">
        <v>46</v>
      </c>
    </row>
    <row r="49" spans="1:10" x14ac:dyDescent="0.25">
      <c r="A49" s="23"/>
      <c r="B49" s="23"/>
      <c r="C49" s="23"/>
      <c r="D49" s="23"/>
      <c r="E49" s="23" t="s">
        <v>90</v>
      </c>
      <c r="F49" s="23" t="s">
        <v>89</v>
      </c>
      <c r="G49" s="26">
        <v>0.85</v>
      </c>
      <c r="H49" s="23" t="s">
        <v>26</v>
      </c>
    </row>
    <row r="50" spans="1:10" x14ac:dyDescent="0.25">
      <c r="A50" s="23"/>
      <c r="B50" s="23"/>
      <c r="C50" s="23"/>
      <c r="D50" s="23"/>
      <c r="E50" s="23"/>
      <c r="F50" s="23"/>
      <c r="G50" s="23"/>
      <c r="H50" s="23"/>
    </row>
    <row r="51" spans="1:10" x14ac:dyDescent="0.25">
      <c r="A51" s="23"/>
      <c r="B51" s="23"/>
      <c r="C51" s="23"/>
      <c r="D51" s="23"/>
      <c r="E51" s="23"/>
      <c r="F51" s="23"/>
      <c r="G51" s="23"/>
      <c r="H51" s="23"/>
    </row>
    <row r="52" spans="1:10" x14ac:dyDescent="0.25">
      <c r="A52" s="23" t="s">
        <v>13</v>
      </c>
      <c r="B52" s="23"/>
      <c r="C52" s="23" t="s">
        <v>114</v>
      </c>
      <c r="D52" s="23"/>
      <c r="E52" s="23" t="s">
        <v>140</v>
      </c>
      <c r="F52" s="23" t="s">
        <v>142</v>
      </c>
      <c r="G52" s="23">
        <v>0.85</v>
      </c>
      <c r="H52" s="23"/>
    </row>
    <row r="53" spans="1:10" x14ac:dyDescent="0.25">
      <c r="A53" s="23" t="s">
        <v>143</v>
      </c>
      <c r="B53" s="23"/>
      <c r="C53" s="26">
        <f>60*G35*(G37-G38)*G52*G53*G54/(G39*G40)</f>
        <v>734.92761103753833</v>
      </c>
      <c r="D53" s="23"/>
      <c r="E53" s="23" t="s">
        <v>101</v>
      </c>
      <c r="F53" s="23" t="s">
        <v>100</v>
      </c>
      <c r="G53" s="23">
        <v>1</v>
      </c>
      <c r="H53" s="23"/>
    </row>
    <row r="54" spans="1:10" x14ac:dyDescent="0.25">
      <c r="A54" s="23"/>
      <c r="B54" s="23"/>
      <c r="C54" s="23"/>
      <c r="D54" s="23"/>
      <c r="E54" s="23" t="s">
        <v>141</v>
      </c>
      <c r="F54" s="23" t="s">
        <v>86</v>
      </c>
      <c r="G54" s="23">
        <v>0.9</v>
      </c>
      <c r="H54" s="23"/>
    </row>
    <row r="55" spans="1:10" x14ac:dyDescent="0.25">
      <c r="A55" s="23"/>
      <c r="B55" s="23"/>
      <c r="C55" s="23"/>
      <c r="D55" s="23"/>
      <c r="E55" s="23"/>
      <c r="F55" s="23"/>
      <c r="G55" s="23"/>
      <c r="H55" s="23"/>
    </row>
    <row r="56" spans="1:10" x14ac:dyDescent="0.25">
      <c r="A56" s="27" t="s">
        <v>144</v>
      </c>
      <c r="B56" s="23"/>
      <c r="C56" s="23">
        <f>60*G35*G36*(G37-G38)*G52*G53*G54/(G39*G40)</f>
        <v>146.9855222075077</v>
      </c>
      <c r="D56" s="23"/>
      <c r="E56" s="23"/>
      <c r="F56" s="23"/>
      <c r="G56" s="23"/>
      <c r="H56" s="23"/>
    </row>
    <row r="57" spans="1:10" x14ac:dyDescent="0.25">
      <c r="A57" t="s">
        <v>132</v>
      </c>
    </row>
    <row r="60" spans="1:10" x14ac:dyDescent="0.25">
      <c r="A60" s="23" t="s">
        <v>107</v>
      </c>
      <c r="B60" s="23" t="s">
        <v>108</v>
      </c>
      <c r="C60" s="23" t="s">
        <v>175</v>
      </c>
      <c r="D60" s="23"/>
      <c r="E60" s="23"/>
      <c r="F60" s="23"/>
      <c r="G60" s="23"/>
      <c r="H60" s="23"/>
    </row>
    <row r="61" spans="1:10" x14ac:dyDescent="0.25">
      <c r="A61" s="24" t="s">
        <v>0</v>
      </c>
      <c r="B61" s="24"/>
      <c r="C61" s="23" t="s">
        <v>114</v>
      </c>
      <c r="D61" s="23"/>
      <c r="E61" s="23" t="s">
        <v>3</v>
      </c>
      <c r="F61" s="23"/>
      <c r="G61" s="23"/>
      <c r="H61" s="23" t="s">
        <v>7</v>
      </c>
    </row>
    <row r="62" spans="1:10" ht="18.75" x14ac:dyDescent="0.25">
      <c r="A62" s="23" t="s">
        <v>109</v>
      </c>
      <c r="B62" s="23"/>
      <c r="C62" s="25">
        <f>60*G64*(G66-G67)/(G68*G69)</f>
        <v>1268.507451470769</v>
      </c>
      <c r="D62" s="23"/>
      <c r="E62" s="23" t="s">
        <v>110</v>
      </c>
      <c r="F62" s="23" t="s">
        <v>111</v>
      </c>
      <c r="G62" s="26"/>
      <c r="H62" s="23" t="s">
        <v>114</v>
      </c>
      <c r="J62" s="5" t="s">
        <v>131</v>
      </c>
    </row>
    <row r="63" spans="1:10" x14ac:dyDescent="0.25">
      <c r="A63" s="23"/>
      <c r="B63" s="23"/>
      <c r="C63" s="23"/>
      <c r="D63" s="23"/>
      <c r="E63" s="23" t="s">
        <v>112</v>
      </c>
      <c r="F63" s="23" t="s">
        <v>113</v>
      </c>
      <c r="G63" s="23"/>
      <c r="H63" s="23" t="s">
        <v>12</v>
      </c>
    </row>
    <row r="64" spans="1:10" x14ac:dyDescent="0.25">
      <c r="A64" s="23"/>
      <c r="B64" s="23"/>
      <c r="C64" s="23"/>
      <c r="D64" s="23"/>
      <c r="E64" s="23" t="s">
        <v>115</v>
      </c>
      <c r="F64" s="23" t="s">
        <v>38</v>
      </c>
      <c r="G64" s="26">
        <v>100</v>
      </c>
      <c r="H64" s="23" t="s">
        <v>31</v>
      </c>
    </row>
    <row r="65" spans="1:10" x14ac:dyDescent="0.25">
      <c r="A65" s="27" t="s">
        <v>124</v>
      </c>
      <c r="B65" s="23"/>
      <c r="C65" s="23">
        <f>60*G64*G65*(G66-G67)/(G68*G69)</f>
        <v>253.70149029415379</v>
      </c>
      <c r="D65" s="23"/>
      <c r="E65" s="23" t="s">
        <v>116</v>
      </c>
      <c r="F65" s="23" t="s">
        <v>117</v>
      </c>
      <c r="G65" s="26">
        <v>0.2</v>
      </c>
      <c r="H65" s="23" t="s">
        <v>31</v>
      </c>
    </row>
    <row r="66" spans="1:10" x14ac:dyDescent="0.25">
      <c r="A66" s="23" t="s">
        <v>132</v>
      </c>
      <c r="B66" s="23"/>
      <c r="C66" s="23"/>
      <c r="D66" s="23"/>
      <c r="E66" s="23" t="s">
        <v>118</v>
      </c>
      <c r="F66" s="23" t="s">
        <v>119</v>
      </c>
      <c r="G66" s="26">
        <f>C73</f>
        <v>3.6355410144000002</v>
      </c>
      <c r="H66" s="23" t="s">
        <v>31</v>
      </c>
    </row>
    <row r="67" spans="1:10" x14ac:dyDescent="0.25">
      <c r="A67" s="23"/>
      <c r="B67" s="23"/>
      <c r="C67" s="23"/>
      <c r="D67" s="23"/>
      <c r="E67" s="23" t="s">
        <v>120</v>
      </c>
      <c r="F67" s="23" t="s">
        <v>121</v>
      </c>
      <c r="G67" s="25">
        <v>0.2</v>
      </c>
      <c r="H67" s="23" t="s">
        <v>31</v>
      </c>
    </row>
    <row r="68" spans="1:10" x14ac:dyDescent="0.25">
      <c r="A68" s="23"/>
      <c r="B68" s="23"/>
      <c r="C68" s="23"/>
      <c r="D68" s="23"/>
      <c r="E68" s="23" t="s">
        <v>122</v>
      </c>
      <c r="F68" s="23" t="s">
        <v>24</v>
      </c>
      <c r="G68" s="26">
        <v>5</v>
      </c>
      <c r="H68" s="23"/>
    </row>
    <row r="69" spans="1:10" x14ac:dyDescent="0.25">
      <c r="A69" s="23"/>
      <c r="B69" s="23"/>
      <c r="C69" s="23"/>
      <c r="D69" s="23"/>
      <c r="E69" s="23" t="s">
        <v>123</v>
      </c>
      <c r="F69" s="23" t="s">
        <v>11</v>
      </c>
      <c r="G69" s="26">
        <f>C76</f>
        <v>3.2500000000000004</v>
      </c>
      <c r="H69" s="23" t="s">
        <v>31</v>
      </c>
    </row>
    <row r="70" spans="1:10" x14ac:dyDescent="0.25">
      <c r="A70" s="23"/>
      <c r="B70" s="23"/>
      <c r="C70" s="23"/>
      <c r="D70" s="23"/>
      <c r="E70" s="23"/>
      <c r="F70" s="23"/>
      <c r="G70" s="26"/>
      <c r="H70" s="23"/>
    </row>
    <row r="71" spans="1:10" x14ac:dyDescent="0.25">
      <c r="A71" s="23"/>
      <c r="B71" s="23"/>
      <c r="C71" s="23"/>
      <c r="D71" s="23"/>
      <c r="E71" s="23"/>
      <c r="F71" s="23"/>
      <c r="G71" s="23"/>
      <c r="H71" s="23"/>
    </row>
    <row r="72" spans="1:10" x14ac:dyDescent="0.25">
      <c r="A72" s="23" t="s">
        <v>118</v>
      </c>
      <c r="B72" s="23" t="s">
        <v>119</v>
      </c>
      <c r="C72" s="23" t="s">
        <v>31</v>
      </c>
      <c r="D72" s="23"/>
      <c r="E72" s="23" t="s">
        <v>126</v>
      </c>
      <c r="F72" s="23" t="s">
        <v>52</v>
      </c>
      <c r="G72" s="27">
        <f>I72*0.3048</f>
        <v>3.6576000000000004</v>
      </c>
      <c r="H72" s="23" t="s">
        <v>31</v>
      </c>
      <c r="I72">
        <v>12</v>
      </c>
      <c r="J72" t="s">
        <v>129</v>
      </c>
    </row>
    <row r="73" spans="1:10" x14ac:dyDescent="0.25">
      <c r="A73" s="23" t="s">
        <v>125</v>
      </c>
      <c r="B73" s="23"/>
      <c r="C73" s="26">
        <f>G72*J73</f>
        <v>3.6355410144000002</v>
      </c>
      <c r="D73" s="23"/>
      <c r="E73" s="23" t="s">
        <v>127</v>
      </c>
      <c r="F73" s="23" t="s">
        <v>128</v>
      </c>
      <c r="G73" s="28">
        <v>20</v>
      </c>
      <c r="H73" s="23"/>
      <c r="I73" t="s">
        <v>130</v>
      </c>
      <c r="J73">
        <v>0.99396899999999999</v>
      </c>
    </row>
    <row r="74" spans="1:10" x14ac:dyDescent="0.25">
      <c r="A74" s="23"/>
      <c r="B74" s="23"/>
      <c r="C74" s="26"/>
      <c r="D74" s="23"/>
      <c r="E74" s="23"/>
      <c r="F74" s="23"/>
      <c r="G74" s="28"/>
      <c r="H74" s="23"/>
    </row>
    <row r="75" spans="1:10" x14ac:dyDescent="0.25">
      <c r="A75" s="23" t="s">
        <v>133</v>
      </c>
      <c r="B75" s="23" t="s">
        <v>11</v>
      </c>
      <c r="C75" s="26" t="s">
        <v>26</v>
      </c>
      <c r="D75" s="23"/>
      <c r="E75" s="23" t="s">
        <v>135</v>
      </c>
      <c r="F75" s="23" t="s">
        <v>38</v>
      </c>
      <c r="G75" s="28">
        <v>100</v>
      </c>
      <c r="H75" s="23" t="s">
        <v>31</v>
      </c>
    </row>
    <row r="76" spans="1:10" x14ac:dyDescent="0.25">
      <c r="A76" s="23" t="s">
        <v>134</v>
      </c>
      <c r="B76" s="23"/>
      <c r="C76" s="23">
        <f>(G75/G76)+(G75/G77)+G78</f>
        <v>3.2500000000000004</v>
      </c>
      <c r="D76" s="23"/>
      <c r="E76" s="23" t="s">
        <v>136</v>
      </c>
      <c r="F76" s="23" t="s">
        <v>137</v>
      </c>
      <c r="G76" s="26">
        <f>I76*1000/60</f>
        <v>83.333333333333329</v>
      </c>
      <c r="H76" s="23" t="s">
        <v>34</v>
      </c>
      <c r="I76">
        <v>5</v>
      </c>
      <c r="J76" t="s">
        <v>46</v>
      </c>
    </row>
    <row r="77" spans="1:10" x14ac:dyDescent="0.25">
      <c r="A77" s="23"/>
      <c r="B77" s="23"/>
      <c r="C77" s="23"/>
      <c r="D77" s="23"/>
      <c r="E77" s="23" t="s">
        <v>138</v>
      </c>
      <c r="F77" s="23" t="s">
        <v>139</v>
      </c>
      <c r="G77" s="26">
        <f>I77*1000/60</f>
        <v>83.333333333333329</v>
      </c>
      <c r="H77" s="23" t="s">
        <v>34</v>
      </c>
      <c r="I77">
        <v>5</v>
      </c>
      <c r="J77" t="s">
        <v>46</v>
      </c>
    </row>
    <row r="78" spans="1:10" x14ac:dyDescent="0.25">
      <c r="A78" s="23"/>
      <c r="B78" s="23"/>
      <c r="C78" s="23"/>
      <c r="D78" s="23"/>
      <c r="E78" s="23" t="s">
        <v>90</v>
      </c>
      <c r="F78" s="23" t="s">
        <v>89</v>
      </c>
      <c r="G78" s="26">
        <v>0.85</v>
      </c>
      <c r="H78" s="23" t="s">
        <v>26</v>
      </c>
    </row>
    <row r="79" spans="1:10" x14ac:dyDescent="0.25">
      <c r="A79" s="23"/>
      <c r="B79" s="23"/>
      <c r="C79" s="23"/>
      <c r="D79" s="23"/>
      <c r="E79" s="23"/>
      <c r="F79" s="23"/>
      <c r="G79" s="23"/>
      <c r="H79" s="23"/>
    </row>
    <row r="80" spans="1:10" x14ac:dyDescent="0.25">
      <c r="A80" s="23"/>
      <c r="B80" s="23"/>
      <c r="C80" s="23"/>
      <c r="D80" s="23"/>
      <c r="E80" s="23"/>
      <c r="F80" s="23"/>
      <c r="G80" s="23"/>
      <c r="H80" s="23"/>
    </row>
    <row r="81" spans="1:8" x14ac:dyDescent="0.25">
      <c r="A81" s="29" t="s">
        <v>13</v>
      </c>
      <c r="B81" s="30"/>
      <c r="C81" s="23" t="s">
        <v>114</v>
      </c>
      <c r="D81" s="23"/>
      <c r="E81" s="23" t="s">
        <v>140</v>
      </c>
      <c r="F81" s="23" t="s">
        <v>142</v>
      </c>
      <c r="G81" s="23">
        <v>0.85</v>
      </c>
      <c r="H81" s="23"/>
    </row>
    <row r="82" spans="1:8" x14ac:dyDescent="0.25">
      <c r="A82" s="23" t="s">
        <v>143</v>
      </c>
      <c r="B82" s="23"/>
      <c r="C82" s="26">
        <f>60*G64*(G66-G67)*G81*G82*G83/(G68*G69)</f>
        <v>970.40820037513811</v>
      </c>
      <c r="D82" s="23"/>
      <c r="E82" s="23" t="s">
        <v>101</v>
      </c>
      <c r="F82" s="23" t="s">
        <v>100</v>
      </c>
      <c r="G82" s="23">
        <v>1</v>
      </c>
      <c r="H82" s="23"/>
    </row>
    <row r="83" spans="1:8" x14ac:dyDescent="0.25">
      <c r="A83" s="23"/>
      <c r="B83" s="23"/>
      <c r="C83" s="23"/>
      <c r="D83" s="23"/>
      <c r="E83" s="23" t="s">
        <v>141</v>
      </c>
      <c r="F83" s="23" t="s">
        <v>86</v>
      </c>
      <c r="G83" s="23">
        <v>0.9</v>
      </c>
      <c r="H83" s="23"/>
    </row>
    <row r="84" spans="1:8" x14ac:dyDescent="0.25">
      <c r="A84" s="23"/>
      <c r="B84" s="23"/>
      <c r="C84" s="23" t="s">
        <v>12</v>
      </c>
      <c r="D84" s="23"/>
      <c r="E84" s="23"/>
      <c r="F84" s="23"/>
      <c r="G84" s="23"/>
      <c r="H84" s="23"/>
    </row>
    <row r="85" spans="1:8" x14ac:dyDescent="0.25">
      <c r="A85" s="27" t="s">
        <v>144</v>
      </c>
      <c r="B85" s="23"/>
      <c r="C85" s="23">
        <f>60*G64*G65*(G66-G67)*G81*G82*G83/(G68*G69)</f>
        <v>194.08164007502765</v>
      </c>
      <c r="D85" s="23"/>
      <c r="E85" s="23"/>
      <c r="F85" s="23"/>
      <c r="G85" s="23"/>
      <c r="H85" s="23"/>
    </row>
    <row r="86" spans="1:8" x14ac:dyDescent="0.25">
      <c r="A86" t="s">
        <v>132</v>
      </c>
    </row>
  </sheetData>
  <mergeCells count="4">
    <mergeCell ref="A2:B2"/>
    <mergeCell ref="A32:B32"/>
    <mergeCell ref="A61:B61"/>
    <mergeCell ref="A81:B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7" workbookViewId="0">
      <selection activeCell="A17" sqref="A17:H30"/>
    </sheetView>
  </sheetViews>
  <sheetFormatPr baseColWidth="10" defaultRowHeight="15" x14ac:dyDescent="0.25"/>
  <cols>
    <col min="1" max="1" width="30.42578125" customWidth="1"/>
    <col min="5" max="5" width="32.140625" customWidth="1"/>
  </cols>
  <sheetData>
    <row r="1" spans="1:10" x14ac:dyDescent="0.25">
      <c r="A1" s="23" t="s">
        <v>148</v>
      </c>
      <c r="B1" s="23" t="s">
        <v>149</v>
      </c>
      <c r="C1" s="23"/>
      <c r="D1" s="23"/>
      <c r="E1" s="23"/>
      <c r="F1" s="23"/>
      <c r="G1" s="23"/>
      <c r="H1" s="23"/>
    </row>
    <row r="2" spans="1:10" x14ac:dyDescent="0.25">
      <c r="A2" s="24" t="s">
        <v>0</v>
      </c>
      <c r="B2" s="24"/>
      <c r="C2" s="23" t="s">
        <v>114</v>
      </c>
      <c r="D2" s="23"/>
      <c r="E2" s="23" t="s">
        <v>3</v>
      </c>
      <c r="F2" s="23"/>
      <c r="G2" s="23"/>
      <c r="H2" s="23" t="s">
        <v>7</v>
      </c>
    </row>
    <row r="3" spans="1:10" x14ac:dyDescent="0.25">
      <c r="A3" s="23" t="s">
        <v>150</v>
      </c>
      <c r="B3" s="23"/>
      <c r="C3" s="25">
        <f>G5*G4*60/G6</f>
        <v>750</v>
      </c>
      <c r="D3" s="23"/>
      <c r="E3" s="23" t="s">
        <v>151</v>
      </c>
      <c r="F3" s="23" t="s">
        <v>111</v>
      </c>
      <c r="G3" s="26">
        <v>3</v>
      </c>
      <c r="H3" s="23" t="s">
        <v>152</v>
      </c>
    </row>
    <row r="4" spans="1:10" x14ac:dyDescent="0.25">
      <c r="A4" s="23"/>
      <c r="B4" s="23"/>
      <c r="C4" s="23"/>
      <c r="D4" s="23"/>
      <c r="E4" s="23" t="s">
        <v>154</v>
      </c>
      <c r="F4" s="23" t="s">
        <v>153</v>
      </c>
      <c r="G4" s="26">
        <f>I4*1000/60</f>
        <v>50</v>
      </c>
      <c r="H4" s="23" t="s">
        <v>34</v>
      </c>
      <c r="I4" s="17">
        <v>3</v>
      </c>
      <c r="J4" t="s">
        <v>46</v>
      </c>
    </row>
    <row r="5" spans="1:10" x14ac:dyDescent="0.25">
      <c r="A5" s="23"/>
      <c r="B5" s="23"/>
      <c r="C5" s="23"/>
      <c r="D5" s="23"/>
      <c r="E5" s="23" t="s">
        <v>156</v>
      </c>
      <c r="F5" s="23" t="s">
        <v>155</v>
      </c>
      <c r="G5" s="26">
        <v>2</v>
      </c>
      <c r="H5" s="23" t="s">
        <v>31</v>
      </c>
      <c r="I5">
        <v>2134</v>
      </c>
      <c r="J5" t="s">
        <v>158</v>
      </c>
    </row>
    <row r="6" spans="1:10" x14ac:dyDescent="0.25">
      <c r="A6" s="23"/>
      <c r="B6" s="23"/>
      <c r="C6" s="23"/>
      <c r="D6" s="23"/>
      <c r="E6" s="23" t="s">
        <v>157</v>
      </c>
      <c r="F6" s="23" t="s">
        <v>24</v>
      </c>
      <c r="G6" s="26">
        <v>8</v>
      </c>
      <c r="H6" s="23"/>
    </row>
    <row r="7" spans="1:10" x14ac:dyDescent="0.25">
      <c r="A7" s="23"/>
      <c r="B7" s="23"/>
      <c r="C7" s="23"/>
      <c r="D7" s="23"/>
      <c r="E7" s="23" t="s">
        <v>159</v>
      </c>
      <c r="F7" s="23" t="s">
        <v>117</v>
      </c>
      <c r="G7" s="27">
        <v>0.25</v>
      </c>
      <c r="H7" s="23" t="s">
        <v>31</v>
      </c>
    </row>
    <row r="8" spans="1:10" x14ac:dyDescent="0.25">
      <c r="A8" s="23"/>
      <c r="B8" s="23"/>
      <c r="C8" s="23"/>
      <c r="D8" s="23"/>
      <c r="E8" s="23"/>
      <c r="F8" s="23"/>
      <c r="G8" s="23"/>
      <c r="H8" s="23"/>
    </row>
    <row r="9" spans="1:10" x14ac:dyDescent="0.25">
      <c r="A9" s="23"/>
      <c r="B9" s="23"/>
      <c r="C9" s="23"/>
      <c r="D9" s="23"/>
      <c r="E9" s="23"/>
      <c r="F9" s="23"/>
      <c r="G9" s="23"/>
      <c r="H9" s="23"/>
    </row>
    <row r="10" spans="1:10" x14ac:dyDescent="0.25">
      <c r="A10" s="23"/>
      <c r="B10" s="23"/>
      <c r="C10" s="23"/>
      <c r="D10" s="23"/>
      <c r="E10" s="23"/>
      <c r="F10" s="23"/>
      <c r="G10" s="23"/>
      <c r="H10" s="23"/>
    </row>
    <row r="11" spans="1:10" x14ac:dyDescent="0.25">
      <c r="A11" s="23" t="s">
        <v>13</v>
      </c>
      <c r="B11" s="23"/>
      <c r="C11" s="23" t="s">
        <v>114</v>
      </c>
      <c r="D11" s="23"/>
      <c r="E11" s="23" t="s">
        <v>160</v>
      </c>
      <c r="F11" s="23" t="s">
        <v>161</v>
      </c>
      <c r="G11" s="23">
        <v>0.2</v>
      </c>
      <c r="H11" s="23"/>
    </row>
    <row r="12" spans="1:10" x14ac:dyDescent="0.25">
      <c r="A12" s="23" t="s">
        <v>163</v>
      </c>
      <c r="B12" s="23"/>
      <c r="C12" s="23">
        <f>G5*G4*G12*60/G6</f>
        <v>675</v>
      </c>
      <c r="D12" s="23"/>
      <c r="E12" s="23" t="s">
        <v>162</v>
      </c>
      <c r="F12" s="23" t="s">
        <v>86</v>
      </c>
      <c r="G12" s="23">
        <v>0.9</v>
      </c>
      <c r="H12" s="23"/>
    </row>
    <row r="13" spans="1:10" x14ac:dyDescent="0.25">
      <c r="A13" s="23"/>
      <c r="B13" s="23"/>
      <c r="C13" s="23" t="s">
        <v>166</v>
      </c>
      <c r="D13" s="23"/>
      <c r="E13" s="23"/>
      <c r="F13" s="23"/>
      <c r="G13" s="23"/>
      <c r="H13" s="23"/>
    </row>
    <row r="14" spans="1:10" x14ac:dyDescent="0.25">
      <c r="A14" s="23" t="s">
        <v>164</v>
      </c>
      <c r="B14" s="23"/>
      <c r="C14" s="23">
        <f>G5*G4*G12*G11*60/G6</f>
        <v>135</v>
      </c>
      <c r="D14" s="23"/>
      <c r="E14" s="23"/>
      <c r="F14" s="23"/>
      <c r="G14" s="23"/>
      <c r="H14" s="23"/>
    </row>
    <row r="17" spans="1:10" x14ac:dyDescent="0.25">
      <c r="A17" s="23" t="s">
        <v>165</v>
      </c>
      <c r="B17" s="23" t="s">
        <v>149</v>
      </c>
      <c r="C17" s="23"/>
      <c r="D17" s="23"/>
      <c r="E17" s="23"/>
      <c r="F17" s="23"/>
      <c r="G17" s="23"/>
      <c r="H17" s="23"/>
    </row>
    <row r="18" spans="1:10" x14ac:dyDescent="0.25">
      <c r="A18" s="24" t="s">
        <v>0</v>
      </c>
      <c r="B18" s="24"/>
      <c r="C18" s="23" t="s">
        <v>114</v>
      </c>
      <c r="D18" s="23"/>
      <c r="E18" s="23" t="s">
        <v>3</v>
      </c>
      <c r="F18" s="23"/>
      <c r="G18" s="23"/>
      <c r="H18" s="23" t="s">
        <v>7</v>
      </c>
    </row>
    <row r="19" spans="1:10" x14ac:dyDescent="0.25">
      <c r="A19" s="23" t="s">
        <v>150</v>
      </c>
      <c r="B19" s="23"/>
      <c r="C19" s="25">
        <f>G21*G20*60/G22</f>
        <v>875</v>
      </c>
      <c r="D19" s="23"/>
      <c r="E19" s="23" t="s">
        <v>151</v>
      </c>
      <c r="F19" s="23" t="s">
        <v>111</v>
      </c>
      <c r="G19" s="26">
        <v>3</v>
      </c>
      <c r="H19" s="23" t="s">
        <v>152</v>
      </c>
    </row>
    <row r="20" spans="1:10" x14ac:dyDescent="0.25">
      <c r="A20" s="23"/>
      <c r="B20" s="23"/>
      <c r="C20" s="23"/>
      <c r="D20" s="23"/>
      <c r="E20" s="23" t="s">
        <v>154</v>
      </c>
      <c r="F20" s="23" t="s">
        <v>153</v>
      </c>
      <c r="G20" s="26">
        <f>I20*1000/60</f>
        <v>58.333333333333336</v>
      </c>
      <c r="H20" s="23" t="s">
        <v>34</v>
      </c>
      <c r="I20" s="17">
        <v>3.5</v>
      </c>
      <c r="J20" t="s">
        <v>46</v>
      </c>
    </row>
    <row r="21" spans="1:10" x14ac:dyDescent="0.25">
      <c r="A21" s="23"/>
      <c r="B21" s="23"/>
      <c r="C21" s="23"/>
      <c r="D21" s="23"/>
      <c r="E21" s="23" t="s">
        <v>156</v>
      </c>
      <c r="F21" s="23" t="s">
        <v>155</v>
      </c>
      <c r="G21" s="31">
        <v>2</v>
      </c>
      <c r="H21" s="27" t="s">
        <v>31</v>
      </c>
      <c r="I21" s="3">
        <v>2130</v>
      </c>
      <c r="J21" t="s">
        <v>158</v>
      </c>
    </row>
    <row r="22" spans="1:10" x14ac:dyDescent="0.25">
      <c r="A22" s="23"/>
      <c r="B22" s="23"/>
      <c r="C22" s="23"/>
      <c r="D22" s="23"/>
      <c r="E22" s="23" t="s">
        <v>157</v>
      </c>
      <c r="F22" s="23" t="s">
        <v>24</v>
      </c>
      <c r="G22" s="26">
        <v>8</v>
      </c>
      <c r="H22" s="23"/>
    </row>
    <row r="23" spans="1:10" x14ac:dyDescent="0.25">
      <c r="A23" s="23"/>
      <c r="B23" s="23"/>
      <c r="C23" s="23"/>
      <c r="D23" s="23"/>
      <c r="E23" s="23" t="s">
        <v>159</v>
      </c>
      <c r="F23" s="23" t="s">
        <v>117</v>
      </c>
      <c r="G23" s="27">
        <v>0.2</v>
      </c>
      <c r="H23" s="23" t="s">
        <v>31</v>
      </c>
    </row>
    <row r="24" spans="1:10" x14ac:dyDescent="0.25">
      <c r="A24" s="23"/>
      <c r="B24" s="23"/>
      <c r="C24" s="23"/>
      <c r="D24" s="23"/>
      <c r="E24" s="23"/>
      <c r="F24" s="23"/>
      <c r="G24" s="23"/>
      <c r="H24" s="23"/>
    </row>
    <row r="25" spans="1:10" x14ac:dyDescent="0.25">
      <c r="A25" s="23"/>
      <c r="B25" s="23"/>
      <c r="C25" s="23"/>
      <c r="D25" s="23"/>
      <c r="E25" s="23"/>
      <c r="F25" s="23"/>
      <c r="G25" s="23"/>
      <c r="H25" s="23"/>
    </row>
    <row r="26" spans="1:10" x14ac:dyDescent="0.25">
      <c r="A26" s="23"/>
      <c r="B26" s="23"/>
      <c r="C26" s="23"/>
      <c r="D26" s="23"/>
      <c r="E26" s="23"/>
      <c r="F26" s="23"/>
      <c r="G26" s="23"/>
      <c r="H26" s="23"/>
    </row>
    <row r="27" spans="1:10" x14ac:dyDescent="0.25">
      <c r="A27" s="23" t="s">
        <v>13</v>
      </c>
      <c r="B27" s="23"/>
      <c r="C27" s="23" t="s">
        <v>114</v>
      </c>
      <c r="D27" s="23"/>
      <c r="E27" s="23" t="s">
        <v>160</v>
      </c>
      <c r="F27" s="23" t="s">
        <v>161</v>
      </c>
      <c r="G27" s="27">
        <v>0.2</v>
      </c>
      <c r="H27" s="23"/>
    </row>
    <row r="28" spans="1:10" x14ac:dyDescent="0.25">
      <c r="A28" s="23" t="s">
        <v>163</v>
      </c>
      <c r="B28" s="23"/>
      <c r="C28" s="23">
        <f>G21*G20*G28*60/G22</f>
        <v>787.5</v>
      </c>
      <c r="D28" s="23"/>
      <c r="E28" s="23" t="s">
        <v>162</v>
      </c>
      <c r="F28" s="23" t="s">
        <v>86</v>
      </c>
      <c r="G28" s="23">
        <v>0.9</v>
      </c>
      <c r="H28" s="23"/>
    </row>
    <row r="29" spans="1:10" x14ac:dyDescent="0.25">
      <c r="A29" s="23"/>
      <c r="B29" s="23"/>
      <c r="C29" s="23" t="s">
        <v>166</v>
      </c>
      <c r="D29" s="23"/>
      <c r="E29" s="23"/>
      <c r="F29" s="23"/>
      <c r="G29" s="23"/>
      <c r="H29" s="23"/>
    </row>
    <row r="30" spans="1:10" x14ac:dyDescent="0.25">
      <c r="A30" s="23" t="s">
        <v>164</v>
      </c>
      <c r="B30" s="23"/>
      <c r="C30" s="23">
        <f>G21*G20*G28*G27*60/G22</f>
        <v>157.5</v>
      </c>
      <c r="D30" s="23"/>
      <c r="E30" s="23"/>
      <c r="F30" s="23"/>
      <c r="G30" s="23"/>
      <c r="H30" s="23"/>
    </row>
  </sheetData>
  <mergeCells count="2">
    <mergeCell ref="A2:B2"/>
    <mergeCell ref="A18:B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excavadoras</vt:lpstr>
      <vt:lpstr>tractor topadora</vt:lpstr>
      <vt:lpstr>cargador frontal</vt:lpstr>
      <vt:lpstr>volqueta</vt:lpstr>
      <vt:lpstr>motoniveladora</vt:lpstr>
      <vt:lpstr>compactadora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2016-10-19T15:28:52Z</dcterms:created>
  <dcterms:modified xsi:type="dcterms:W3CDTF">2016-10-27T23:23:36Z</dcterms:modified>
</cp:coreProperties>
</file>